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серпень\чергова СМР\Доопрацьовано\МВК\додатки до додатку\"/>
    </mc:Choice>
  </mc:AlternateContent>
  <bookViews>
    <workbookView xWindow="0" yWindow="0" windowWidth="28800" windowHeight="11835" tabRatio="495" activeTab="1"/>
  </bookViews>
  <sheets>
    <sheet name="дод 2" sheetId="1" r:id="rId1"/>
    <sheet name="дод 5" sheetId="3" r:id="rId2"/>
  </sheets>
  <definedNames>
    <definedName name="_xlnm.Print_Titles" localSheetId="0">'дод 2'!$14:$16</definedName>
    <definedName name="_xlnm.Print_Titles" localSheetId="1">'дод 5'!$15:$17</definedName>
    <definedName name="_xlnm.Print_Area" localSheetId="0">'дод 2'!$A$1:$Q$319</definedName>
    <definedName name="_xlnm.Print_Area" localSheetId="1">'дод 5'!$A$1:$P$259</definedName>
  </definedNames>
  <calcPr calcId="162913"/>
</workbook>
</file>

<file path=xl/calcChain.xml><?xml version="1.0" encoding="utf-8"?>
<calcChain xmlns="http://schemas.openxmlformats.org/spreadsheetml/2006/main">
  <c r="F277" i="1" l="1"/>
  <c r="F54" i="1"/>
  <c r="O111" i="1" l="1"/>
  <c r="K111" i="1"/>
  <c r="O114" i="1" l="1"/>
  <c r="K114" i="1"/>
  <c r="F300" i="1"/>
  <c r="F299" i="1"/>
  <c r="O233" i="1"/>
  <c r="K233" i="1"/>
  <c r="F230" i="1"/>
  <c r="O202" i="1"/>
  <c r="K202" i="1"/>
  <c r="F201" i="1"/>
  <c r="O112" i="1"/>
  <c r="K112" i="1"/>
  <c r="O97" i="1"/>
  <c r="K97" i="1"/>
  <c r="O78" i="1"/>
  <c r="K78" i="1"/>
  <c r="F78" i="1"/>
  <c r="F77" i="1"/>
  <c r="O77" i="1"/>
  <c r="K77" i="1"/>
  <c r="F35" i="1"/>
  <c r="F39" i="1"/>
  <c r="G38" i="1"/>
  <c r="F38" i="1"/>
  <c r="O194" i="1" l="1"/>
  <c r="K194" i="1"/>
  <c r="F174" i="1" l="1"/>
  <c r="O161" i="1" l="1"/>
  <c r="N161" i="1"/>
  <c r="M161" i="1"/>
  <c r="L161" i="1"/>
  <c r="K161" i="1"/>
  <c r="I161" i="1"/>
  <c r="H161" i="1"/>
  <c r="G161" i="1"/>
  <c r="F161" i="1"/>
  <c r="O160" i="1"/>
  <c r="N160" i="1"/>
  <c r="M160" i="1"/>
  <c r="L160" i="1"/>
  <c r="K160" i="1"/>
  <c r="I160" i="1"/>
  <c r="H160" i="1"/>
  <c r="G160" i="1"/>
  <c r="F160" i="1"/>
  <c r="O159" i="1"/>
  <c r="N159" i="1"/>
  <c r="M159" i="1"/>
  <c r="L159" i="1"/>
  <c r="K159" i="1"/>
  <c r="I159" i="1"/>
  <c r="H159" i="1"/>
  <c r="G159" i="1"/>
  <c r="M241" i="3" l="1"/>
  <c r="L241" i="3"/>
  <c r="K241" i="3"/>
  <c r="H241" i="3"/>
  <c r="G241" i="3"/>
  <c r="F241" i="3"/>
  <c r="N63" i="1"/>
  <c r="M63" i="1"/>
  <c r="I63" i="1"/>
  <c r="J119" i="1"/>
  <c r="F119" i="1"/>
  <c r="E119" i="1" s="1"/>
  <c r="P119" i="1" s="1"/>
  <c r="G77" i="1"/>
  <c r="G63" i="1" s="1"/>
  <c r="G78" i="1"/>
  <c r="H231" i="1"/>
  <c r="H230" i="1"/>
  <c r="H191" i="1"/>
  <c r="H174" i="1"/>
  <c r="H145" i="1"/>
  <c r="H33" i="1"/>
  <c r="H56" i="1"/>
  <c r="O259" i="1" l="1"/>
  <c r="K259" i="1"/>
  <c r="E304" i="1"/>
  <c r="O244" i="1"/>
  <c r="K244" i="1"/>
  <c r="O230" i="1"/>
  <c r="K230" i="1"/>
  <c r="I44" i="1"/>
  <c r="G258" i="1"/>
  <c r="F258" i="1"/>
  <c r="F33" i="1" l="1"/>
  <c r="N190" i="3" l="1"/>
  <c r="M190" i="3"/>
  <c r="L190" i="3"/>
  <c r="K190" i="3"/>
  <c r="J190" i="3"/>
  <c r="H190" i="3"/>
  <c r="G190" i="3"/>
  <c r="F190" i="3"/>
  <c r="E190" i="3"/>
  <c r="N239" i="3"/>
  <c r="M239" i="3"/>
  <c r="L239" i="3"/>
  <c r="K239" i="3"/>
  <c r="J239" i="3"/>
  <c r="H239" i="3"/>
  <c r="G239" i="3"/>
  <c r="F239" i="3"/>
  <c r="E239" i="3"/>
  <c r="M175" i="3"/>
  <c r="L175" i="3"/>
  <c r="K175" i="3"/>
  <c r="H175" i="3"/>
  <c r="G175" i="3"/>
  <c r="F175" i="3"/>
  <c r="E175" i="3"/>
  <c r="N156" i="1"/>
  <c r="M156" i="1"/>
  <c r="L156" i="1"/>
  <c r="I156" i="1"/>
  <c r="G156" i="1"/>
  <c r="F131" i="1" l="1"/>
  <c r="O147" i="1"/>
  <c r="K147" i="1"/>
  <c r="H298" i="1"/>
  <c r="F298" i="1"/>
  <c r="H287" i="1"/>
  <c r="F287" i="1"/>
  <c r="H284" i="1"/>
  <c r="F284" i="1"/>
  <c r="H277" i="1"/>
  <c r="H254" i="1"/>
  <c r="F254" i="1"/>
  <c r="H222" i="1"/>
  <c r="F222" i="1"/>
  <c r="H209" i="1"/>
  <c r="H210" i="1"/>
  <c r="F210" i="1"/>
  <c r="F209" i="1"/>
  <c r="H208" i="1"/>
  <c r="F208" i="1"/>
  <c r="H207" i="1"/>
  <c r="F207" i="1"/>
  <c r="H206" i="1"/>
  <c r="H199" i="1"/>
  <c r="F206" i="1"/>
  <c r="F199" i="1"/>
  <c r="F191" i="1"/>
  <c r="H162" i="1"/>
  <c r="H156" i="1" s="1"/>
  <c r="F162" i="1"/>
  <c r="F145" i="1"/>
  <c r="F140" i="1"/>
  <c r="F138" i="1"/>
  <c r="F136" i="1"/>
  <c r="H130" i="1"/>
  <c r="F130" i="1"/>
  <c r="H109" i="1"/>
  <c r="F109" i="1"/>
  <c r="H96" i="1"/>
  <c r="F96" i="1"/>
  <c r="H93" i="1"/>
  <c r="F93" i="1"/>
  <c r="H91" i="1"/>
  <c r="F91" i="1"/>
  <c r="H90" i="1"/>
  <c r="F90" i="1"/>
  <c r="H79" i="1"/>
  <c r="F79" i="1"/>
  <c r="H78" i="1"/>
  <c r="H77" i="1"/>
  <c r="H76" i="1"/>
  <c r="H63" i="1" s="1"/>
  <c r="F76" i="1"/>
  <c r="H58" i="1"/>
  <c r="F58" i="1"/>
  <c r="F56" i="1"/>
  <c r="F41" i="1"/>
  <c r="H40" i="1"/>
  <c r="H18" i="1" s="1"/>
  <c r="F40" i="1"/>
  <c r="H38" i="1"/>
  <c r="H34" i="1"/>
  <c r="F34" i="1"/>
  <c r="H31" i="1"/>
  <c r="F31" i="1"/>
  <c r="H28" i="1"/>
  <c r="F28" i="1"/>
  <c r="H21" i="1"/>
  <c r="F21" i="1"/>
  <c r="O271" i="1"/>
  <c r="K271" i="1"/>
  <c r="F271" i="1"/>
  <c r="O268" i="1"/>
  <c r="K268" i="1"/>
  <c r="O266" i="1"/>
  <c r="K266" i="1"/>
  <c r="O262" i="1"/>
  <c r="K262" i="1"/>
  <c r="N216" i="1"/>
  <c r="M216" i="1"/>
  <c r="H216" i="1"/>
  <c r="G216" i="1"/>
  <c r="O251" i="1"/>
  <c r="K251" i="1"/>
  <c r="F251" i="1"/>
  <c r="J250" i="1"/>
  <c r="I239" i="3" s="1"/>
  <c r="E250" i="1"/>
  <c r="D239" i="3" s="1"/>
  <c r="F231" i="1"/>
  <c r="O227" i="1"/>
  <c r="K227" i="1"/>
  <c r="F195" i="1"/>
  <c r="F192" i="1"/>
  <c r="F175" i="1"/>
  <c r="F169" i="1"/>
  <c r="F166" i="1"/>
  <c r="O154" i="1"/>
  <c r="N241" i="3" s="1"/>
  <c r="K154" i="1"/>
  <c r="J241" i="3" s="1"/>
  <c r="F146" i="1"/>
  <c r="N68" i="3"/>
  <c r="M68" i="3"/>
  <c r="L68" i="3"/>
  <c r="K68" i="3"/>
  <c r="J68" i="3"/>
  <c r="H68" i="3"/>
  <c r="G68" i="3"/>
  <c r="F68" i="3"/>
  <c r="E68" i="3"/>
  <c r="N65" i="3"/>
  <c r="M65" i="3"/>
  <c r="L65" i="3"/>
  <c r="K65" i="3"/>
  <c r="J65" i="3"/>
  <c r="H65" i="3"/>
  <c r="G65" i="3"/>
  <c r="F65" i="3"/>
  <c r="E65" i="3"/>
  <c r="J100" i="1"/>
  <c r="E100" i="1"/>
  <c r="D68" i="3" s="1"/>
  <c r="J97" i="1"/>
  <c r="I65" i="3" s="1"/>
  <c r="E97" i="1"/>
  <c r="D65" i="3" s="1"/>
  <c r="O61" i="1"/>
  <c r="K61" i="1"/>
  <c r="F61" i="1"/>
  <c r="N18" i="1"/>
  <c r="M18" i="1"/>
  <c r="L18" i="1"/>
  <c r="I18" i="1"/>
  <c r="J46" i="1"/>
  <c r="I190" i="3" s="1"/>
  <c r="E46" i="1"/>
  <c r="D190" i="3" s="1"/>
  <c r="F27" i="1"/>
  <c r="F26" i="1"/>
  <c r="O75" i="1"/>
  <c r="N75" i="1"/>
  <c r="M75" i="1"/>
  <c r="L75" i="1"/>
  <c r="K75" i="1"/>
  <c r="I75" i="1"/>
  <c r="H75" i="1"/>
  <c r="G75" i="1"/>
  <c r="F75" i="1"/>
  <c r="O73" i="1"/>
  <c r="N73" i="1"/>
  <c r="M73" i="1"/>
  <c r="L73" i="1"/>
  <c r="K73" i="1"/>
  <c r="I73" i="1"/>
  <c r="H73" i="1"/>
  <c r="G73" i="1"/>
  <c r="F73" i="1"/>
  <c r="O72" i="1"/>
  <c r="N72" i="1"/>
  <c r="M72" i="1"/>
  <c r="L72" i="1"/>
  <c r="K72" i="1"/>
  <c r="I72" i="1"/>
  <c r="H72" i="1"/>
  <c r="G72" i="1"/>
  <c r="F72" i="1"/>
  <c r="N147" i="3"/>
  <c r="N143" i="3" s="1"/>
  <c r="M147" i="3"/>
  <c r="M143" i="3" s="1"/>
  <c r="L147" i="3"/>
  <c r="L143" i="3" s="1"/>
  <c r="K147" i="3"/>
  <c r="K143" i="3" s="1"/>
  <c r="J147" i="3"/>
  <c r="J143" i="3" s="1"/>
  <c r="H147" i="3"/>
  <c r="H143" i="3" s="1"/>
  <c r="G147" i="3"/>
  <c r="G143" i="3" s="1"/>
  <c r="F147" i="3"/>
  <c r="F143" i="3" s="1"/>
  <c r="E147" i="3"/>
  <c r="E143" i="3" s="1"/>
  <c r="N131" i="3"/>
  <c r="N101" i="3" s="1"/>
  <c r="M131" i="3"/>
  <c r="M101" i="3" s="1"/>
  <c r="L131" i="3"/>
  <c r="L101" i="3" s="1"/>
  <c r="K131" i="3"/>
  <c r="K101" i="3" s="1"/>
  <c r="J131" i="3"/>
  <c r="J101" i="3" s="1"/>
  <c r="H131" i="3"/>
  <c r="H101" i="3" s="1"/>
  <c r="G131" i="3"/>
  <c r="G101" i="3" s="1"/>
  <c r="F131" i="3"/>
  <c r="F101" i="3" s="1"/>
  <c r="E131" i="3"/>
  <c r="E101" i="3" s="1"/>
  <c r="N130" i="3"/>
  <c r="M130" i="3"/>
  <c r="L130" i="3"/>
  <c r="K130" i="3"/>
  <c r="J130" i="3"/>
  <c r="H130" i="3"/>
  <c r="G130" i="3"/>
  <c r="F130" i="3"/>
  <c r="E130" i="3"/>
  <c r="N256" i="1"/>
  <c r="M256" i="1"/>
  <c r="L256" i="1"/>
  <c r="I256" i="1"/>
  <c r="H256" i="1"/>
  <c r="G256" i="1"/>
  <c r="J264" i="1"/>
  <c r="E264" i="1"/>
  <c r="F37" i="1"/>
  <c r="F36" i="1"/>
  <c r="O212" i="1"/>
  <c r="N175" i="3" s="1"/>
  <c r="K212" i="1"/>
  <c r="J175" i="3" s="1"/>
  <c r="E241" i="3" l="1"/>
  <c r="P100" i="1"/>
  <c r="O68" i="3" s="1"/>
  <c r="P250" i="1"/>
  <c r="O239" i="3" s="1"/>
  <c r="P264" i="1"/>
  <c r="P46" i="1"/>
  <c r="O190" i="3" s="1"/>
  <c r="I68" i="3"/>
  <c r="P97" i="1"/>
  <c r="O65" i="3" s="1"/>
  <c r="F256" i="1"/>
  <c r="F226" i="1"/>
  <c r="O87" i="1"/>
  <c r="K87" i="1"/>
  <c r="F87" i="1"/>
  <c r="O85" i="1"/>
  <c r="K85" i="1"/>
  <c r="F85" i="1"/>
  <c r="O55" i="1"/>
  <c r="K55" i="1"/>
  <c r="F55" i="1"/>
  <c r="O232" i="1"/>
  <c r="K232" i="1"/>
  <c r="O225" i="1"/>
  <c r="K225" i="1"/>
  <c r="O131" i="1"/>
  <c r="K131" i="1"/>
  <c r="F29" i="1"/>
  <c r="J188" i="1"/>
  <c r="E188" i="1"/>
  <c r="J187" i="1"/>
  <c r="I130" i="3" s="1"/>
  <c r="E187" i="1"/>
  <c r="J110" i="1"/>
  <c r="E110" i="1"/>
  <c r="E75" i="1" s="1"/>
  <c r="N70" i="3"/>
  <c r="N35" i="3" s="1"/>
  <c r="M70" i="3"/>
  <c r="M35" i="3" s="1"/>
  <c r="L70" i="3"/>
  <c r="L35" i="3" s="1"/>
  <c r="K70" i="3"/>
  <c r="K35" i="3" s="1"/>
  <c r="J70" i="3"/>
  <c r="J35" i="3" s="1"/>
  <c r="H70" i="3"/>
  <c r="H35" i="3" s="1"/>
  <c r="G70" i="3"/>
  <c r="G35" i="3" s="1"/>
  <c r="F70" i="3"/>
  <c r="F35" i="3" s="1"/>
  <c r="E70" i="3"/>
  <c r="E35" i="3" s="1"/>
  <c r="N69" i="3"/>
  <c r="M69" i="3"/>
  <c r="L69" i="3"/>
  <c r="K69" i="3"/>
  <c r="J69" i="3"/>
  <c r="H69" i="3"/>
  <c r="G69" i="3"/>
  <c r="F69" i="3"/>
  <c r="E69" i="3"/>
  <c r="N67" i="3"/>
  <c r="N34" i="3" s="1"/>
  <c r="M67" i="3"/>
  <c r="M34" i="3" s="1"/>
  <c r="L67" i="3"/>
  <c r="L34" i="3" s="1"/>
  <c r="K67" i="3"/>
  <c r="K34" i="3" s="1"/>
  <c r="J67" i="3"/>
  <c r="J34" i="3" s="1"/>
  <c r="H67" i="3"/>
  <c r="H34" i="3" s="1"/>
  <c r="G67" i="3"/>
  <c r="G34" i="3" s="1"/>
  <c r="F67" i="3"/>
  <c r="F34" i="3" s="1"/>
  <c r="E67" i="3"/>
  <c r="E34" i="3" s="1"/>
  <c r="N66" i="3"/>
  <c r="M66" i="3"/>
  <c r="L66" i="3"/>
  <c r="K66" i="3"/>
  <c r="J66" i="3"/>
  <c r="H66" i="3"/>
  <c r="G66" i="3"/>
  <c r="F66" i="3"/>
  <c r="E66" i="3"/>
  <c r="E102" i="1"/>
  <c r="E101" i="1"/>
  <c r="D69" i="3" s="1"/>
  <c r="E99" i="1"/>
  <c r="E98" i="1"/>
  <c r="D66" i="3" s="1"/>
  <c r="J102" i="1"/>
  <c r="J101" i="1"/>
  <c r="P101" i="1" s="1"/>
  <c r="O69" i="3" s="1"/>
  <c r="J99" i="1"/>
  <c r="J98" i="1"/>
  <c r="P98" i="1" s="1"/>
  <c r="O66" i="3" s="1"/>
  <c r="D131" i="3" l="1"/>
  <c r="D101" i="3" s="1"/>
  <c r="E161" i="1"/>
  <c r="I131" i="3"/>
  <c r="I101" i="3" s="1"/>
  <c r="J161" i="1"/>
  <c r="I147" i="3"/>
  <c r="I143" i="3" s="1"/>
  <c r="J75" i="1"/>
  <c r="P99" i="1"/>
  <c r="J73" i="1"/>
  <c r="P102" i="1"/>
  <c r="J72" i="1"/>
  <c r="D67" i="3"/>
  <c r="D34" i="3" s="1"/>
  <c r="E73" i="1"/>
  <c r="D70" i="3"/>
  <c r="D35" i="3" s="1"/>
  <c r="E72" i="1"/>
  <c r="P110" i="1"/>
  <c r="D147" i="3"/>
  <c r="D143" i="3" s="1"/>
  <c r="P187" i="1"/>
  <c r="O130" i="3" s="1"/>
  <c r="D130" i="3"/>
  <c r="P188" i="1"/>
  <c r="I66" i="3"/>
  <c r="I69" i="3"/>
  <c r="I67" i="3"/>
  <c r="I34" i="3" s="1"/>
  <c r="I70" i="3"/>
  <c r="I35" i="3" s="1"/>
  <c r="O113" i="1"/>
  <c r="K113" i="1"/>
  <c r="O131" i="3" l="1"/>
  <c r="O101" i="3" s="1"/>
  <c r="P161" i="1"/>
  <c r="O147" i="3"/>
  <c r="O143" i="3" s="1"/>
  <c r="P75" i="1"/>
  <c r="O70" i="3"/>
  <c r="O35" i="3" s="1"/>
  <c r="P72" i="1"/>
  <c r="O67" i="3"/>
  <c r="O34" i="3" s="1"/>
  <c r="P73" i="1"/>
  <c r="E233" i="3"/>
  <c r="E232" i="3" s="1"/>
  <c r="F233" i="3"/>
  <c r="F232" i="3" s="1"/>
  <c r="G233" i="3"/>
  <c r="G232" i="3" s="1"/>
  <c r="H233" i="3"/>
  <c r="H232" i="3" s="1"/>
  <c r="J233" i="3"/>
  <c r="J232" i="3" s="1"/>
  <c r="K233" i="3"/>
  <c r="K232" i="3" s="1"/>
  <c r="L233" i="3"/>
  <c r="L232" i="3" s="1"/>
  <c r="M233" i="3"/>
  <c r="M232" i="3" s="1"/>
  <c r="N233" i="3"/>
  <c r="N232" i="3" s="1"/>
  <c r="E236" i="3"/>
  <c r="E234" i="3" s="1"/>
  <c r="F236" i="3"/>
  <c r="F234" i="3" s="1"/>
  <c r="G236" i="3"/>
  <c r="G234" i="3" s="1"/>
  <c r="H236" i="3"/>
  <c r="H234" i="3" s="1"/>
  <c r="J236" i="3"/>
  <c r="J234" i="3" s="1"/>
  <c r="K236" i="3"/>
  <c r="K234" i="3" s="1"/>
  <c r="L236" i="3"/>
  <c r="L234" i="3" s="1"/>
  <c r="M236" i="3"/>
  <c r="M234" i="3" s="1"/>
  <c r="N236" i="3"/>
  <c r="N234" i="3" s="1"/>
  <c r="E237" i="3"/>
  <c r="E235" i="3" s="1"/>
  <c r="E231" i="3" s="1"/>
  <c r="F237" i="3"/>
  <c r="F235" i="3" s="1"/>
  <c r="F231" i="3" s="1"/>
  <c r="G237" i="3"/>
  <c r="G235" i="3" s="1"/>
  <c r="G231" i="3" s="1"/>
  <c r="H237" i="3"/>
  <c r="H235" i="3" s="1"/>
  <c r="H231" i="3" s="1"/>
  <c r="J237" i="3"/>
  <c r="J235" i="3" s="1"/>
  <c r="J231" i="3" s="1"/>
  <c r="K237" i="3"/>
  <c r="K235" i="3" s="1"/>
  <c r="K231" i="3" s="1"/>
  <c r="L237" i="3"/>
  <c r="L235" i="3" s="1"/>
  <c r="L231" i="3" s="1"/>
  <c r="M237" i="3"/>
  <c r="M235" i="3" s="1"/>
  <c r="M231" i="3" s="1"/>
  <c r="N237" i="3"/>
  <c r="N235" i="3" s="1"/>
  <c r="N231" i="3" s="1"/>
  <c r="E240" i="3"/>
  <c r="F240" i="3"/>
  <c r="G240" i="3"/>
  <c r="H240" i="3"/>
  <c r="J240" i="3"/>
  <c r="K240" i="3"/>
  <c r="L240" i="3"/>
  <c r="M240" i="3"/>
  <c r="N240" i="3"/>
  <c r="F242" i="3"/>
  <c r="G242" i="3"/>
  <c r="H242" i="3"/>
  <c r="J242" i="3"/>
  <c r="K242" i="3"/>
  <c r="L242" i="3"/>
  <c r="M242" i="3"/>
  <c r="N242" i="3"/>
  <c r="L238" i="3" l="1"/>
  <c r="G238" i="3"/>
  <c r="G230" i="3" s="1"/>
  <c r="M238" i="3"/>
  <c r="K238" i="3"/>
  <c r="H238" i="3"/>
  <c r="F238" i="3"/>
  <c r="F230" i="3" s="1"/>
  <c r="L230" i="3"/>
  <c r="H230" i="3"/>
  <c r="M230" i="3"/>
  <c r="K230" i="3"/>
  <c r="I229" i="1"/>
  <c r="F229" i="1"/>
  <c r="O116" i="1"/>
  <c r="L116" i="1"/>
  <c r="L63" i="1" s="1"/>
  <c r="F224" i="1" l="1"/>
  <c r="F227" i="1" l="1"/>
  <c r="F216" i="1" s="1"/>
  <c r="F114" i="1" l="1"/>
  <c r="O79" i="1"/>
  <c r="K79" i="1"/>
  <c r="O104" i="1" l="1"/>
  <c r="K104" i="1"/>
  <c r="F104" i="1"/>
  <c r="O103" i="1"/>
  <c r="K103" i="1"/>
  <c r="F103" i="1"/>
  <c r="O76" i="1"/>
  <c r="K76" i="1"/>
  <c r="L302" i="1"/>
  <c r="O39" i="1"/>
  <c r="K39" i="1"/>
  <c r="E242" i="3"/>
  <c r="F200" i="1"/>
  <c r="F107" i="1"/>
  <c r="F167" i="1"/>
  <c r="F144" i="1"/>
  <c r="F142" i="1"/>
  <c r="F181" i="1"/>
  <c r="F63" i="1" l="1"/>
  <c r="N184" i="3"/>
  <c r="M184" i="3"/>
  <c r="L184" i="3"/>
  <c r="K184" i="3"/>
  <c r="J184" i="3"/>
  <c r="H184" i="3"/>
  <c r="G184" i="3"/>
  <c r="F184" i="3"/>
  <c r="K237" i="1"/>
  <c r="O220" i="1"/>
  <c r="N220" i="1"/>
  <c r="M220" i="1"/>
  <c r="L220" i="1"/>
  <c r="K220" i="1"/>
  <c r="I220" i="1"/>
  <c r="H220" i="1"/>
  <c r="G220" i="1"/>
  <c r="F220" i="1"/>
  <c r="M182" i="3"/>
  <c r="L182" i="3"/>
  <c r="K182" i="3"/>
  <c r="J182" i="3"/>
  <c r="H182" i="3"/>
  <c r="G182" i="3"/>
  <c r="F182" i="3"/>
  <c r="E182" i="3"/>
  <c r="N183" i="3"/>
  <c r="M183" i="3"/>
  <c r="L183" i="3"/>
  <c r="K183" i="3"/>
  <c r="J183" i="3"/>
  <c r="H183" i="3"/>
  <c r="G183" i="3"/>
  <c r="F183" i="3"/>
  <c r="E183" i="3"/>
  <c r="O38" i="1"/>
  <c r="K38" i="1"/>
  <c r="F280" i="1"/>
  <c r="E184" i="3" s="1"/>
  <c r="O279" i="1"/>
  <c r="K279" i="1"/>
  <c r="K276" i="1" s="1"/>
  <c r="O276" i="1"/>
  <c r="N276" i="1"/>
  <c r="M276" i="1"/>
  <c r="I276" i="1"/>
  <c r="H276" i="1"/>
  <c r="G276" i="1"/>
  <c r="J280" i="1"/>
  <c r="E280" i="1"/>
  <c r="O237" i="1"/>
  <c r="N182" i="3" s="1"/>
  <c r="O128" i="1"/>
  <c r="N128" i="1"/>
  <c r="M128" i="1"/>
  <c r="L128" i="1"/>
  <c r="K128" i="1"/>
  <c r="I128" i="1"/>
  <c r="H128" i="1"/>
  <c r="G128" i="1"/>
  <c r="F128" i="1"/>
  <c r="O74" i="1"/>
  <c r="N74" i="1"/>
  <c r="M74" i="1"/>
  <c r="L74" i="1"/>
  <c r="K74" i="1"/>
  <c r="I74" i="1"/>
  <c r="H74" i="1"/>
  <c r="G74" i="1"/>
  <c r="F74" i="1"/>
  <c r="E113" i="1"/>
  <c r="E74" i="1" s="1"/>
  <c r="E112" i="1"/>
  <c r="J113" i="1"/>
  <c r="P113" i="1" s="1"/>
  <c r="P74" i="1" s="1"/>
  <c r="J112" i="1"/>
  <c r="O208" i="1"/>
  <c r="K208" i="1"/>
  <c r="I243" i="1"/>
  <c r="O226" i="1"/>
  <c r="K226" i="1"/>
  <c r="O191" i="1"/>
  <c r="O156" i="1" s="1"/>
  <c r="K191" i="1"/>
  <c r="K156" i="1" s="1"/>
  <c r="O287" i="1"/>
  <c r="K287" i="1"/>
  <c r="O254" i="1"/>
  <c r="K254" i="1"/>
  <c r="O209" i="1"/>
  <c r="K209" i="1"/>
  <c r="O40" i="1"/>
  <c r="K40" i="1"/>
  <c r="L249" i="1"/>
  <c r="P280" i="1" l="1"/>
  <c r="P112" i="1"/>
  <c r="F276" i="1"/>
  <c r="J74" i="1"/>
  <c r="N238" i="3" l="1"/>
  <c r="N230" i="3" s="1"/>
  <c r="J238" i="3"/>
  <c r="J230" i="3" s="1"/>
  <c r="F71" i="1"/>
  <c r="M20" i="3"/>
  <c r="L20" i="3"/>
  <c r="K20" i="3"/>
  <c r="H20" i="3"/>
  <c r="F20" i="3"/>
  <c r="N53" i="3" l="1"/>
  <c r="N27" i="3" s="1"/>
  <c r="M53" i="3"/>
  <c r="M27" i="3" s="1"/>
  <c r="L53" i="3"/>
  <c r="L27" i="3" s="1"/>
  <c r="K53" i="3"/>
  <c r="K27" i="3" s="1"/>
  <c r="J53" i="3"/>
  <c r="J27" i="3" s="1"/>
  <c r="H53" i="3"/>
  <c r="H27" i="3" s="1"/>
  <c r="G53" i="3"/>
  <c r="G27" i="3" s="1"/>
  <c r="F53" i="3"/>
  <c r="F27" i="3" s="1"/>
  <c r="E53" i="3"/>
  <c r="E27" i="3" s="1"/>
  <c r="O66" i="1"/>
  <c r="N66" i="1"/>
  <c r="M66" i="1"/>
  <c r="L66" i="1"/>
  <c r="K66" i="1"/>
  <c r="I66" i="1"/>
  <c r="H66" i="1"/>
  <c r="G66" i="1"/>
  <c r="F66" i="1"/>
  <c r="J86" i="1"/>
  <c r="I53" i="3" s="1"/>
  <c r="I27" i="3" s="1"/>
  <c r="E86" i="1"/>
  <c r="D53" i="3" s="1"/>
  <c r="D27" i="3" s="1"/>
  <c r="G57" i="1"/>
  <c r="F57" i="1"/>
  <c r="F211" i="1"/>
  <c r="N22" i="3"/>
  <c r="M22" i="3"/>
  <c r="L22" i="3"/>
  <c r="K22" i="3"/>
  <c r="J22" i="3"/>
  <c r="H22" i="3"/>
  <c r="G22" i="3"/>
  <c r="F22" i="3"/>
  <c r="E22" i="3"/>
  <c r="J223" i="1"/>
  <c r="E223" i="1"/>
  <c r="O146" i="1"/>
  <c r="K146" i="1"/>
  <c r="G20" i="3"/>
  <c r="O265" i="1"/>
  <c r="K265" i="1"/>
  <c r="O263" i="1"/>
  <c r="K263" i="1"/>
  <c r="O267" i="1"/>
  <c r="K267" i="1"/>
  <c r="O200" i="1"/>
  <c r="K200" i="1"/>
  <c r="O199" i="1"/>
  <c r="K199" i="1"/>
  <c r="K197" i="1" s="1"/>
  <c r="F165" i="1"/>
  <c r="F156" i="1" s="1"/>
  <c r="O91" i="1"/>
  <c r="O63" i="1" s="1"/>
  <c r="K91" i="1"/>
  <c r="K63" i="1" s="1"/>
  <c r="F49" i="1"/>
  <c r="F18" i="1" s="1"/>
  <c r="O21" i="1"/>
  <c r="K21" i="1"/>
  <c r="O148" i="1"/>
  <c r="K148" i="1"/>
  <c r="O260" i="1"/>
  <c r="O256" i="1" s="1"/>
  <c r="N20" i="3" l="1"/>
  <c r="O18" i="1"/>
  <c r="J20" i="3"/>
  <c r="K18" i="1"/>
  <c r="K256" i="1"/>
  <c r="P223" i="1"/>
  <c r="P86" i="1"/>
  <c r="E66" i="1"/>
  <c r="J66" i="1"/>
  <c r="L281" i="1"/>
  <c r="L276" i="1" s="1"/>
  <c r="O246" i="1"/>
  <c r="L246" i="1"/>
  <c r="L216" i="1" s="1"/>
  <c r="N196" i="3"/>
  <c r="M196" i="3"/>
  <c r="L196" i="3"/>
  <c r="K196" i="3"/>
  <c r="J196" i="3"/>
  <c r="H196" i="3"/>
  <c r="G196" i="3"/>
  <c r="F196" i="3"/>
  <c r="E196" i="3"/>
  <c r="N197" i="3"/>
  <c r="N187" i="3" s="1"/>
  <c r="M197" i="3"/>
  <c r="M187" i="3" s="1"/>
  <c r="L197" i="3"/>
  <c r="L187" i="3" s="1"/>
  <c r="K197" i="3"/>
  <c r="K187" i="3" s="1"/>
  <c r="J197" i="3"/>
  <c r="J187" i="3" s="1"/>
  <c r="H197" i="3"/>
  <c r="H187" i="3" s="1"/>
  <c r="G197" i="3"/>
  <c r="G187" i="3" s="1"/>
  <c r="F197" i="3"/>
  <c r="F187" i="3" s="1"/>
  <c r="E197" i="3"/>
  <c r="E187" i="3" s="1"/>
  <c r="N55" i="3"/>
  <c r="M55" i="3"/>
  <c r="L55" i="3"/>
  <c r="K55" i="3"/>
  <c r="J55" i="3"/>
  <c r="H55" i="3"/>
  <c r="G55" i="3"/>
  <c r="F55" i="3"/>
  <c r="E55" i="3"/>
  <c r="N56" i="3"/>
  <c r="M56" i="3"/>
  <c r="L56" i="3"/>
  <c r="K56" i="3"/>
  <c r="J56" i="3"/>
  <c r="H56" i="3"/>
  <c r="G56" i="3"/>
  <c r="F56" i="3"/>
  <c r="E56" i="3"/>
  <c r="N71" i="1"/>
  <c r="M71" i="1"/>
  <c r="L71" i="1"/>
  <c r="I71" i="1"/>
  <c r="H71" i="1"/>
  <c r="G71" i="1"/>
  <c r="J118" i="1"/>
  <c r="I237" i="3" s="1"/>
  <c r="I235" i="3" s="1"/>
  <c r="I231" i="3" s="1"/>
  <c r="J117" i="1"/>
  <c r="I236" i="3" s="1"/>
  <c r="I234" i="3" s="1"/>
  <c r="E118" i="1"/>
  <c r="P118" i="1" s="1"/>
  <c r="O237" i="3" s="1"/>
  <c r="O235" i="3" s="1"/>
  <c r="O231" i="3" s="1"/>
  <c r="E117" i="1"/>
  <c r="P117" i="1" s="1"/>
  <c r="O236" i="3" s="1"/>
  <c r="O234" i="3" s="1"/>
  <c r="J89" i="1"/>
  <c r="I56" i="3" s="1"/>
  <c r="J88" i="1"/>
  <c r="I55" i="3" s="1"/>
  <c r="E89" i="1"/>
  <c r="P89" i="1" s="1"/>
  <c r="O56" i="3" s="1"/>
  <c r="E88" i="1"/>
  <c r="P88" i="1" s="1"/>
  <c r="O55" i="3" s="1"/>
  <c r="O71" i="1"/>
  <c r="K71" i="1"/>
  <c r="D237" i="3" l="1"/>
  <c r="D235" i="3" s="1"/>
  <c r="D231" i="3" s="1"/>
  <c r="D56" i="3"/>
  <c r="O53" i="3"/>
  <c r="O27" i="3" s="1"/>
  <c r="P66" i="1"/>
  <c r="D55" i="3"/>
  <c r="D236" i="3"/>
  <c r="D234" i="3" s="1"/>
  <c r="F64" i="1"/>
  <c r="O152" i="1" l="1"/>
  <c r="K152" i="1"/>
  <c r="J163" i="1" l="1"/>
  <c r="E163" i="1" l="1"/>
  <c r="P163" i="1" s="1"/>
  <c r="O151" i="1"/>
  <c r="K151" i="1"/>
  <c r="E20" i="3" l="1"/>
  <c r="K122" i="1"/>
  <c r="N54" i="3"/>
  <c r="N33" i="3" s="1"/>
  <c r="M54" i="3"/>
  <c r="M33" i="3" s="1"/>
  <c r="L54" i="3"/>
  <c r="L33" i="3" s="1"/>
  <c r="K54" i="3"/>
  <c r="K33" i="3" s="1"/>
  <c r="J54" i="3"/>
  <c r="J33" i="3" s="1"/>
  <c r="H54" i="3"/>
  <c r="H33" i="3" s="1"/>
  <c r="G54" i="3"/>
  <c r="G33" i="3" s="1"/>
  <c r="F54" i="3"/>
  <c r="F33" i="3" s="1"/>
  <c r="E54" i="3"/>
  <c r="E33" i="3" s="1"/>
  <c r="J87" i="1"/>
  <c r="J71" i="1" s="1"/>
  <c r="E87" i="1"/>
  <c r="E71" i="1" s="1"/>
  <c r="E238" i="3" l="1"/>
  <c r="E230" i="3" s="1"/>
  <c r="P87" i="1"/>
  <c r="P71" i="1" s="1"/>
  <c r="D54" i="3"/>
  <c r="D33" i="3" s="1"/>
  <c r="I54" i="3"/>
  <c r="I33" i="3" s="1"/>
  <c r="O234" i="1"/>
  <c r="O216" i="1" s="1"/>
  <c r="K234" i="1"/>
  <c r="K216" i="1" s="1"/>
  <c r="O54" i="3" l="1"/>
  <c r="O33" i="3" s="1"/>
  <c r="F193" i="1"/>
  <c r="F159" i="1" s="1"/>
  <c r="G56" i="1" l="1"/>
  <c r="G18" i="1" s="1"/>
  <c r="I226" i="1" l="1"/>
  <c r="I216" i="1" s="1"/>
  <c r="F303" i="1"/>
  <c r="F292" i="1"/>
  <c r="F288" i="1"/>
  <c r="N172" i="3" l="1"/>
  <c r="M172" i="3"/>
  <c r="L172" i="3"/>
  <c r="K172" i="3"/>
  <c r="J172" i="3"/>
  <c r="H172" i="3"/>
  <c r="G172" i="3"/>
  <c r="F172" i="3"/>
  <c r="E172" i="3"/>
  <c r="K127" i="1" l="1"/>
  <c r="N52" i="3" l="1"/>
  <c r="M52" i="3"/>
  <c r="L52" i="3"/>
  <c r="K52" i="3"/>
  <c r="J52" i="3"/>
  <c r="H52" i="3"/>
  <c r="G52" i="3"/>
  <c r="F52" i="3"/>
  <c r="E52" i="3"/>
  <c r="J85" i="1"/>
  <c r="I52" i="3" s="1"/>
  <c r="E85" i="1"/>
  <c r="J274" i="1"/>
  <c r="I240" i="3" s="1"/>
  <c r="E274" i="1"/>
  <c r="D240" i="3" s="1"/>
  <c r="D52" i="3" l="1"/>
  <c r="P274" i="1"/>
  <c r="O240" i="3" s="1"/>
  <c r="P85" i="1"/>
  <c r="O52" i="3" s="1"/>
  <c r="J120" i="1"/>
  <c r="E120" i="1" l="1"/>
  <c r="N74" i="3"/>
  <c r="N32" i="3" s="1"/>
  <c r="M74" i="3"/>
  <c r="M32" i="3" s="1"/>
  <c r="L74" i="3"/>
  <c r="L32" i="3" s="1"/>
  <c r="K74" i="3"/>
  <c r="K32" i="3" s="1"/>
  <c r="J74" i="3"/>
  <c r="J32" i="3" s="1"/>
  <c r="H74" i="3"/>
  <c r="H32" i="3" s="1"/>
  <c r="G74" i="3"/>
  <c r="G32" i="3" s="1"/>
  <c r="F74" i="3"/>
  <c r="F32" i="3" s="1"/>
  <c r="E74" i="3"/>
  <c r="E32" i="3" s="1"/>
  <c r="N73" i="3"/>
  <c r="M73" i="3"/>
  <c r="L73" i="3"/>
  <c r="K73" i="3"/>
  <c r="J73" i="3"/>
  <c r="H73" i="3"/>
  <c r="G73" i="3"/>
  <c r="F73" i="3"/>
  <c r="E73" i="3"/>
  <c r="O70" i="1"/>
  <c r="N70" i="1"/>
  <c r="M70" i="1"/>
  <c r="L70" i="1"/>
  <c r="K70" i="1"/>
  <c r="I70" i="1"/>
  <c r="H70" i="1"/>
  <c r="G70" i="1"/>
  <c r="F70" i="1"/>
  <c r="J106" i="1"/>
  <c r="I74" i="3" s="1"/>
  <c r="I32" i="3" s="1"/>
  <c r="J105" i="1"/>
  <c r="I73" i="3" s="1"/>
  <c r="E106" i="1"/>
  <c r="P106" i="1" s="1"/>
  <c r="O74" i="3" s="1"/>
  <c r="O32" i="3" s="1"/>
  <c r="E105" i="1"/>
  <c r="P105" i="1" s="1"/>
  <c r="O73" i="3" s="1"/>
  <c r="D74" i="3" l="1"/>
  <c r="D32" i="3" s="1"/>
  <c r="E70" i="1"/>
  <c r="P120" i="1"/>
  <c r="D73" i="3"/>
  <c r="J70" i="1"/>
  <c r="P70" i="1"/>
  <c r="N225" i="3" l="1"/>
  <c r="M225" i="3"/>
  <c r="L225" i="3"/>
  <c r="K225" i="3"/>
  <c r="J225" i="3"/>
  <c r="H225" i="3"/>
  <c r="G225" i="3"/>
  <c r="F225" i="3"/>
  <c r="E225" i="3"/>
  <c r="M203" i="3"/>
  <c r="L203" i="3"/>
  <c r="K203" i="3"/>
  <c r="H203" i="3"/>
  <c r="G203" i="3"/>
  <c r="F203" i="3"/>
  <c r="N58" i="3"/>
  <c r="M58" i="3"/>
  <c r="L58" i="3"/>
  <c r="K58" i="3"/>
  <c r="J58" i="3"/>
  <c r="H58" i="3"/>
  <c r="G58" i="3"/>
  <c r="F58" i="3"/>
  <c r="E58" i="3"/>
  <c r="E207" i="1"/>
  <c r="J207" i="1"/>
  <c r="I58" i="3" s="1"/>
  <c r="D58" i="3" l="1"/>
  <c r="P207" i="1"/>
  <c r="O58" i="3" s="1"/>
  <c r="N213" i="3" l="1"/>
  <c r="M213" i="3"/>
  <c r="L213" i="3"/>
  <c r="K213" i="3"/>
  <c r="J213" i="3"/>
  <c r="H213" i="3"/>
  <c r="G213" i="3"/>
  <c r="F213" i="3"/>
  <c r="E213" i="3"/>
  <c r="E115" i="1"/>
  <c r="D213" i="3" s="1"/>
  <c r="J115" i="1"/>
  <c r="I213" i="3" s="1"/>
  <c r="N146" i="3"/>
  <c r="M146" i="3"/>
  <c r="L146" i="3"/>
  <c r="K146" i="3"/>
  <c r="J146" i="3"/>
  <c r="H146" i="3"/>
  <c r="G146" i="3"/>
  <c r="F146" i="3"/>
  <c r="E146" i="3"/>
  <c r="N135" i="3"/>
  <c r="M135" i="3"/>
  <c r="L135" i="3"/>
  <c r="K135" i="3"/>
  <c r="J135" i="3"/>
  <c r="H135" i="3"/>
  <c r="G135" i="3"/>
  <c r="F135" i="3"/>
  <c r="N117" i="3"/>
  <c r="M117" i="3"/>
  <c r="L117" i="3"/>
  <c r="K117" i="3"/>
  <c r="J117" i="3"/>
  <c r="H117" i="3"/>
  <c r="G117" i="3"/>
  <c r="F117" i="3"/>
  <c r="E117" i="3"/>
  <c r="N72" i="3"/>
  <c r="N30" i="3" s="1"/>
  <c r="M72" i="3"/>
  <c r="M30" i="3" s="1"/>
  <c r="L72" i="3"/>
  <c r="L30" i="3" s="1"/>
  <c r="K72" i="3"/>
  <c r="K30" i="3" s="1"/>
  <c r="J72" i="3"/>
  <c r="J30" i="3" s="1"/>
  <c r="H72" i="3"/>
  <c r="H30" i="3" s="1"/>
  <c r="G72" i="3"/>
  <c r="G30" i="3" s="1"/>
  <c r="F72" i="3"/>
  <c r="F30" i="3" s="1"/>
  <c r="E72" i="3"/>
  <c r="E30" i="3" s="1"/>
  <c r="N71" i="3"/>
  <c r="M71" i="3"/>
  <c r="L71" i="3"/>
  <c r="K71" i="3"/>
  <c r="J71" i="3"/>
  <c r="H71" i="3"/>
  <c r="G71" i="3"/>
  <c r="F71" i="3"/>
  <c r="E71" i="3"/>
  <c r="N64" i="3"/>
  <c r="M64" i="3"/>
  <c r="L64" i="3"/>
  <c r="K64" i="3"/>
  <c r="J64" i="3"/>
  <c r="H64" i="3"/>
  <c r="G64" i="3"/>
  <c r="F64" i="3"/>
  <c r="E64" i="3"/>
  <c r="B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E61" i="3"/>
  <c r="N60" i="3"/>
  <c r="M60" i="3"/>
  <c r="L60" i="3"/>
  <c r="K60" i="3"/>
  <c r="J60" i="3"/>
  <c r="H60" i="3"/>
  <c r="G60" i="3"/>
  <c r="F60" i="3"/>
  <c r="E60" i="3"/>
  <c r="N59" i="3"/>
  <c r="M59" i="3"/>
  <c r="L59" i="3"/>
  <c r="K59" i="3"/>
  <c r="J59" i="3"/>
  <c r="H59" i="3"/>
  <c r="G59" i="3"/>
  <c r="F59" i="3"/>
  <c r="E59" i="3"/>
  <c r="N57" i="3"/>
  <c r="M57" i="3"/>
  <c r="L57" i="3"/>
  <c r="K57" i="3"/>
  <c r="J57" i="3"/>
  <c r="H57" i="3"/>
  <c r="G57" i="3"/>
  <c r="F57" i="3"/>
  <c r="E57" i="3"/>
  <c r="N51" i="3"/>
  <c r="M51" i="3"/>
  <c r="L51" i="3"/>
  <c r="K51" i="3"/>
  <c r="J51" i="3"/>
  <c r="H51" i="3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N28" i="3" s="1"/>
  <c r="M49" i="3"/>
  <c r="M28" i="3" s="1"/>
  <c r="L49" i="3"/>
  <c r="L28" i="3" s="1"/>
  <c r="K49" i="3"/>
  <c r="K28" i="3" s="1"/>
  <c r="J49" i="3"/>
  <c r="J28" i="3" s="1"/>
  <c r="H49" i="3"/>
  <c r="H28" i="3" s="1"/>
  <c r="G49" i="3"/>
  <c r="G28" i="3" s="1"/>
  <c r="F49" i="3"/>
  <c r="F28" i="3" s="1"/>
  <c r="E49" i="3"/>
  <c r="E28" i="3" s="1"/>
  <c r="N48" i="3"/>
  <c r="M48" i="3"/>
  <c r="L48" i="3"/>
  <c r="K48" i="3"/>
  <c r="J48" i="3"/>
  <c r="H48" i="3"/>
  <c r="G48" i="3"/>
  <c r="F48" i="3"/>
  <c r="E48" i="3"/>
  <c r="N47" i="3"/>
  <c r="M47" i="3"/>
  <c r="L47" i="3"/>
  <c r="K47" i="3"/>
  <c r="J47" i="3"/>
  <c r="H47" i="3"/>
  <c r="G47" i="3"/>
  <c r="F47" i="3"/>
  <c r="E47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L36" i="3"/>
  <c r="K36" i="3"/>
  <c r="K25" i="3" s="1"/>
  <c r="J36" i="3"/>
  <c r="H36" i="3"/>
  <c r="H25" i="3" s="1"/>
  <c r="G36" i="3"/>
  <c r="F36" i="3"/>
  <c r="E36" i="3"/>
  <c r="M25" i="3" l="1"/>
  <c r="F25" i="3"/>
  <c r="E25" i="3"/>
  <c r="G25" i="3"/>
  <c r="J25" i="3"/>
  <c r="L25" i="3"/>
  <c r="N25" i="3"/>
  <c r="N203" i="3"/>
  <c r="E26" i="3"/>
  <c r="G26" i="3"/>
  <c r="F26" i="3"/>
  <c r="H26" i="3"/>
  <c r="P115" i="1"/>
  <c r="O213" i="3" s="1"/>
  <c r="J26" i="3"/>
  <c r="N26" i="3"/>
  <c r="K26" i="3"/>
  <c r="M26" i="3"/>
  <c r="L26" i="3"/>
  <c r="J116" i="1"/>
  <c r="J114" i="1"/>
  <c r="J111" i="1"/>
  <c r="J109" i="1"/>
  <c r="J108" i="1"/>
  <c r="J107" i="1"/>
  <c r="E116" i="1"/>
  <c r="E114" i="1"/>
  <c r="E111" i="1"/>
  <c r="E109" i="1"/>
  <c r="E108" i="1"/>
  <c r="E107" i="1"/>
  <c r="P107" i="1" l="1"/>
  <c r="P109" i="1"/>
  <c r="P114" i="1"/>
  <c r="P111" i="1"/>
  <c r="P116" i="1"/>
  <c r="P108" i="1"/>
  <c r="O69" i="1"/>
  <c r="N69" i="1"/>
  <c r="M69" i="1"/>
  <c r="L69" i="1"/>
  <c r="K69" i="1"/>
  <c r="I69" i="1"/>
  <c r="H69" i="1"/>
  <c r="G69" i="1"/>
  <c r="F69" i="1"/>
  <c r="O67" i="1"/>
  <c r="N67" i="1"/>
  <c r="M67" i="1"/>
  <c r="L67" i="1"/>
  <c r="K67" i="1"/>
  <c r="I67" i="1"/>
  <c r="H67" i="1"/>
  <c r="G67" i="1"/>
  <c r="F67" i="1"/>
  <c r="O64" i="1"/>
  <c r="N64" i="1"/>
  <c r="M64" i="1"/>
  <c r="L64" i="1"/>
  <c r="K64" i="1"/>
  <c r="I64" i="1"/>
  <c r="H64" i="1"/>
  <c r="G64" i="1"/>
  <c r="J95" i="1"/>
  <c r="I63" i="3" s="1"/>
  <c r="E95" i="1"/>
  <c r="D63" i="3" s="1"/>
  <c r="J84" i="1"/>
  <c r="I51" i="3" s="1"/>
  <c r="E84" i="1"/>
  <c r="D51" i="3" s="1"/>
  <c r="P95" i="1" l="1"/>
  <c r="O63" i="3" s="1"/>
  <c r="P84" i="1"/>
  <c r="O51" i="3" s="1"/>
  <c r="J203" i="3" l="1"/>
  <c r="O153" i="1"/>
  <c r="E135" i="3" l="1"/>
  <c r="D209" i="1" l="1"/>
  <c r="E203" i="3" l="1"/>
  <c r="D56" i="1" l="1"/>
  <c r="N210" i="3" l="1"/>
  <c r="M210" i="3"/>
  <c r="L210" i="3"/>
  <c r="K210" i="3"/>
  <c r="J210" i="3"/>
  <c r="H210" i="3"/>
  <c r="G210" i="3"/>
  <c r="F210" i="3"/>
  <c r="E210" i="3"/>
  <c r="N176" i="3"/>
  <c r="N179" i="3"/>
  <c r="M179" i="3"/>
  <c r="L179" i="3"/>
  <c r="K179" i="3"/>
  <c r="J179" i="3"/>
  <c r="H179" i="3"/>
  <c r="G179" i="3"/>
  <c r="F179" i="3"/>
  <c r="E179" i="3"/>
  <c r="O205" i="1"/>
  <c r="N205" i="1"/>
  <c r="M205" i="1"/>
  <c r="L205" i="1"/>
  <c r="K205" i="1"/>
  <c r="I205" i="1"/>
  <c r="H205" i="1"/>
  <c r="G205" i="1"/>
  <c r="F205" i="1"/>
  <c r="N208" i="3"/>
  <c r="M208" i="3"/>
  <c r="L208" i="3"/>
  <c r="K208" i="3"/>
  <c r="J208" i="3"/>
  <c r="H208" i="3"/>
  <c r="G208" i="3"/>
  <c r="F208" i="3"/>
  <c r="E208" i="3"/>
  <c r="O221" i="1"/>
  <c r="N221" i="1"/>
  <c r="M221" i="1"/>
  <c r="L221" i="1"/>
  <c r="K221" i="1"/>
  <c r="I221" i="1"/>
  <c r="H221" i="1"/>
  <c r="G221" i="1"/>
  <c r="F221" i="1"/>
  <c r="J279" i="1"/>
  <c r="E279" i="1"/>
  <c r="E245" i="1"/>
  <c r="D208" i="3" s="1"/>
  <c r="J245" i="1"/>
  <c r="I208" i="3" s="1"/>
  <c r="E212" i="1"/>
  <c r="D175" i="3" s="1"/>
  <c r="J212" i="1"/>
  <c r="I175" i="3" s="1"/>
  <c r="D179" i="3" l="1"/>
  <c r="I179" i="3"/>
  <c r="P212" i="1"/>
  <c r="O175" i="3" s="1"/>
  <c r="P245" i="1"/>
  <c r="E221" i="1"/>
  <c r="P279" i="1"/>
  <c r="J221" i="1"/>
  <c r="E21" i="3"/>
  <c r="F21" i="3"/>
  <c r="G21" i="3"/>
  <c r="H21" i="3"/>
  <c r="J21" i="3"/>
  <c r="K21" i="3"/>
  <c r="L21" i="3"/>
  <c r="M21" i="3"/>
  <c r="N21" i="3"/>
  <c r="O179" i="3" l="1"/>
  <c r="O208" i="3"/>
  <c r="P221" i="1"/>
  <c r="N195" i="3"/>
  <c r="M195" i="3"/>
  <c r="L195" i="3"/>
  <c r="K195" i="3"/>
  <c r="J195" i="3"/>
  <c r="H195" i="3"/>
  <c r="G195" i="3"/>
  <c r="F195" i="3"/>
  <c r="E195" i="3"/>
  <c r="J48" i="1" l="1"/>
  <c r="I195" i="3" s="1"/>
  <c r="E48" i="1"/>
  <c r="J22" i="1"/>
  <c r="I21" i="3" s="1"/>
  <c r="E22" i="1"/>
  <c r="D195" i="3" l="1"/>
  <c r="P48" i="1"/>
  <c r="O195" i="3" s="1"/>
  <c r="P22" i="1"/>
  <c r="O21" i="3" s="1"/>
  <c r="D21" i="3"/>
  <c r="F198" i="1" l="1"/>
  <c r="G198" i="1"/>
  <c r="H198" i="1"/>
  <c r="I198" i="1"/>
  <c r="K198" i="1"/>
  <c r="L198" i="1"/>
  <c r="M198" i="1"/>
  <c r="N198" i="1"/>
  <c r="O198" i="1"/>
  <c r="E84" i="3" l="1"/>
  <c r="F84" i="3"/>
  <c r="G84" i="3"/>
  <c r="H84" i="3"/>
  <c r="J84" i="3"/>
  <c r="K84" i="3"/>
  <c r="L84" i="3"/>
  <c r="M84" i="3"/>
  <c r="N84" i="3"/>
  <c r="F122" i="1" l="1"/>
  <c r="G122" i="1"/>
  <c r="H122" i="1"/>
  <c r="I122" i="1"/>
  <c r="L122" i="1"/>
  <c r="M122" i="1"/>
  <c r="N122" i="1"/>
  <c r="O122" i="1"/>
  <c r="E135" i="1"/>
  <c r="J135" i="1"/>
  <c r="I84" i="3" s="1"/>
  <c r="D135" i="1"/>
  <c r="P135" i="1" l="1"/>
  <c r="O84" i="3" s="1"/>
  <c r="D84" i="3"/>
  <c r="E194" i="3"/>
  <c r="F194" i="3"/>
  <c r="G194" i="3"/>
  <c r="H194" i="3"/>
  <c r="J194" i="3"/>
  <c r="K194" i="3"/>
  <c r="L194" i="3"/>
  <c r="M194" i="3"/>
  <c r="N194" i="3"/>
  <c r="E241" i="1"/>
  <c r="J241" i="1"/>
  <c r="F219" i="1"/>
  <c r="F307" i="1" s="1"/>
  <c r="G219" i="1"/>
  <c r="G307" i="1" s="1"/>
  <c r="H219" i="1"/>
  <c r="H307" i="1" s="1"/>
  <c r="I219" i="1"/>
  <c r="I307" i="1" s="1"/>
  <c r="K219" i="1"/>
  <c r="K307" i="1" s="1"/>
  <c r="L219" i="1"/>
  <c r="L307" i="1" s="1"/>
  <c r="M219" i="1"/>
  <c r="M307" i="1" s="1"/>
  <c r="N219" i="1"/>
  <c r="N307" i="1" s="1"/>
  <c r="O219" i="1"/>
  <c r="O307" i="1" s="1"/>
  <c r="D194" i="3" l="1"/>
  <c r="D197" i="3"/>
  <c r="D187" i="3" s="1"/>
  <c r="J219" i="1"/>
  <c r="I197" i="3"/>
  <c r="I187" i="3" s="1"/>
  <c r="E219" i="1"/>
  <c r="P241" i="1"/>
  <c r="O197" i="3" s="1"/>
  <c r="O187" i="3" s="1"/>
  <c r="I194" i="3"/>
  <c r="E203" i="1"/>
  <c r="E198" i="1" s="1"/>
  <c r="J203" i="1"/>
  <c r="L157" i="1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2" i="3"/>
  <c r="F132" i="3"/>
  <c r="G132" i="3"/>
  <c r="H132" i="3"/>
  <c r="J132" i="3"/>
  <c r="K132" i="3"/>
  <c r="L132" i="3"/>
  <c r="M132" i="3"/>
  <c r="N132" i="3"/>
  <c r="E133" i="3"/>
  <c r="E98" i="3" s="1"/>
  <c r="F133" i="3"/>
  <c r="F98" i="3" s="1"/>
  <c r="G133" i="3"/>
  <c r="G98" i="3" s="1"/>
  <c r="H133" i="3"/>
  <c r="H98" i="3" s="1"/>
  <c r="J133" i="3"/>
  <c r="J98" i="3" s="1"/>
  <c r="K133" i="3"/>
  <c r="K98" i="3" s="1"/>
  <c r="L133" i="3"/>
  <c r="L98" i="3" s="1"/>
  <c r="M133" i="3"/>
  <c r="M98" i="3" s="1"/>
  <c r="N133" i="3"/>
  <c r="N98" i="3" s="1"/>
  <c r="E186" i="1"/>
  <c r="E185" i="1"/>
  <c r="D128" i="3" s="1"/>
  <c r="J186" i="1"/>
  <c r="J160" i="1" s="1"/>
  <c r="J185" i="1"/>
  <c r="I128" i="3" s="1"/>
  <c r="E160" i="3"/>
  <c r="F160" i="3"/>
  <c r="F152" i="3" s="1"/>
  <c r="G160" i="3"/>
  <c r="G152" i="3" s="1"/>
  <c r="H160" i="3"/>
  <c r="H152" i="3" s="1"/>
  <c r="J160" i="3"/>
  <c r="J152" i="3" s="1"/>
  <c r="K160" i="3"/>
  <c r="K152" i="3" s="1"/>
  <c r="L160" i="3"/>
  <c r="L152" i="3" s="1"/>
  <c r="M160" i="3"/>
  <c r="N160" i="3"/>
  <c r="N152" i="3" s="1"/>
  <c r="D160" i="3"/>
  <c r="D152" i="3" s="1"/>
  <c r="E152" i="3"/>
  <c r="M152" i="3"/>
  <c r="J189" i="1"/>
  <c r="I132" i="3" s="1"/>
  <c r="J190" i="1"/>
  <c r="J158" i="1" s="1"/>
  <c r="E189" i="1"/>
  <c r="D132" i="3" s="1"/>
  <c r="E190" i="1"/>
  <c r="F158" i="1"/>
  <c r="G158" i="1"/>
  <c r="H158" i="1"/>
  <c r="I158" i="1"/>
  <c r="K158" i="1"/>
  <c r="L158" i="1"/>
  <c r="M158" i="1"/>
  <c r="N158" i="1"/>
  <c r="O158" i="1"/>
  <c r="F157" i="1"/>
  <c r="G157" i="1"/>
  <c r="H157" i="1"/>
  <c r="I157" i="1"/>
  <c r="K157" i="1"/>
  <c r="M157" i="1"/>
  <c r="N157" i="1"/>
  <c r="O157" i="1"/>
  <c r="D157" i="1"/>
  <c r="D190" i="1"/>
  <c r="D158" i="1"/>
  <c r="D189" i="1"/>
  <c r="J23" i="1"/>
  <c r="I22" i="3" s="1"/>
  <c r="J24" i="1"/>
  <c r="J25" i="1"/>
  <c r="J20" i="1" s="1"/>
  <c r="E25" i="1"/>
  <c r="D24" i="3" s="1"/>
  <c r="D19" i="3" s="1"/>
  <c r="D20" i="1"/>
  <c r="D25" i="1"/>
  <c r="E24" i="3"/>
  <c r="E19" i="3" s="1"/>
  <c r="F24" i="3"/>
  <c r="F19" i="3" s="1"/>
  <c r="G24" i="3"/>
  <c r="G19" i="3" s="1"/>
  <c r="H24" i="3"/>
  <c r="H19" i="3" s="1"/>
  <c r="I24" i="3"/>
  <c r="I19" i="3" s="1"/>
  <c r="J24" i="3"/>
  <c r="J19" i="3" s="1"/>
  <c r="K24" i="3"/>
  <c r="K19" i="3" s="1"/>
  <c r="L24" i="3"/>
  <c r="L19" i="3" s="1"/>
  <c r="M24" i="3"/>
  <c r="M19" i="3" s="1"/>
  <c r="N24" i="3"/>
  <c r="N19" i="3" s="1"/>
  <c r="F20" i="1"/>
  <c r="G20" i="1"/>
  <c r="H20" i="1"/>
  <c r="I20" i="1"/>
  <c r="K20" i="1"/>
  <c r="L20" i="1"/>
  <c r="M20" i="1"/>
  <c r="N20" i="1"/>
  <c r="O20" i="1"/>
  <c r="D129" i="3" l="1"/>
  <c r="D100" i="3" s="1"/>
  <c r="E160" i="1"/>
  <c r="N97" i="3"/>
  <c r="N100" i="3"/>
  <c r="L97" i="3"/>
  <c r="L100" i="3"/>
  <c r="J97" i="3"/>
  <c r="J100" i="3"/>
  <c r="G97" i="3"/>
  <c r="G100" i="3"/>
  <c r="E97" i="3"/>
  <c r="E100" i="3"/>
  <c r="M97" i="3"/>
  <c r="M100" i="3"/>
  <c r="K97" i="3"/>
  <c r="K100" i="3"/>
  <c r="H97" i="3"/>
  <c r="H100" i="3"/>
  <c r="F97" i="3"/>
  <c r="F100" i="3"/>
  <c r="P219" i="1"/>
  <c r="O194" i="3"/>
  <c r="P203" i="1"/>
  <c r="P198" i="1" s="1"/>
  <c r="J198" i="1"/>
  <c r="P186" i="1"/>
  <c r="I160" i="3"/>
  <c r="I152" i="3" s="1"/>
  <c r="D133" i="3"/>
  <c r="D98" i="3" s="1"/>
  <c r="I129" i="3"/>
  <c r="J157" i="1"/>
  <c r="I133" i="3"/>
  <c r="I98" i="3" s="1"/>
  <c r="O160" i="3"/>
  <c r="O152" i="3" s="1"/>
  <c r="P185" i="1"/>
  <c r="P189" i="1"/>
  <c r="O132" i="3" s="1"/>
  <c r="E157" i="1"/>
  <c r="D97" i="3"/>
  <c r="P190" i="1"/>
  <c r="E158" i="1"/>
  <c r="P25" i="1"/>
  <c r="P20" i="1" s="1"/>
  <c r="E20" i="1"/>
  <c r="O129" i="3" l="1"/>
  <c r="O100" i="3" s="1"/>
  <c r="P160" i="1"/>
  <c r="I97" i="3"/>
  <c r="I100" i="3"/>
  <c r="O97" i="3"/>
  <c r="P157" i="1"/>
  <c r="O128" i="3"/>
  <c r="P158" i="1"/>
  <c r="O133" i="3"/>
  <c r="O98" i="3" s="1"/>
  <c r="O24" i="3"/>
  <c r="O19" i="3" s="1"/>
  <c r="N159" i="3" l="1"/>
  <c r="M159" i="3"/>
  <c r="L159" i="3"/>
  <c r="K159" i="3"/>
  <c r="J159" i="3"/>
  <c r="H159" i="3"/>
  <c r="G159" i="3"/>
  <c r="F159" i="3"/>
  <c r="E159" i="3"/>
  <c r="O197" i="1"/>
  <c r="N197" i="1"/>
  <c r="M197" i="1"/>
  <c r="L197" i="1"/>
  <c r="I197" i="1"/>
  <c r="H197" i="1"/>
  <c r="J202" i="1"/>
  <c r="I159" i="3" s="1"/>
  <c r="E202" i="1"/>
  <c r="D159" i="3" s="1"/>
  <c r="E272" i="1"/>
  <c r="E270" i="1"/>
  <c r="D184" i="3" s="1"/>
  <c r="N46" i="3"/>
  <c r="M46" i="3"/>
  <c r="L46" i="3"/>
  <c r="K46" i="3"/>
  <c r="J46" i="3"/>
  <c r="H46" i="3"/>
  <c r="G46" i="3"/>
  <c r="F46" i="3"/>
  <c r="E46" i="3"/>
  <c r="I46" i="3"/>
  <c r="N23" i="3"/>
  <c r="M23" i="3"/>
  <c r="L23" i="3"/>
  <c r="K23" i="3"/>
  <c r="J23" i="3"/>
  <c r="H23" i="3"/>
  <c r="G23" i="3"/>
  <c r="F23" i="3"/>
  <c r="E23" i="3"/>
  <c r="I23" i="3"/>
  <c r="E24" i="1"/>
  <c r="O46" i="3" l="1"/>
  <c r="P202" i="1"/>
  <c r="O159" i="3" s="1"/>
  <c r="D46" i="3"/>
  <c r="P24" i="1"/>
  <c r="D23" i="3"/>
  <c r="J154" i="1"/>
  <c r="E154" i="1"/>
  <c r="O23" i="3" l="1"/>
  <c r="P154" i="1"/>
  <c r="J270" i="1" l="1"/>
  <c r="I184" i="3" s="1"/>
  <c r="P270" i="1" l="1"/>
  <c r="O184" i="3" s="1"/>
  <c r="N68" i="1" l="1"/>
  <c r="M68" i="1"/>
  <c r="L68" i="1"/>
  <c r="I68" i="1"/>
  <c r="H68" i="1"/>
  <c r="G68" i="1"/>
  <c r="J92" i="1"/>
  <c r="I60" i="3" s="1"/>
  <c r="E92" i="1"/>
  <c r="D60" i="3" s="1"/>
  <c r="P92" i="1" l="1"/>
  <c r="O60" i="3" s="1"/>
  <c r="J295" i="1"/>
  <c r="M199" i="3" l="1"/>
  <c r="M198" i="3" s="1"/>
  <c r="L199" i="3"/>
  <c r="L198" i="3" s="1"/>
  <c r="K199" i="3"/>
  <c r="K198" i="3" s="1"/>
  <c r="H199" i="3"/>
  <c r="H198" i="3" s="1"/>
  <c r="G199" i="3"/>
  <c r="G198" i="3" s="1"/>
  <c r="F199" i="3"/>
  <c r="F198" i="3" s="1"/>
  <c r="J242" i="1" l="1"/>
  <c r="E242" i="1"/>
  <c r="P242" i="1" l="1"/>
  <c r="N178" i="3" l="1"/>
  <c r="M178" i="3"/>
  <c r="L178" i="3"/>
  <c r="K178" i="3"/>
  <c r="J178" i="3"/>
  <c r="H178" i="3"/>
  <c r="G178" i="3"/>
  <c r="F178" i="3"/>
  <c r="E178" i="3"/>
  <c r="J267" i="1"/>
  <c r="E267" i="1"/>
  <c r="E265" i="1"/>
  <c r="O294" i="1"/>
  <c r="O293" i="1" s="1"/>
  <c r="N294" i="1"/>
  <c r="N293" i="1" s="1"/>
  <c r="M294" i="1"/>
  <c r="M293" i="1" s="1"/>
  <c r="L294" i="1"/>
  <c r="L293" i="1" s="1"/>
  <c r="K294" i="1"/>
  <c r="K293" i="1" s="1"/>
  <c r="J294" i="1"/>
  <c r="J293" i="1" s="1"/>
  <c r="I294" i="1"/>
  <c r="I293" i="1" s="1"/>
  <c r="H294" i="1"/>
  <c r="H293" i="1" s="1"/>
  <c r="G294" i="1"/>
  <c r="G293" i="1" s="1"/>
  <c r="F294" i="1"/>
  <c r="F293" i="1" s="1"/>
  <c r="E295" i="1"/>
  <c r="P295" i="1" s="1"/>
  <c r="P294" i="1" s="1"/>
  <c r="P293" i="1" s="1"/>
  <c r="N199" i="3"/>
  <c r="N198" i="3" s="1"/>
  <c r="J199" i="3"/>
  <c r="J198" i="3" s="1"/>
  <c r="E294" i="1" l="1"/>
  <c r="E293" i="1" s="1"/>
  <c r="P267" i="1"/>
  <c r="O68" i="1"/>
  <c r="K68" i="1"/>
  <c r="F68" i="1"/>
  <c r="O124" i="1" l="1"/>
  <c r="N124" i="1"/>
  <c r="M124" i="1"/>
  <c r="L124" i="1"/>
  <c r="K124" i="1"/>
  <c r="I124" i="1"/>
  <c r="H124" i="1"/>
  <c r="G124" i="1"/>
  <c r="F124" i="1"/>
  <c r="J149" i="1"/>
  <c r="J150" i="1"/>
  <c r="E149" i="1"/>
  <c r="E150" i="1"/>
  <c r="J128" i="1" l="1"/>
  <c r="E124" i="1"/>
  <c r="E128" i="1"/>
  <c r="P150" i="1"/>
  <c r="P149" i="1"/>
  <c r="J124" i="1"/>
  <c r="P124" i="1" l="1"/>
  <c r="P128" i="1"/>
  <c r="D234" i="1"/>
  <c r="N204" i="3" l="1"/>
  <c r="M204" i="3"/>
  <c r="L204" i="3"/>
  <c r="K204" i="3"/>
  <c r="J204" i="3"/>
  <c r="H204" i="3"/>
  <c r="G204" i="3"/>
  <c r="F204" i="3"/>
  <c r="E204" i="3"/>
  <c r="F201" i="3" l="1"/>
  <c r="F166" i="3" s="1"/>
  <c r="F246" i="3" s="1"/>
  <c r="H201" i="3"/>
  <c r="H166" i="3" s="1"/>
  <c r="H246" i="3" s="1"/>
  <c r="K201" i="3"/>
  <c r="K166" i="3" s="1"/>
  <c r="K246" i="3" s="1"/>
  <c r="M201" i="3"/>
  <c r="M166" i="3" s="1"/>
  <c r="M246" i="3" s="1"/>
  <c r="E201" i="3"/>
  <c r="E166" i="3" s="1"/>
  <c r="E246" i="3" s="1"/>
  <c r="G201" i="3"/>
  <c r="G166" i="3" s="1"/>
  <c r="G246" i="3" s="1"/>
  <c r="L201" i="3"/>
  <c r="L166" i="3" s="1"/>
  <c r="L246" i="3" s="1"/>
  <c r="N201" i="3"/>
  <c r="N166" i="3" s="1"/>
  <c r="N246" i="3" s="1"/>
  <c r="J201" i="3"/>
  <c r="J166" i="3" s="1"/>
  <c r="J246" i="3" s="1"/>
  <c r="O129" i="1"/>
  <c r="N129" i="1"/>
  <c r="M129" i="1"/>
  <c r="L129" i="1"/>
  <c r="K129" i="1"/>
  <c r="I129" i="1"/>
  <c r="H129" i="1"/>
  <c r="G129" i="1"/>
  <c r="F129" i="1"/>
  <c r="O257" i="1"/>
  <c r="N257" i="1"/>
  <c r="M257" i="1"/>
  <c r="L257" i="1"/>
  <c r="K257" i="1"/>
  <c r="I257" i="1"/>
  <c r="H257" i="1"/>
  <c r="G257" i="1"/>
  <c r="F257" i="1"/>
  <c r="E257" i="1"/>
  <c r="F309" i="1" l="1"/>
  <c r="H309" i="1"/>
  <c r="H313" i="1" s="1"/>
  <c r="K309" i="1"/>
  <c r="M309" i="1"/>
  <c r="O309" i="1"/>
  <c r="G309" i="1"/>
  <c r="I309" i="1"/>
  <c r="I313" i="1" s="1"/>
  <c r="L309" i="1"/>
  <c r="L313" i="1" s="1"/>
  <c r="N309" i="1"/>
  <c r="M313" i="1" l="1"/>
  <c r="G313" i="1"/>
  <c r="F313" i="1"/>
  <c r="K313" i="1"/>
  <c r="N313" i="1"/>
  <c r="O313" i="1"/>
  <c r="E199" i="3"/>
  <c r="E198" i="3" s="1"/>
  <c r="M176" i="3" l="1"/>
  <c r="L176" i="3"/>
  <c r="K176" i="3"/>
  <c r="H176" i="3"/>
  <c r="G176" i="3"/>
  <c r="F176" i="3"/>
  <c r="E176" i="3"/>
  <c r="N174" i="3" l="1"/>
  <c r="M174" i="3"/>
  <c r="L174" i="3"/>
  <c r="K174" i="3"/>
  <c r="J174" i="3"/>
  <c r="H174" i="3"/>
  <c r="G174" i="3"/>
  <c r="F174" i="3"/>
  <c r="E174" i="3"/>
  <c r="M173" i="3"/>
  <c r="L173" i="3"/>
  <c r="K173" i="3"/>
  <c r="H173" i="3"/>
  <c r="G173" i="3"/>
  <c r="F173" i="3"/>
  <c r="E173" i="3"/>
  <c r="M177" i="3"/>
  <c r="L177" i="3"/>
  <c r="K177" i="3"/>
  <c r="H177" i="3"/>
  <c r="G177" i="3"/>
  <c r="F177" i="3"/>
  <c r="E177" i="3"/>
  <c r="J194" i="1" l="1"/>
  <c r="E194" i="1"/>
  <c r="D174" i="3" s="1"/>
  <c r="J147" i="1"/>
  <c r="E147" i="1"/>
  <c r="E43" i="1"/>
  <c r="E42" i="1"/>
  <c r="D176" i="3" s="1"/>
  <c r="J43" i="1"/>
  <c r="P43" i="1" s="1"/>
  <c r="J42" i="1"/>
  <c r="P42" i="1" l="1"/>
  <c r="P147" i="1"/>
  <c r="P194" i="1"/>
  <c r="O174" i="3" s="1"/>
  <c r="I174" i="3"/>
  <c r="N177" i="3"/>
  <c r="J177" i="3"/>
  <c r="E152" i="1" l="1"/>
  <c r="J152" i="1"/>
  <c r="J129" i="1" l="1"/>
  <c r="D204" i="3"/>
  <c r="E129" i="1"/>
  <c r="E309" i="1" s="1"/>
  <c r="P152" i="1"/>
  <c r="J272" i="1"/>
  <c r="J257" i="1" s="1"/>
  <c r="J309" i="1" l="1"/>
  <c r="D201" i="3"/>
  <c r="I204" i="3"/>
  <c r="P129" i="1"/>
  <c r="P272" i="1"/>
  <c r="P257" i="1" s="1"/>
  <c r="N193" i="3"/>
  <c r="M193" i="3"/>
  <c r="L193" i="3"/>
  <c r="K193" i="3"/>
  <c r="J193" i="3"/>
  <c r="H193" i="3"/>
  <c r="G193" i="3"/>
  <c r="F193" i="3"/>
  <c r="E193" i="3"/>
  <c r="N136" i="3"/>
  <c r="M136" i="3"/>
  <c r="L136" i="3"/>
  <c r="K136" i="3"/>
  <c r="J136" i="3"/>
  <c r="H136" i="3"/>
  <c r="G136" i="3"/>
  <c r="F136" i="3"/>
  <c r="N122" i="3"/>
  <c r="M122" i="3"/>
  <c r="L122" i="3"/>
  <c r="K122" i="3"/>
  <c r="J122" i="3"/>
  <c r="H122" i="3"/>
  <c r="G122" i="3"/>
  <c r="F122" i="3"/>
  <c r="E122" i="3"/>
  <c r="N120" i="3"/>
  <c r="M120" i="3"/>
  <c r="L120" i="3"/>
  <c r="K120" i="3"/>
  <c r="J120" i="3"/>
  <c r="H120" i="3"/>
  <c r="G120" i="3"/>
  <c r="F120" i="3"/>
  <c r="E120" i="3"/>
  <c r="N111" i="3"/>
  <c r="M111" i="3"/>
  <c r="L111" i="3"/>
  <c r="K111" i="3"/>
  <c r="J111" i="3"/>
  <c r="H111" i="3"/>
  <c r="G111" i="3"/>
  <c r="F111" i="3"/>
  <c r="E111" i="3"/>
  <c r="N109" i="3"/>
  <c r="M109" i="3"/>
  <c r="L109" i="3"/>
  <c r="K109" i="3"/>
  <c r="J109" i="3"/>
  <c r="H109" i="3"/>
  <c r="G109" i="3"/>
  <c r="F109" i="3"/>
  <c r="E109" i="3"/>
  <c r="N105" i="3"/>
  <c r="M105" i="3"/>
  <c r="M99" i="3" s="1"/>
  <c r="L105" i="3"/>
  <c r="K105" i="3"/>
  <c r="K99" i="3" s="1"/>
  <c r="J105" i="3"/>
  <c r="H105" i="3"/>
  <c r="H99" i="3" s="1"/>
  <c r="G105" i="3"/>
  <c r="F105" i="3"/>
  <c r="F99" i="3" s="1"/>
  <c r="N93" i="3"/>
  <c r="M93" i="3"/>
  <c r="L93" i="3"/>
  <c r="K93" i="3"/>
  <c r="J93" i="3"/>
  <c r="H93" i="3"/>
  <c r="G93" i="3"/>
  <c r="F93" i="3"/>
  <c r="E93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H90" i="3"/>
  <c r="G90" i="3"/>
  <c r="F90" i="3"/>
  <c r="E90" i="3"/>
  <c r="N88" i="3"/>
  <c r="M88" i="3"/>
  <c r="L88" i="3"/>
  <c r="K88" i="3"/>
  <c r="J88" i="3"/>
  <c r="H88" i="3"/>
  <c r="G88" i="3"/>
  <c r="F88" i="3"/>
  <c r="E88" i="3"/>
  <c r="N86" i="3"/>
  <c r="M86" i="3"/>
  <c r="L86" i="3"/>
  <c r="K86" i="3"/>
  <c r="J86" i="3"/>
  <c r="I86" i="3"/>
  <c r="H86" i="3"/>
  <c r="G86" i="3"/>
  <c r="F86" i="3"/>
  <c r="E86" i="3"/>
  <c r="N83" i="3"/>
  <c r="M83" i="3"/>
  <c r="L83" i="3"/>
  <c r="K83" i="3"/>
  <c r="J83" i="3"/>
  <c r="H83" i="3"/>
  <c r="G83" i="3"/>
  <c r="F83" i="3"/>
  <c r="E83" i="3"/>
  <c r="N82" i="3"/>
  <c r="M82" i="3"/>
  <c r="L82" i="3"/>
  <c r="K82" i="3"/>
  <c r="J82" i="3"/>
  <c r="H82" i="3"/>
  <c r="G82" i="3"/>
  <c r="F82" i="3"/>
  <c r="N81" i="3"/>
  <c r="M81" i="3"/>
  <c r="L81" i="3"/>
  <c r="K81" i="3"/>
  <c r="J81" i="3"/>
  <c r="H81" i="3"/>
  <c r="G81" i="3"/>
  <c r="F81" i="3"/>
  <c r="E81" i="3"/>
  <c r="J68" i="1"/>
  <c r="E68" i="1"/>
  <c r="O217" i="1"/>
  <c r="N217" i="1"/>
  <c r="M217" i="1"/>
  <c r="L217" i="1"/>
  <c r="K217" i="1"/>
  <c r="I217" i="1"/>
  <c r="H217" i="1"/>
  <c r="G217" i="1"/>
  <c r="F217" i="1"/>
  <c r="O123" i="1"/>
  <c r="N123" i="1"/>
  <c r="M123" i="1"/>
  <c r="L123" i="1"/>
  <c r="K123" i="1"/>
  <c r="I123" i="1"/>
  <c r="H123" i="1"/>
  <c r="G123" i="1"/>
  <c r="F123" i="1"/>
  <c r="G99" i="3" l="1"/>
  <c r="J99" i="3"/>
  <c r="L99" i="3"/>
  <c r="N99" i="3"/>
  <c r="D166" i="3"/>
  <c r="D246" i="3" s="1"/>
  <c r="P309" i="1"/>
  <c r="I201" i="3"/>
  <c r="I166" i="3" s="1"/>
  <c r="I246" i="3" s="1"/>
  <c r="O204" i="3"/>
  <c r="P68" i="1"/>
  <c r="J313" i="1" l="1"/>
  <c r="E313" i="1"/>
  <c r="O201" i="3"/>
  <c r="O166" i="3" s="1"/>
  <c r="O246" i="3" s="1"/>
  <c r="O218" i="1"/>
  <c r="N218" i="1"/>
  <c r="M218" i="1"/>
  <c r="L218" i="1"/>
  <c r="K218" i="1"/>
  <c r="I218" i="1"/>
  <c r="H218" i="1"/>
  <c r="G218" i="1"/>
  <c r="F218" i="1"/>
  <c r="P313" i="1" l="1"/>
  <c r="O126" i="1"/>
  <c r="N126" i="1"/>
  <c r="M126" i="1"/>
  <c r="L126" i="1"/>
  <c r="K126" i="1"/>
  <c r="I126" i="1"/>
  <c r="H126" i="1"/>
  <c r="G126" i="1"/>
  <c r="F126" i="1"/>
  <c r="O125" i="1"/>
  <c r="N125" i="1"/>
  <c r="M125" i="1"/>
  <c r="L125" i="1"/>
  <c r="K125" i="1"/>
  <c r="I125" i="1"/>
  <c r="H125" i="1"/>
  <c r="G125" i="1"/>
  <c r="O127" i="1" l="1"/>
  <c r="N127" i="1"/>
  <c r="M127" i="1"/>
  <c r="L127" i="1"/>
  <c r="I127" i="1"/>
  <c r="H127" i="1"/>
  <c r="G127" i="1"/>
  <c r="F127" i="1"/>
  <c r="J134" i="1"/>
  <c r="E134" i="1"/>
  <c r="J133" i="1"/>
  <c r="I82" i="3" s="1"/>
  <c r="J132" i="1"/>
  <c r="I81" i="3" s="1"/>
  <c r="E132" i="1"/>
  <c r="D81" i="3" s="1"/>
  <c r="J139" i="1"/>
  <c r="I88" i="3" s="1"/>
  <c r="E139" i="1"/>
  <c r="D88" i="3" s="1"/>
  <c r="E137" i="1"/>
  <c r="F125" i="1" l="1"/>
  <c r="E82" i="3"/>
  <c r="P137" i="1"/>
  <c r="O86" i="3" s="1"/>
  <c r="D86" i="3"/>
  <c r="J126" i="1"/>
  <c r="I83" i="3"/>
  <c r="E126" i="1"/>
  <c r="D83" i="3"/>
  <c r="E123" i="1"/>
  <c r="J123" i="1"/>
  <c r="E133" i="1"/>
  <c r="P139" i="1"/>
  <c r="O88" i="3" s="1"/>
  <c r="P132" i="1"/>
  <c r="O81" i="3" s="1"/>
  <c r="P134" i="1"/>
  <c r="P126" i="1" l="1"/>
  <c r="O83" i="3"/>
  <c r="P133" i="1"/>
  <c r="O82" i="3" s="1"/>
  <c r="D82" i="3"/>
  <c r="P123" i="1"/>
  <c r="N186" i="3"/>
  <c r="N165" i="3" s="1"/>
  <c r="M186" i="3"/>
  <c r="M165" i="3" s="1"/>
  <c r="L186" i="3"/>
  <c r="L165" i="3" s="1"/>
  <c r="K186" i="3"/>
  <c r="K165" i="3" s="1"/>
  <c r="J186" i="3"/>
  <c r="J165" i="3" s="1"/>
  <c r="H186" i="3"/>
  <c r="H165" i="3" s="1"/>
  <c r="G186" i="3"/>
  <c r="G165" i="3" s="1"/>
  <c r="F186" i="3"/>
  <c r="F165" i="3" s="1"/>
  <c r="E186" i="3"/>
  <c r="E165" i="3" s="1"/>
  <c r="N170" i="3"/>
  <c r="M170" i="3"/>
  <c r="L170" i="3"/>
  <c r="K170" i="3"/>
  <c r="J170" i="3"/>
  <c r="H170" i="3"/>
  <c r="G170" i="3"/>
  <c r="F170" i="3"/>
  <c r="E170" i="3"/>
  <c r="N78" i="3"/>
  <c r="M78" i="3"/>
  <c r="L78" i="3"/>
  <c r="K78" i="3"/>
  <c r="J78" i="3"/>
  <c r="H78" i="3"/>
  <c r="G78" i="3"/>
  <c r="F78" i="3"/>
  <c r="E78" i="3"/>
  <c r="N79" i="3"/>
  <c r="M79" i="3"/>
  <c r="L79" i="3"/>
  <c r="K79" i="3"/>
  <c r="J79" i="3"/>
  <c r="H79" i="3"/>
  <c r="G79" i="3"/>
  <c r="F79" i="3"/>
  <c r="E79" i="3"/>
  <c r="N77" i="3"/>
  <c r="M77" i="3"/>
  <c r="L77" i="3"/>
  <c r="K77" i="3"/>
  <c r="J77" i="3"/>
  <c r="H77" i="3"/>
  <c r="G77" i="3"/>
  <c r="F77" i="3"/>
  <c r="H76" i="3"/>
  <c r="G76" i="3"/>
  <c r="F76" i="3"/>
  <c r="E76" i="3"/>
  <c r="F164" i="3" l="1"/>
  <c r="F244" i="3"/>
  <c r="H164" i="3"/>
  <c r="H244" i="3"/>
  <c r="K164" i="3"/>
  <c r="K244" i="3"/>
  <c r="M164" i="3"/>
  <c r="M244" i="3"/>
  <c r="E164" i="3"/>
  <c r="E244" i="3"/>
  <c r="G164" i="3"/>
  <c r="G244" i="3"/>
  <c r="J164" i="3"/>
  <c r="J244" i="3"/>
  <c r="L164" i="3"/>
  <c r="L244" i="3"/>
  <c r="N164" i="3"/>
  <c r="N244" i="3"/>
  <c r="K76" i="3"/>
  <c r="M76" i="3"/>
  <c r="J76" i="3"/>
  <c r="L76" i="3"/>
  <c r="N76" i="3"/>
  <c r="J240" i="1"/>
  <c r="E240" i="1"/>
  <c r="D193" i="3" s="1"/>
  <c r="J238" i="1"/>
  <c r="E238" i="1"/>
  <c r="J193" i="1"/>
  <c r="I136" i="3" s="1"/>
  <c r="J179" i="1"/>
  <c r="I122" i="3" s="1"/>
  <c r="E179" i="1"/>
  <c r="D122" i="3" s="1"/>
  <c r="J177" i="1"/>
  <c r="I120" i="3" s="1"/>
  <c r="E177" i="1"/>
  <c r="D120" i="3" s="1"/>
  <c r="J173" i="1"/>
  <c r="I111" i="3" s="1"/>
  <c r="E173" i="1"/>
  <c r="D111" i="3" s="1"/>
  <c r="J171" i="1"/>
  <c r="I109" i="3" s="1"/>
  <c r="E171" i="1"/>
  <c r="D109" i="3" s="1"/>
  <c r="J167" i="1"/>
  <c r="J144" i="1"/>
  <c r="I93" i="3" s="1"/>
  <c r="E144" i="1"/>
  <c r="J143" i="1"/>
  <c r="E143" i="1"/>
  <c r="J141" i="1"/>
  <c r="I90" i="3" s="1"/>
  <c r="E141" i="1"/>
  <c r="J104" i="1"/>
  <c r="E104" i="1"/>
  <c r="J91" i="1"/>
  <c r="I59" i="3" s="1"/>
  <c r="E91" i="1"/>
  <c r="D59" i="3" s="1"/>
  <c r="J82" i="1"/>
  <c r="I49" i="3" s="1"/>
  <c r="I28" i="3" s="1"/>
  <c r="E82" i="1"/>
  <c r="D49" i="3" s="1"/>
  <c r="D28" i="3" s="1"/>
  <c r="J81" i="1"/>
  <c r="I48" i="3" s="1"/>
  <c r="I26" i="3" s="1"/>
  <c r="E81" i="1"/>
  <c r="D48" i="3" s="1"/>
  <c r="D26" i="3" s="1"/>
  <c r="J79" i="1"/>
  <c r="I45" i="3" s="1"/>
  <c r="J159" i="1" l="1"/>
  <c r="O311" i="1"/>
  <c r="K311" i="1"/>
  <c r="H311" i="1"/>
  <c r="N311" i="1"/>
  <c r="L311" i="1"/>
  <c r="I311" i="1"/>
  <c r="G311" i="1"/>
  <c r="M311" i="1"/>
  <c r="F311" i="1"/>
  <c r="J217" i="1"/>
  <c r="J220" i="1"/>
  <c r="I183" i="3"/>
  <c r="E217" i="1"/>
  <c r="E220" i="1"/>
  <c r="D183" i="3"/>
  <c r="D93" i="3"/>
  <c r="E127" i="1"/>
  <c r="D90" i="3"/>
  <c r="D78" i="3" s="1"/>
  <c r="J69" i="1"/>
  <c r="I72" i="3"/>
  <c r="I30" i="3" s="1"/>
  <c r="E69" i="1"/>
  <c r="D72" i="3"/>
  <c r="D30" i="3" s="1"/>
  <c r="J64" i="1"/>
  <c r="J307" i="1" s="1"/>
  <c r="J67" i="1"/>
  <c r="E64" i="1"/>
  <c r="E67" i="1"/>
  <c r="D170" i="3"/>
  <c r="D244" i="3" s="1"/>
  <c r="E167" i="1"/>
  <c r="E105" i="3"/>
  <c r="E193" i="1"/>
  <c r="E136" i="3"/>
  <c r="I105" i="3"/>
  <c r="I99" i="3" s="1"/>
  <c r="J218" i="1"/>
  <c r="I193" i="3"/>
  <c r="E125" i="1"/>
  <c r="D92" i="3"/>
  <c r="J125" i="1"/>
  <c r="I92" i="3"/>
  <c r="P240" i="1"/>
  <c r="E218" i="1"/>
  <c r="P238" i="1"/>
  <c r="J127" i="1"/>
  <c r="E79" i="1"/>
  <c r="P171" i="1"/>
  <c r="O109" i="3" s="1"/>
  <c r="P173" i="1"/>
  <c r="O111" i="3" s="1"/>
  <c r="P177" i="1"/>
  <c r="O120" i="3" s="1"/>
  <c r="P179" i="1"/>
  <c r="O122" i="3" s="1"/>
  <c r="P141" i="1"/>
  <c r="O90" i="3" s="1"/>
  <c r="P143" i="1"/>
  <c r="P144" i="1"/>
  <c r="O93" i="3" s="1"/>
  <c r="P81" i="1"/>
  <c r="O48" i="3" s="1"/>
  <c r="O26" i="3" s="1"/>
  <c r="P82" i="1"/>
  <c r="O49" i="3" s="1"/>
  <c r="O28" i="3" s="1"/>
  <c r="P91" i="1"/>
  <c r="O59" i="3" s="1"/>
  <c r="P104" i="1"/>
  <c r="E159" i="1" l="1"/>
  <c r="E99" i="3"/>
  <c r="D105" i="3"/>
  <c r="E307" i="1"/>
  <c r="E311" i="1" s="1"/>
  <c r="P217" i="1"/>
  <c r="P220" i="1"/>
  <c r="O183" i="3"/>
  <c r="P193" i="1"/>
  <c r="O136" i="3" s="1"/>
  <c r="P69" i="1"/>
  <c r="O72" i="3"/>
  <c r="O30" i="3" s="1"/>
  <c r="D45" i="3"/>
  <c r="P67" i="1"/>
  <c r="P64" i="1"/>
  <c r="D136" i="3"/>
  <c r="P167" i="1"/>
  <c r="P218" i="1"/>
  <c r="O193" i="3"/>
  <c r="P125" i="1"/>
  <c r="O92" i="3"/>
  <c r="P79" i="1"/>
  <c r="P127" i="1"/>
  <c r="P159" i="1" l="1"/>
  <c r="D99" i="3"/>
  <c r="O105" i="3"/>
  <c r="O99" i="3" s="1"/>
  <c r="P307" i="1"/>
  <c r="O45" i="3"/>
  <c r="C217" i="3"/>
  <c r="N220" i="3"/>
  <c r="N245" i="3" s="1"/>
  <c r="M220" i="3"/>
  <c r="M245" i="3" s="1"/>
  <c r="L220" i="3"/>
  <c r="L245" i="3" s="1"/>
  <c r="K220" i="3"/>
  <c r="K245" i="3" s="1"/>
  <c r="J220" i="3"/>
  <c r="J245" i="3" s="1"/>
  <c r="H220" i="3"/>
  <c r="H245" i="3" s="1"/>
  <c r="G220" i="3"/>
  <c r="G245" i="3" s="1"/>
  <c r="F220" i="3"/>
  <c r="F245" i="3" s="1"/>
  <c r="E220" i="3"/>
  <c r="E217" i="3" s="1"/>
  <c r="E215" i="3" s="1"/>
  <c r="D57" i="1"/>
  <c r="O19" i="1"/>
  <c r="O308" i="1" s="1"/>
  <c r="N19" i="1"/>
  <c r="N308" i="1" s="1"/>
  <c r="M19" i="1"/>
  <c r="M308" i="1" s="1"/>
  <c r="L19" i="1"/>
  <c r="L308" i="1" s="1"/>
  <c r="K19" i="1"/>
  <c r="K308" i="1" s="1"/>
  <c r="I19" i="1"/>
  <c r="I308" i="1" s="1"/>
  <c r="H19" i="1"/>
  <c r="H308" i="1" s="1"/>
  <c r="G19" i="1"/>
  <c r="G308" i="1" s="1"/>
  <c r="F19" i="1"/>
  <c r="F308" i="1" s="1"/>
  <c r="J57" i="1"/>
  <c r="J19" i="1" s="1"/>
  <c r="J308" i="1" s="1"/>
  <c r="E57" i="1"/>
  <c r="E19" i="1" s="1"/>
  <c r="E308" i="1" s="1"/>
  <c r="E245" i="3" l="1"/>
  <c r="G312" i="1"/>
  <c r="I312" i="1"/>
  <c r="L312" i="1"/>
  <c r="N312" i="1"/>
  <c r="H312" i="1"/>
  <c r="K312" i="1"/>
  <c r="M312" i="1"/>
  <c r="O312" i="1"/>
  <c r="F217" i="3"/>
  <c r="F215" i="3" s="1"/>
  <c r="K217" i="3"/>
  <c r="K215" i="3" s="1"/>
  <c r="M217" i="3"/>
  <c r="M215" i="3" s="1"/>
  <c r="H217" i="3"/>
  <c r="H215" i="3" s="1"/>
  <c r="G217" i="3"/>
  <c r="G215" i="3" s="1"/>
  <c r="J217" i="3"/>
  <c r="J215" i="3" s="1"/>
  <c r="L217" i="3"/>
  <c r="L215" i="3" s="1"/>
  <c r="N217" i="3"/>
  <c r="N215" i="3" s="1"/>
  <c r="I220" i="3"/>
  <c r="P57" i="1"/>
  <c r="D220" i="3"/>
  <c r="D245" i="3" s="1"/>
  <c r="I217" i="3" l="1"/>
  <c r="I215" i="3" s="1"/>
  <c r="D217" i="3"/>
  <c r="D215" i="3" s="1"/>
  <c r="P19" i="1"/>
  <c r="P308" i="1" s="1"/>
  <c r="O220" i="3"/>
  <c r="O217" i="3" l="1"/>
  <c r="O215" i="3" s="1"/>
  <c r="E312" i="1"/>
  <c r="E146" i="1"/>
  <c r="J61" i="1"/>
  <c r="E61" i="1"/>
  <c r="I242" i="3" l="1"/>
  <c r="D242" i="3"/>
  <c r="P61" i="1"/>
  <c r="O242" i="3" l="1"/>
  <c r="J234" i="1"/>
  <c r="I178" i="3" s="1"/>
  <c r="E234" i="1"/>
  <c r="D178" i="3" s="1"/>
  <c r="C234" i="1"/>
  <c r="P234" i="1" l="1"/>
  <c r="O178" i="3" s="1"/>
  <c r="J176" i="3" l="1"/>
  <c r="G197" i="1"/>
  <c r="F197" i="1" l="1"/>
  <c r="E218" i="3" l="1"/>
  <c r="F218" i="3"/>
  <c r="G218" i="3"/>
  <c r="H218" i="3"/>
  <c r="J218" i="3"/>
  <c r="K218" i="3"/>
  <c r="L218" i="3"/>
  <c r="M218" i="3"/>
  <c r="N218" i="3"/>
  <c r="J247" i="1"/>
  <c r="E247" i="1"/>
  <c r="C247" i="1"/>
  <c r="D247" i="1"/>
  <c r="B247" i="1"/>
  <c r="P247" i="1" l="1"/>
  <c r="E222" i="3" l="1"/>
  <c r="F222" i="3"/>
  <c r="G222" i="3"/>
  <c r="H222" i="3"/>
  <c r="J222" i="3"/>
  <c r="K222" i="3"/>
  <c r="L222" i="3"/>
  <c r="M222" i="3"/>
  <c r="N222" i="3"/>
  <c r="J248" i="1"/>
  <c r="E248" i="1"/>
  <c r="C248" i="1"/>
  <c r="D248" i="1"/>
  <c r="B248" i="1"/>
  <c r="P248" i="1" l="1"/>
  <c r="E189" i="3" l="1"/>
  <c r="F189" i="3"/>
  <c r="G189" i="3"/>
  <c r="H189" i="3"/>
  <c r="J189" i="3"/>
  <c r="K189" i="3"/>
  <c r="L189" i="3"/>
  <c r="M189" i="3"/>
  <c r="N189" i="3"/>
  <c r="E191" i="3"/>
  <c r="F191" i="3"/>
  <c r="G191" i="3"/>
  <c r="H191" i="3"/>
  <c r="J191" i="3"/>
  <c r="K191" i="3"/>
  <c r="L191" i="3"/>
  <c r="M191" i="3"/>
  <c r="N191" i="3"/>
  <c r="E45" i="1"/>
  <c r="E47" i="1"/>
  <c r="J44" i="1"/>
  <c r="J45" i="1"/>
  <c r="I189" i="3" s="1"/>
  <c r="J47" i="1"/>
  <c r="I191" i="3" s="1"/>
  <c r="C45" i="1"/>
  <c r="D45" i="1"/>
  <c r="D47" i="1"/>
  <c r="B47" i="1"/>
  <c r="B45" i="1"/>
  <c r="D191" i="3" l="1"/>
  <c r="P47" i="1"/>
  <c r="O191" i="3" s="1"/>
  <c r="P45" i="1"/>
  <c r="O189" i="3" s="1"/>
  <c r="D189" i="3"/>
  <c r="N173" i="3" l="1"/>
  <c r="J173" i="3" l="1"/>
  <c r="E192" i="3" l="1"/>
  <c r="F192" i="3"/>
  <c r="G192" i="3"/>
  <c r="H192" i="3"/>
  <c r="J192" i="3"/>
  <c r="K192" i="3"/>
  <c r="L192" i="3"/>
  <c r="M192" i="3"/>
  <c r="N192" i="3"/>
  <c r="J239" i="1"/>
  <c r="E239" i="1"/>
  <c r="D196" i="3" s="1"/>
  <c r="B239" i="1"/>
  <c r="I192" i="3" l="1"/>
  <c r="I196" i="3"/>
  <c r="P239" i="1"/>
  <c r="D192" i="3"/>
  <c r="N180" i="3"/>
  <c r="M180" i="3"/>
  <c r="L180" i="3"/>
  <c r="K180" i="3"/>
  <c r="J180" i="3"/>
  <c r="H180" i="3"/>
  <c r="G180" i="3"/>
  <c r="F180" i="3"/>
  <c r="E180" i="3"/>
  <c r="J148" i="1"/>
  <c r="E148" i="1"/>
  <c r="D148" i="1"/>
  <c r="C148" i="1"/>
  <c r="B148" i="1"/>
  <c r="D268" i="1"/>
  <c r="C268" i="1"/>
  <c r="B268" i="1"/>
  <c r="D235" i="1"/>
  <c r="C235" i="1"/>
  <c r="B235" i="1"/>
  <c r="O192" i="3" l="1"/>
  <c r="O196" i="3"/>
  <c r="P148" i="1"/>
  <c r="J268" i="1"/>
  <c r="E268" i="1"/>
  <c r="J235" i="1"/>
  <c r="E235" i="1"/>
  <c r="D180" i="3" l="1"/>
  <c r="P268" i="1"/>
  <c r="I180" i="3"/>
  <c r="P235" i="1"/>
  <c r="O180" i="3" l="1"/>
  <c r="K286" i="1"/>
  <c r="J273" i="1" l="1"/>
  <c r="E273" i="1"/>
  <c r="E237" i="1"/>
  <c r="D182" i="3" s="1"/>
  <c r="J237" i="1" l="1"/>
  <c r="P273" i="1"/>
  <c r="P237" i="1" l="1"/>
  <c r="O182" i="3" s="1"/>
  <c r="I182" i="3"/>
  <c r="J269" i="1"/>
  <c r="E269" i="1"/>
  <c r="P269" i="1" l="1"/>
  <c r="N212" i="3" l="1"/>
  <c r="M212" i="3"/>
  <c r="L212" i="3"/>
  <c r="K212" i="3"/>
  <c r="J212" i="3"/>
  <c r="H212" i="3"/>
  <c r="G212" i="3"/>
  <c r="F212" i="3"/>
  <c r="E212" i="3"/>
  <c r="J153" i="1"/>
  <c r="I212" i="3" s="1"/>
  <c r="E153" i="1"/>
  <c r="D212" i="3" s="1"/>
  <c r="P153" i="1" l="1"/>
  <c r="D165" i="1"/>
  <c r="O212" i="3" l="1"/>
  <c r="B265" i="1" l="1"/>
  <c r="J265" i="1"/>
  <c r="I176" i="3" s="1"/>
  <c r="P265" i="1" l="1"/>
  <c r="O176" i="3" s="1"/>
  <c r="D195" i="1" l="1"/>
  <c r="F211" i="3"/>
  <c r="G211" i="3"/>
  <c r="H211" i="3"/>
  <c r="J211" i="3"/>
  <c r="K211" i="3"/>
  <c r="L211" i="3"/>
  <c r="M211" i="3"/>
  <c r="N211" i="3"/>
  <c r="F162" i="3"/>
  <c r="G162" i="3"/>
  <c r="H162" i="3"/>
  <c r="J162" i="3"/>
  <c r="K162" i="3"/>
  <c r="L162" i="3"/>
  <c r="M162" i="3"/>
  <c r="N162" i="3"/>
  <c r="G297" i="1"/>
  <c r="H297" i="1"/>
  <c r="I297" i="1"/>
  <c r="K297" i="1"/>
  <c r="L297" i="1"/>
  <c r="M297" i="1"/>
  <c r="N297" i="1"/>
  <c r="O297" i="1"/>
  <c r="G286" i="1"/>
  <c r="H286" i="1"/>
  <c r="L286" i="1"/>
  <c r="M286" i="1"/>
  <c r="N286" i="1"/>
  <c r="O286" i="1"/>
  <c r="G121" i="1"/>
  <c r="H121" i="1"/>
  <c r="I121" i="1"/>
  <c r="L121" i="1"/>
  <c r="M121" i="1"/>
  <c r="N121" i="1"/>
  <c r="I286" i="1" l="1"/>
  <c r="E211" i="3" l="1"/>
  <c r="F286" i="1" l="1"/>
  <c r="F121" i="1"/>
  <c r="D251" i="1" l="1"/>
  <c r="F297" i="1" l="1"/>
  <c r="O121" i="1" l="1"/>
  <c r="K121" i="1"/>
  <c r="J214" i="1"/>
  <c r="E214" i="1"/>
  <c r="C214" i="1"/>
  <c r="D214" i="1"/>
  <c r="B214" i="1"/>
  <c r="P214" i="1" l="1"/>
  <c r="E18" i="3"/>
  <c r="F18" i="3"/>
  <c r="G18" i="3"/>
  <c r="H18" i="3"/>
  <c r="J18" i="3"/>
  <c r="K18" i="3"/>
  <c r="L18" i="3"/>
  <c r="M18" i="3"/>
  <c r="N18" i="3"/>
  <c r="E80" i="3"/>
  <c r="F80" i="3"/>
  <c r="G80" i="3"/>
  <c r="H80" i="3"/>
  <c r="J80" i="3"/>
  <c r="K80" i="3"/>
  <c r="L80" i="3"/>
  <c r="M80" i="3"/>
  <c r="N80" i="3"/>
  <c r="E85" i="3"/>
  <c r="F85" i="3"/>
  <c r="G85" i="3"/>
  <c r="H85" i="3"/>
  <c r="J85" i="3"/>
  <c r="K85" i="3"/>
  <c r="L85" i="3"/>
  <c r="M85" i="3"/>
  <c r="N85" i="3"/>
  <c r="E87" i="3"/>
  <c r="F87" i="3"/>
  <c r="G87" i="3"/>
  <c r="H87" i="3"/>
  <c r="J87" i="3"/>
  <c r="K87" i="3"/>
  <c r="L87" i="3"/>
  <c r="M87" i="3"/>
  <c r="N87" i="3"/>
  <c r="E89" i="3"/>
  <c r="F89" i="3"/>
  <c r="G89" i="3"/>
  <c r="H89" i="3"/>
  <c r="J89" i="3"/>
  <c r="K89" i="3"/>
  <c r="L89" i="3"/>
  <c r="M89" i="3"/>
  <c r="N89" i="3"/>
  <c r="E91" i="3"/>
  <c r="F91" i="3"/>
  <c r="G91" i="3"/>
  <c r="H91" i="3"/>
  <c r="J91" i="3"/>
  <c r="K91" i="3"/>
  <c r="L91" i="3"/>
  <c r="M91" i="3"/>
  <c r="N91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102" i="3"/>
  <c r="F102" i="3"/>
  <c r="G102" i="3"/>
  <c r="H102" i="3"/>
  <c r="K102" i="3"/>
  <c r="L102" i="3"/>
  <c r="M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34" i="3"/>
  <c r="F134" i="3"/>
  <c r="G134" i="3"/>
  <c r="H134" i="3"/>
  <c r="J134" i="3"/>
  <c r="K134" i="3"/>
  <c r="L134" i="3"/>
  <c r="M134" i="3"/>
  <c r="N134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8" i="3"/>
  <c r="F148" i="3"/>
  <c r="G148" i="3"/>
  <c r="H148" i="3"/>
  <c r="J148" i="3"/>
  <c r="K148" i="3"/>
  <c r="L148" i="3"/>
  <c r="M148" i="3"/>
  <c r="N148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K150" i="3"/>
  <c r="L150" i="3"/>
  <c r="M150" i="3"/>
  <c r="N150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61" i="3"/>
  <c r="F161" i="3"/>
  <c r="G161" i="3"/>
  <c r="H161" i="3"/>
  <c r="J161" i="3"/>
  <c r="K161" i="3"/>
  <c r="L161" i="3"/>
  <c r="M161" i="3"/>
  <c r="N161" i="3"/>
  <c r="E168" i="3"/>
  <c r="E167" i="3" s="1"/>
  <c r="F168" i="3"/>
  <c r="F167" i="3" s="1"/>
  <c r="G168" i="3"/>
  <c r="G167" i="3" s="1"/>
  <c r="H168" i="3"/>
  <c r="H167" i="3" s="1"/>
  <c r="J168" i="3"/>
  <c r="J167" i="3" s="1"/>
  <c r="K168" i="3"/>
  <c r="K167" i="3" s="1"/>
  <c r="L168" i="3"/>
  <c r="L167" i="3" s="1"/>
  <c r="M168" i="3"/>
  <c r="M167" i="3" s="1"/>
  <c r="N168" i="3"/>
  <c r="N167" i="3" s="1"/>
  <c r="E171" i="3"/>
  <c r="E169" i="3" s="1"/>
  <c r="F171" i="3"/>
  <c r="F169" i="3" s="1"/>
  <c r="G171" i="3"/>
  <c r="G169" i="3" s="1"/>
  <c r="H171" i="3"/>
  <c r="H169" i="3" s="1"/>
  <c r="J171" i="3"/>
  <c r="J169" i="3" s="1"/>
  <c r="K171" i="3"/>
  <c r="K169" i="3" s="1"/>
  <c r="L171" i="3"/>
  <c r="L169" i="3" s="1"/>
  <c r="M171" i="3"/>
  <c r="M169" i="3" s="1"/>
  <c r="N171" i="3"/>
  <c r="N169" i="3" s="1"/>
  <c r="E181" i="3"/>
  <c r="F181" i="3"/>
  <c r="G181" i="3"/>
  <c r="H181" i="3"/>
  <c r="J181" i="3"/>
  <c r="K181" i="3"/>
  <c r="L181" i="3"/>
  <c r="M181" i="3"/>
  <c r="N181" i="3"/>
  <c r="E188" i="3"/>
  <c r="E185" i="3" s="1"/>
  <c r="F188" i="3"/>
  <c r="F185" i="3" s="1"/>
  <c r="G188" i="3"/>
  <c r="G185" i="3" s="1"/>
  <c r="H188" i="3"/>
  <c r="H185" i="3" s="1"/>
  <c r="J188" i="3"/>
  <c r="J185" i="3" s="1"/>
  <c r="K188" i="3"/>
  <c r="K185" i="3" s="1"/>
  <c r="L188" i="3"/>
  <c r="L185" i="3" s="1"/>
  <c r="M188" i="3"/>
  <c r="M185" i="3" s="1"/>
  <c r="N188" i="3"/>
  <c r="N185" i="3" s="1"/>
  <c r="E202" i="3"/>
  <c r="F202" i="3"/>
  <c r="G202" i="3"/>
  <c r="H202" i="3"/>
  <c r="J202" i="3"/>
  <c r="K202" i="3"/>
  <c r="L202" i="3"/>
  <c r="M202" i="3"/>
  <c r="N202" i="3"/>
  <c r="E205" i="3"/>
  <c r="F205" i="3"/>
  <c r="G205" i="3"/>
  <c r="H205" i="3"/>
  <c r="J205" i="3"/>
  <c r="K205" i="3"/>
  <c r="L205" i="3"/>
  <c r="M205" i="3"/>
  <c r="N205" i="3"/>
  <c r="E206" i="3"/>
  <c r="F206" i="3"/>
  <c r="G206" i="3"/>
  <c r="H206" i="3"/>
  <c r="J206" i="3"/>
  <c r="K206" i="3"/>
  <c r="L206" i="3"/>
  <c r="M206" i="3"/>
  <c r="N206" i="3"/>
  <c r="E207" i="3"/>
  <c r="F207" i="3"/>
  <c r="G207" i="3"/>
  <c r="H207" i="3"/>
  <c r="J207" i="3"/>
  <c r="K207" i="3"/>
  <c r="L207" i="3"/>
  <c r="M207" i="3"/>
  <c r="N207" i="3"/>
  <c r="F209" i="3"/>
  <c r="G209" i="3"/>
  <c r="H209" i="3"/>
  <c r="J209" i="3"/>
  <c r="K209" i="3"/>
  <c r="L209" i="3"/>
  <c r="M209" i="3"/>
  <c r="N209" i="3"/>
  <c r="E219" i="3"/>
  <c r="F219" i="3"/>
  <c r="G219" i="3"/>
  <c r="H219" i="3"/>
  <c r="J219" i="3"/>
  <c r="K219" i="3"/>
  <c r="L219" i="3"/>
  <c r="M219" i="3"/>
  <c r="N219" i="3"/>
  <c r="E221" i="3"/>
  <c r="F221" i="3"/>
  <c r="G221" i="3"/>
  <c r="H221" i="3"/>
  <c r="J221" i="3"/>
  <c r="K221" i="3"/>
  <c r="L221" i="3"/>
  <c r="M221" i="3"/>
  <c r="N221" i="3"/>
  <c r="E224" i="3"/>
  <c r="E223" i="3" s="1"/>
  <c r="F224" i="3"/>
  <c r="F223" i="3" s="1"/>
  <c r="G224" i="3"/>
  <c r="H224" i="3"/>
  <c r="J224" i="3"/>
  <c r="K224" i="3"/>
  <c r="K223" i="3" s="1"/>
  <c r="L224" i="3"/>
  <c r="M224" i="3"/>
  <c r="M223" i="3" s="1"/>
  <c r="N224" i="3"/>
  <c r="E227" i="3"/>
  <c r="E226" i="3" s="1"/>
  <c r="F227" i="3"/>
  <c r="F226" i="3" s="1"/>
  <c r="G227" i="3"/>
  <c r="G226" i="3" s="1"/>
  <c r="H227" i="3"/>
  <c r="H226" i="3" s="1"/>
  <c r="J227" i="3"/>
  <c r="J226" i="3" s="1"/>
  <c r="K227" i="3"/>
  <c r="K226" i="3" s="1"/>
  <c r="L227" i="3"/>
  <c r="L226" i="3" s="1"/>
  <c r="M227" i="3"/>
  <c r="M226" i="3" s="1"/>
  <c r="N227" i="3"/>
  <c r="N226" i="3" s="1"/>
  <c r="E228" i="3"/>
  <c r="F228" i="3"/>
  <c r="G228" i="3"/>
  <c r="H228" i="3"/>
  <c r="J228" i="3"/>
  <c r="K228" i="3"/>
  <c r="L228" i="3"/>
  <c r="M228" i="3"/>
  <c r="N228" i="3"/>
  <c r="D229" i="3"/>
  <c r="E229" i="3"/>
  <c r="F229" i="3"/>
  <c r="G229" i="3"/>
  <c r="H229" i="3"/>
  <c r="J229" i="3"/>
  <c r="K229" i="3"/>
  <c r="L229" i="3"/>
  <c r="M229" i="3"/>
  <c r="N229" i="3"/>
  <c r="J77" i="1"/>
  <c r="J299" i="1"/>
  <c r="J300" i="1"/>
  <c r="J301" i="1"/>
  <c r="I224" i="3" s="1"/>
  <c r="J302" i="1"/>
  <c r="J303" i="1"/>
  <c r="I228" i="3" s="1"/>
  <c r="J304" i="1"/>
  <c r="I229" i="3" s="1"/>
  <c r="J305" i="1"/>
  <c r="I233" i="3" s="1"/>
  <c r="I232" i="3" s="1"/>
  <c r="J298" i="1"/>
  <c r="J288" i="1"/>
  <c r="I168" i="3" s="1"/>
  <c r="I167" i="3" s="1"/>
  <c r="J289" i="1"/>
  <c r="J290" i="1"/>
  <c r="I205" i="3" s="1"/>
  <c r="J291" i="1"/>
  <c r="I206" i="3" s="1"/>
  <c r="J292" i="1"/>
  <c r="J287" i="1"/>
  <c r="J284" i="1"/>
  <c r="J259" i="1"/>
  <c r="J260" i="1"/>
  <c r="I161" i="3" s="1"/>
  <c r="J261" i="1"/>
  <c r="J262" i="1"/>
  <c r="I172" i="3" s="1"/>
  <c r="J263" i="1"/>
  <c r="I173" i="3" s="1"/>
  <c r="J266" i="1"/>
  <c r="J277" i="1"/>
  <c r="J278" i="1"/>
  <c r="J281" i="1"/>
  <c r="J258" i="1"/>
  <c r="J254" i="1"/>
  <c r="J224" i="1"/>
  <c r="J225" i="1"/>
  <c r="J226" i="1"/>
  <c r="I154" i="3" s="1"/>
  <c r="J227" i="1"/>
  <c r="I155" i="3" s="1"/>
  <c r="J228" i="1"/>
  <c r="I156" i="3" s="1"/>
  <c r="J229" i="1"/>
  <c r="J230" i="1"/>
  <c r="J231" i="1"/>
  <c r="J232" i="1"/>
  <c r="J233" i="1"/>
  <c r="J236" i="1"/>
  <c r="I181" i="3" s="1"/>
  <c r="J243" i="1"/>
  <c r="J244" i="1"/>
  <c r="J249" i="1"/>
  <c r="J251" i="1"/>
  <c r="J222" i="1"/>
  <c r="J208" i="1"/>
  <c r="I138" i="3" s="1"/>
  <c r="J209" i="1"/>
  <c r="J210" i="1"/>
  <c r="J211" i="1"/>
  <c r="J213" i="1"/>
  <c r="J206" i="1"/>
  <c r="J200" i="1"/>
  <c r="I113" i="3" s="1"/>
  <c r="J201" i="1"/>
  <c r="I114" i="3" s="1"/>
  <c r="J199" i="1"/>
  <c r="J165" i="1"/>
  <c r="J166" i="1"/>
  <c r="J168" i="1"/>
  <c r="I106" i="3" s="1"/>
  <c r="J169" i="1"/>
  <c r="J170" i="1"/>
  <c r="I108" i="3" s="1"/>
  <c r="J172" i="1"/>
  <c r="I110" i="3" s="1"/>
  <c r="J174" i="1"/>
  <c r="I112" i="3" s="1"/>
  <c r="J175" i="1"/>
  <c r="I118" i="3" s="1"/>
  <c r="J176" i="1"/>
  <c r="I119" i="3" s="1"/>
  <c r="J178" i="1"/>
  <c r="I121" i="3" s="1"/>
  <c r="J180" i="1"/>
  <c r="I123" i="3" s="1"/>
  <c r="J181" i="1"/>
  <c r="I124" i="3" s="1"/>
  <c r="J182" i="1"/>
  <c r="I125" i="3" s="1"/>
  <c r="J183" i="1"/>
  <c r="I126" i="3" s="1"/>
  <c r="J184" i="1"/>
  <c r="J191" i="1"/>
  <c r="J192" i="1"/>
  <c r="J195" i="1"/>
  <c r="I241" i="3" s="1"/>
  <c r="J162" i="1"/>
  <c r="J131" i="1"/>
  <c r="J136" i="1"/>
  <c r="J138" i="1"/>
  <c r="I87" i="3" s="1"/>
  <c r="J140" i="1"/>
  <c r="I89" i="3" s="1"/>
  <c r="J142" i="1"/>
  <c r="I91" i="3" s="1"/>
  <c r="J145" i="1"/>
  <c r="I94" i="3" s="1"/>
  <c r="J146" i="1"/>
  <c r="I95" i="3" s="1"/>
  <c r="J130" i="1"/>
  <c r="J80" i="1"/>
  <c r="I47" i="3" s="1"/>
  <c r="J83" i="1"/>
  <c r="I50" i="3" s="1"/>
  <c r="J90" i="1"/>
  <c r="I57" i="3" s="1"/>
  <c r="J93" i="1"/>
  <c r="I61" i="3" s="1"/>
  <c r="J94" i="1"/>
  <c r="I62" i="3" s="1"/>
  <c r="J96" i="1"/>
  <c r="I64" i="3" s="1"/>
  <c r="J103" i="1"/>
  <c r="I71" i="3" s="1"/>
  <c r="J76" i="1"/>
  <c r="J26" i="1"/>
  <c r="J27" i="1"/>
  <c r="J28" i="1"/>
  <c r="I115" i="3" s="1"/>
  <c r="J29" i="1"/>
  <c r="I116" i="3" s="1"/>
  <c r="J30" i="1"/>
  <c r="I117" i="3" s="1"/>
  <c r="J31" i="1"/>
  <c r="J32" i="1"/>
  <c r="J33" i="1"/>
  <c r="J34" i="1"/>
  <c r="J35" i="1"/>
  <c r="J36" i="1"/>
  <c r="I144" i="3" s="1"/>
  <c r="J37" i="1"/>
  <c r="I145" i="3" s="1"/>
  <c r="J38" i="1"/>
  <c r="I146" i="3" s="1"/>
  <c r="J39" i="1"/>
  <c r="I148" i="3" s="1"/>
  <c r="J40" i="1"/>
  <c r="I149" i="3" s="1"/>
  <c r="J41" i="1"/>
  <c r="I150" i="3" s="1"/>
  <c r="I188" i="3"/>
  <c r="I185" i="3" s="1"/>
  <c r="J49" i="1"/>
  <c r="J50" i="1"/>
  <c r="J51" i="1"/>
  <c r="J52" i="1"/>
  <c r="I209" i="3" s="1"/>
  <c r="J53" i="1"/>
  <c r="J54" i="1"/>
  <c r="J55" i="1"/>
  <c r="I218" i="3" s="1"/>
  <c r="J56" i="1"/>
  <c r="I219" i="3" s="1"/>
  <c r="J58" i="1"/>
  <c r="J59" i="1"/>
  <c r="J60" i="1"/>
  <c r="I227" i="3" s="1"/>
  <c r="I226" i="3" s="1"/>
  <c r="J21" i="1"/>
  <c r="J18" i="1" l="1"/>
  <c r="M96" i="3"/>
  <c r="K96" i="3"/>
  <c r="G96" i="3"/>
  <c r="L96" i="3"/>
  <c r="H96" i="3"/>
  <c r="F96" i="3"/>
  <c r="J276" i="1"/>
  <c r="J275" i="1" s="1"/>
  <c r="N151" i="3"/>
  <c r="L151" i="3"/>
  <c r="J151" i="3"/>
  <c r="G151" i="3"/>
  <c r="M151" i="3"/>
  <c r="K151" i="3"/>
  <c r="H151" i="3"/>
  <c r="F151" i="3"/>
  <c r="I20" i="3"/>
  <c r="I36" i="3"/>
  <c r="I225" i="3"/>
  <c r="I223" i="3" s="1"/>
  <c r="I135" i="3"/>
  <c r="M200" i="3"/>
  <c r="M163" i="3" s="1"/>
  <c r="K200" i="3"/>
  <c r="K163" i="3" s="1"/>
  <c r="H200" i="3"/>
  <c r="H163" i="3" s="1"/>
  <c r="F200" i="3"/>
  <c r="F163" i="3" s="1"/>
  <c r="N200" i="3"/>
  <c r="N163" i="3" s="1"/>
  <c r="L200" i="3"/>
  <c r="L163" i="3" s="1"/>
  <c r="J200" i="3"/>
  <c r="J163" i="3" s="1"/>
  <c r="G200" i="3"/>
  <c r="G163" i="3" s="1"/>
  <c r="H75" i="3"/>
  <c r="M75" i="3"/>
  <c r="K75" i="3"/>
  <c r="L75" i="3"/>
  <c r="F75" i="3"/>
  <c r="G75" i="3"/>
  <c r="E75" i="3"/>
  <c r="N75" i="3"/>
  <c r="J75" i="3"/>
  <c r="J197" i="1"/>
  <c r="I199" i="3"/>
  <c r="I198" i="3" s="1"/>
  <c r="I177" i="3"/>
  <c r="I80" i="3"/>
  <c r="I103" i="3"/>
  <c r="I85" i="3"/>
  <c r="I222" i="3"/>
  <c r="I221" i="3" s="1"/>
  <c r="I157" i="3"/>
  <c r="I153" i="3"/>
  <c r="I162" i="3"/>
  <c r="J297" i="1"/>
  <c r="I211" i="3"/>
  <c r="J286" i="1"/>
  <c r="J271" i="1"/>
  <c r="J256" i="1" s="1"/>
  <c r="I141" i="3"/>
  <c r="I139" i="3"/>
  <c r="I207" i="3"/>
  <c r="I140" i="3"/>
  <c r="E149" i="3"/>
  <c r="E142" i="3" s="1"/>
  <c r="I171" i="3"/>
  <c r="L216" i="3"/>
  <c r="J216" i="3"/>
  <c r="G216" i="3"/>
  <c r="I104" i="3"/>
  <c r="I202" i="3"/>
  <c r="I142" i="3"/>
  <c r="I127" i="3"/>
  <c r="N216" i="3"/>
  <c r="H216" i="3"/>
  <c r="M216" i="3"/>
  <c r="M214" i="3" s="1"/>
  <c r="K216" i="3"/>
  <c r="K214" i="3" s="1"/>
  <c r="F216" i="3"/>
  <c r="F214" i="3" s="1"/>
  <c r="E216" i="3"/>
  <c r="E214" i="3" s="1"/>
  <c r="I158" i="3"/>
  <c r="I216" i="3"/>
  <c r="M142" i="3"/>
  <c r="F142" i="3"/>
  <c r="I134" i="3"/>
  <c r="I107" i="3"/>
  <c r="N223" i="3"/>
  <c r="L223" i="3"/>
  <c r="J223" i="3"/>
  <c r="H223" i="3"/>
  <c r="G223" i="3"/>
  <c r="K142" i="3"/>
  <c r="L137" i="3"/>
  <c r="H137" i="3"/>
  <c r="N137" i="3"/>
  <c r="J137" i="3"/>
  <c r="G137" i="3"/>
  <c r="M137" i="3"/>
  <c r="K137" i="3"/>
  <c r="F137" i="3"/>
  <c r="E137" i="3"/>
  <c r="N142" i="3"/>
  <c r="L142" i="3"/>
  <c r="J142" i="3"/>
  <c r="H142" i="3"/>
  <c r="G142" i="3"/>
  <c r="J246" i="1"/>
  <c r="J216" i="1" s="1"/>
  <c r="I238" i="3" l="1"/>
  <c r="I230" i="3" s="1"/>
  <c r="M243" i="3"/>
  <c r="F243" i="3"/>
  <c r="K243" i="3"/>
  <c r="I151" i="3"/>
  <c r="I169" i="3"/>
  <c r="I210" i="3"/>
  <c r="I18" i="3"/>
  <c r="I75" i="3"/>
  <c r="I137" i="3"/>
  <c r="L214" i="3"/>
  <c r="L243" i="3" s="1"/>
  <c r="G214" i="3"/>
  <c r="G243" i="3" s="1"/>
  <c r="N214" i="3"/>
  <c r="J214" i="3"/>
  <c r="I214" i="3"/>
  <c r="H214" i="3"/>
  <c r="H243" i="3" s="1"/>
  <c r="E301" i="1"/>
  <c r="D224" i="3" s="1"/>
  <c r="D301" i="1"/>
  <c r="B301" i="1"/>
  <c r="E162" i="3" l="1"/>
  <c r="E151" i="3" s="1"/>
  <c r="E209" i="3"/>
  <c r="J151" i="1"/>
  <c r="P301" i="1"/>
  <c r="O224" i="3" s="1"/>
  <c r="J122" i="1" l="1"/>
  <c r="J121" i="1" s="1"/>
  <c r="I203" i="3"/>
  <c r="I200" i="3" s="1"/>
  <c r="I163" i="3" s="1"/>
  <c r="E200" i="3"/>
  <c r="E163" i="3" s="1"/>
  <c r="E236" i="1" l="1"/>
  <c r="C236" i="1"/>
  <c r="D236" i="1"/>
  <c r="B236" i="1"/>
  <c r="D181" i="3" l="1"/>
  <c r="P236" i="1"/>
  <c r="O181" i="3" s="1"/>
  <c r="E123" i="3" l="1"/>
  <c r="E96" i="3" s="1"/>
  <c r="E243" i="3" l="1"/>
  <c r="J78" i="1"/>
  <c r="J63" i="1" s="1"/>
  <c r="I38" i="3" l="1"/>
  <c r="I25" i="3" s="1"/>
  <c r="J205" i="1"/>
  <c r="D53" i="1"/>
  <c r="D281" i="1"/>
  <c r="D246" i="1"/>
  <c r="C209" i="1"/>
  <c r="B209" i="1"/>
  <c r="D200" i="1"/>
  <c r="P304" i="1"/>
  <c r="O229" i="3" s="1"/>
  <c r="E299" i="1"/>
  <c r="E300" i="1"/>
  <c r="E302" i="1"/>
  <c r="E303" i="1"/>
  <c r="D228" i="3" s="1"/>
  <c r="E305" i="1"/>
  <c r="D233" i="3" s="1"/>
  <c r="D232" i="3" s="1"/>
  <c r="E298" i="1"/>
  <c r="K296" i="1"/>
  <c r="L296" i="1"/>
  <c r="M296" i="1"/>
  <c r="N296" i="1"/>
  <c r="O296" i="1"/>
  <c r="F296" i="1"/>
  <c r="G296" i="1"/>
  <c r="H296" i="1"/>
  <c r="I296" i="1"/>
  <c r="E288" i="1"/>
  <c r="D168" i="3" s="1"/>
  <c r="D167" i="3" s="1"/>
  <c r="E289" i="1"/>
  <c r="E290" i="1"/>
  <c r="D205" i="3" s="1"/>
  <c r="E291" i="1"/>
  <c r="D206" i="3" s="1"/>
  <c r="E292" i="1"/>
  <c r="E287" i="1"/>
  <c r="E286" i="1" s="1"/>
  <c r="K285" i="1"/>
  <c r="L285" i="1"/>
  <c r="M285" i="1"/>
  <c r="N285" i="1"/>
  <c r="O285" i="1"/>
  <c r="F285" i="1"/>
  <c r="G285" i="1"/>
  <c r="H285" i="1"/>
  <c r="I285" i="1"/>
  <c r="J283" i="1"/>
  <c r="J282" i="1" s="1"/>
  <c r="E284" i="1"/>
  <c r="E283" i="1" s="1"/>
  <c r="E282" i="1" s="1"/>
  <c r="K283" i="1"/>
  <c r="K282" i="1" s="1"/>
  <c r="L283" i="1"/>
  <c r="L282" i="1" s="1"/>
  <c r="M283" i="1"/>
  <c r="M282" i="1" s="1"/>
  <c r="N283" i="1"/>
  <c r="N282" i="1" s="1"/>
  <c r="O283" i="1"/>
  <c r="O282" i="1" s="1"/>
  <c r="F283" i="1"/>
  <c r="F282" i="1" s="1"/>
  <c r="G283" i="1"/>
  <c r="G282" i="1" s="1"/>
  <c r="H283" i="1"/>
  <c r="H282" i="1" s="1"/>
  <c r="I283" i="1"/>
  <c r="I282" i="1" s="1"/>
  <c r="E278" i="1"/>
  <c r="E281" i="1"/>
  <c r="E277" i="1"/>
  <c r="K275" i="1"/>
  <c r="L275" i="1"/>
  <c r="M275" i="1"/>
  <c r="N275" i="1"/>
  <c r="O275" i="1"/>
  <c r="F275" i="1"/>
  <c r="G275" i="1"/>
  <c r="H275" i="1"/>
  <c r="I275" i="1"/>
  <c r="E259" i="1"/>
  <c r="E260" i="1"/>
  <c r="D161" i="3" s="1"/>
  <c r="E261" i="1"/>
  <c r="E262" i="1"/>
  <c r="D172" i="3" s="1"/>
  <c r="E263" i="1"/>
  <c r="D173" i="3" s="1"/>
  <c r="E266" i="1"/>
  <c r="E271" i="1"/>
  <c r="E258" i="1"/>
  <c r="E256" i="1" s="1"/>
  <c r="K255" i="1"/>
  <c r="M255" i="1"/>
  <c r="N255" i="1"/>
  <c r="O255" i="1"/>
  <c r="F255" i="1"/>
  <c r="G255" i="1"/>
  <c r="H255" i="1"/>
  <c r="I255" i="1"/>
  <c r="J253" i="1"/>
  <c r="J252" i="1" s="1"/>
  <c r="E254" i="1"/>
  <c r="E253" i="1" s="1"/>
  <c r="E252" i="1" s="1"/>
  <c r="K253" i="1"/>
  <c r="K252" i="1" s="1"/>
  <c r="L253" i="1"/>
  <c r="L252" i="1" s="1"/>
  <c r="M253" i="1"/>
  <c r="M252" i="1" s="1"/>
  <c r="N253" i="1"/>
  <c r="N252" i="1" s="1"/>
  <c r="O253" i="1"/>
  <c r="O252" i="1" s="1"/>
  <c r="F253" i="1"/>
  <c r="F252" i="1" s="1"/>
  <c r="G253" i="1"/>
  <c r="G252" i="1" s="1"/>
  <c r="H253" i="1"/>
  <c r="H252" i="1" s="1"/>
  <c r="I253" i="1"/>
  <c r="I252" i="1" s="1"/>
  <c r="E224" i="1"/>
  <c r="E225" i="1"/>
  <c r="D153" i="3" s="1"/>
  <c r="E226" i="1"/>
  <c r="E227" i="1"/>
  <c r="D155" i="3" s="1"/>
  <c r="E228" i="1"/>
  <c r="E229" i="1"/>
  <c r="E230" i="1"/>
  <c r="E231" i="1"/>
  <c r="E232" i="1"/>
  <c r="E233" i="1"/>
  <c r="P233" i="1" s="1"/>
  <c r="E243" i="1"/>
  <c r="E244" i="1"/>
  <c r="P244" i="1" s="1"/>
  <c r="E246" i="1"/>
  <c r="P246" i="1" s="1"/>
  <c r="E249" i="1"/>
  <c r="P249" i="1" s="1"/>
  <c r="E251" i="1"/>
  <c r="E222" i="1"/>
  <c r="K215" i="1"/>
  <c r="L215" i="1"/>
  <c r="M215" i="1"/>
  <c r="N215" i="1"/>
  <c r="O215" i="1"/>
  <c r="F215" i="1"/>
  <c r="G215" i="1"/>
  <c r="H215" i="1"/>
  <c r="I215" i="1"/>
  <c r="E208" i="1"/>
  <c r="E209" i="1"/>
  <c r="E210" i="1"/>
  <c r="E211" i="1"/>
  <c r="E213" i="1"/>
  <c r="E206" i="1"/>
  <c r="E205" i="1" s="1"/>
  <c r="K204" i="1"/>
  <c r="L204" i="1"/>
  <c r="M204" i="1"/>
  <c r="N204" i="1"/>
  <c r="F204" i="1"/>
  <c r="G204" i="1"/>
  <c r="H204" i="1"/>
  <c r="I204" i="1"/>
  <c r="E200" i="1"/>
  <c r="D113" i="3" s="1"/>
  <c r="E201" i="1"/>
  <c r="D114" i="3" s="1"/>
  <c r="E199" i="1"/>
  <c r="K196" i="1"/>
  <c r="L196" i="1"/>
  <c r="M196" i="1"/>
  <c r="N196" i="1"/>
  <c r="O196" i="1"/>
  <c r="F196" i="1"/>
  <c r="G196" i="1"/>
  <c r="H196" i="1"/>
  <c r="I196" i="1"/>
  <c r="E164" i="1"/>
  <c r="D102" i="3" s="1"/>
  <c r="E165" i="1"/>
  <c r="E166" i="1"/>
  <c r="E168" i="1"/>
  <c r="D106" i="3" s="1"/>
  <c r="E169" i="1"/>
  <c r="E170" i="1"/>
  <c r="D108" i="3" s="1"/>
  <c r="E172" i="1"/>
  <c r="D110" i="3" s="1"/>
  <c r="E174" i="1"/>
  <c r="E175" i="1"/>
  <c r="D118" i="3" s="1"/>
  <c r="E176" i="1"/>
  <c r="E178" i="1"/>
  <c r="D121" i="3" s="1"/>
  <c r="E180" i="1"/>
  <c r="D123" i="3" s="1"/>
  <c r="E181" i="1"/>
  <c r="D124" i="3" s="1"/>
  <c r="E182" i="1"/>
  <c r="D125" i="3" s="1"/>
  <c r="E183" i="1"/>
  <c r="D126" i="3" s="1"/>
  <c r="E184" i="1"/>
  <c r="E191" i="1"/>
  <c r="E192" i="1"/>
  <c r="E195" i="1"/>
  <c r="E162" i="1"/>
  <c r="E156" i="1" s="1"/>
  <c r="L155" i="1"/>
  <c r="M155" i="1"/>
  <c r="N155" i="1"/>
  <c r="F155" i="1"/>
  <c r="G155" i="1"/>
  <c r="H155" i="1"/>
  <c r="I155" i="1"/>
  <c r="E131" i="1"/>
  <c r="E136" i="1"/>
  <c r="E138" i="1"/>
  <c r="D87" i="3" s="1"/>
  <c r="E140" i="1"/>
  <c r="D89" i="3" s="1"/>
  <c r="E142" i="1"/>
  <c r="D91" i="3" s="1"/>
  <c r="E145" i="1"/>
  <c r="D94" i="3" s="1"/>
  <c r="D95" i="3"/>
  <c r="E151" i="1"/>
  <c r="E130" i="1"/>
  <c r="E122" i="1" s="1"/>
  <c r="K62" i="1"/>
  <c r="L62" i="1"/>
  <c r="M62" i="1"/>
  <c r="N62" i="1"/>
  <c r="O62" i="1"/>
  <c r="F62" i="1"/>
  <c r="G62" i="1"/>
  <c r="H62" i="1"/>
  <c r="I62" i="1"/>
  <c r="E77" i="1"/>
  <c r="E78" i="1"/>
  <c r="E80" i="1"/>
  <c r="D47" i="3" s="1"/>
  <c r="E83" i="1"/>
  <c r="D50" i="3" s="1"/>
  <c r="E90" i="1"/>
  <c r="D57" i="3" s="1"/>
  <c r="E93" i="1"/>
  <c r="D61" i="3" s="1"/>
  <c r="E94" i="1"/>
  <c r="D62" i="3" s="1"/>
  <c r="E96" i="1"/>
  <c r="D64" i="3" s="1"/>
  <c r="E103" i="1"/>
  <c r="D71" i="3" s="1"/>
  <c r="E76" i="1"/>
  <c r="E23" i="1"/>
  <c r="D22" i="3" s="1"/>
  <c r="E26" i="1"/>
  <c r="E27" i="1"/>
  <c r="E28" i="1"/>
  <c r="D115" i="3" s="1"/>
  <c r="E29" i="1"/>
  <c r="D116" i="3" s="1"/>
  <c r="E30" i="1"/>
  <c r="D117" i="3" s="1"/>
  <c r="E31" i="1"/>
  <c r="E32" i="1"/>
  <c r="E33" i="1"/>
  <c r="E34" i="1"/>
  <c r="E35" i="1"/>
  <c r="E36" i="1"/>
  <c r="D144" i="3" s="1"/>
  <c r="E37" i="1"/>
  <c r="D145" i="3" s="1"/>
  <c r="E38" i="1"/>
  <c r="E39" i="1"/>
  <c r="D148" i="3" s="1"/>
  <c r="E40" i="1"/>
  <c r="E41" i="1"/>
  <c r="D150" i="3" s="1"/>
  <c r="E44" i="1"/>
  <c r="D188" i="3" s="1"/>
  <c r="D185" i="3" s="1"/>
  <c r="E49" i="1"/>
  <c r="E50" i="1"/>
  <c r="E51" i="1"/>
  <c r="E52" i="1"/>
  <c r="D209" i="3" s="1"/>
  <c r="E53" i="1"/>
  <c r="E54" i="1"/>
  <c r="E55" i="1"/>
  <c r="D218" i="3" s="1"/>
  <c r="E56" i="1"/>
  <c r="D219" i="3" s="1"/>
  <c r="E58" i="1"/>
  <c r="E59" i="1"/>
  <c r="E60" i="1"/>
  <c r="D227" i="3" s="1"/>
  <c r="D226" i="3" s="1"/>
  <c r="E21" i="1"/>
  <c r="K17" i="1"/>
  <c r="M17" i="1"/>
  <c r="N17" i="1"/>
  <c r="O17" i="1"/>
  <c r="F17" i="1"/>
  <c r="G17" i="1"/>
  <c r="H17" i="1"/>
  <c r="I17" i="1"/>
  <c r="L17" i="1"/>
  <c r="D241" i="3" l="1"/>
  <c r="E63" i="1"/>
  <c r="E197" i="1"/>
  <c r="E196" i="1" s="1"/>
  <c r="E216" i="1"/>
  <c r="E215" i="1" s="1"/>
  <c r="E276" i="1"/>
  <c r="E297" i="1"/>
  <c r="E296" i="1" s="1"/>
  <c r="D36" i="3"/>
  <c r="E62" i="1"/>
  <c r="E18" i="1"/>
  <c r="E17" i="1" s="1"/>
  <c r="D146" i="3"/>
  <c r="E121" i="1"/>
  <c r="D138" i="3"/>
  <c r="E204" i="1"/>
  <c r="I306" i="1"/>
  <c r="G306" i="1"/>
  <c r="M306" i="1"/>
  <c r="D20" i="3"/>
  <c r="D18" i="3" s="1"/>
  <c r="H306" i="1"/>
  <c r="N306" i="1"/>
  <c r="F306" i="1"/>
  <c r="D112" i="3"/>
  <c r="E155" i="1"/>
  <c r="D38" i="3"/>
  <c r="D25" i="3" s="1"/>
  <c r="D225" i="3"/>
  <c r="D223" i="3" s="1"/>
  <c r="D203" i="3"/>
  <c r="D135" i="3"/>
  <c r="D210" i="3"/>
  <c r="E275" i="1"/>
  <c r="D149" i="3"/>
  <c r="E255" i="1"/>
  <c r="D199" i="3"/>
  <c r="D198" i="3" s="1"/>
  <c r="D177" i="3"/>
  <c r="P192" i="1"/>
  <c r="D80" i="3"/>
  <c r="P224" i="1"/>
  <c r="D103" i="3"/>
  <c r="D85" i="3"/>
  <c r="D156" i="3"/>
  <c r="D222" i="3"/>
  <c r="D221" i="3" s="1"/>
  <c r="D157" i="3"/>
  <c r="D162" i="3"/>
  <c r="D211" i="3"/>
  <c r="P251" i="1"/>
  <c r="D154" i="3"/>
  <c r="E285" i="1"/>
  <c r="D158" i="3"/>
  <c r="D207" i="3"/>
  <c r="D119" i="3"/>
  <c r="D202" i="3"/>
  <c r="P222" i="1"/>
  <c r="O204" i="1"/>
  <c r="D140" i="3"/>
  <c r="D127" i="3"/>
  <c r="D171" i="3"/>
  <c r="D141" i="3"/>
  <c r="D139" i="3"/>
  <c r="J204" i="1"/>
  <c r="D216" i="3"/>
  <c r="P195" i="1"/>
  <c r="D134" i="3"/>
  <c r="D107" i="3"/>
  <c r="D104" i="3"/>
  <c r="P21" i="1"/>
  <c r="P59" i="1"/>
  <c r="P56" i="1"/>
  <c r="O219" i="3" s="1"/>
  <c r="P54" i="1"/>
  <c r="P52" i="1"/>
  <c r="O209" i="3" s="1"/>
  <c r="P50" i="1"/>
  <c r="P103" i="1"/>
  <c r="O71" i="3" s="1"/>
  <c r="P96" i="1"/>
  <c r="O64" i="3" s="1"/>
  <c r="P94" i="1"/>
  <c r="O62" i="3" s="1"/>
  <c r="P83" i="1"/>
  <c r="O50" i="3" s="1"/>
  <c r="P80" i="1"/>
  <c r="O47" i="3" s="1"/>
  <c r="P78" i="1"/>
  <c r="P130" i="1"/>
  <c r="P183" i="1"/>
  <c r="O126" i="3" s="1"/>
  <c r="P181" i="1"/>
  <c r="O124" i="3" s="1"/>
  <c r="P178" i="1"/>
  <c r="O121" i="3" s="1"/>
  <c r="P175" i="1"/>
  <c r="O118" i="3" s="1"/>
  <c r="P172" i="1"/>
  <c r="O110" i="3" s="1"/>
  <c r="P169" i="1"/>
  <c r="P166" i="1"/>
  <c r="P231" i="1"/>
  <c r="P229" i="1"/>
  <c r="P226" i="1"/>
  <c r="O154" i="3" s="1"/>
  <c r="P262" i="1"/>
  <c r="O172" i="3" s="1"/>
  <c r="P305" i="1"/>
  <c r="O233" i="3" s="1"/>
  <c r="O232" i="3" s="1"/>
  <c r="P60" i="1"/>
  <c r="O227" i="3" s="1"/>
  <c r="O226" i="3" s="1"/>
  <c r="P58" i="1"/>
  <c r="P55" i="1"/>
  <c r="O218" i="3" s="1"/>
  <c r="P53" i="1"/>
  <c r="P51" i="1"/>
  <c r="O207" i="3" s="1"/>
  <c r="P49" i="1"/>
  <c r="P93" i="1"/>
  <c r="O61" i="3" s="1"/>
  <c r="P90" i="1"/>
  <c r="O57" i="3" s="1"/>
  <c r="P162" i="1"/>
  <c r="P184" i="1"/>
  <c r="P182" i="1"/>
  <c r="O125" i="3" s="1"/>
  <c r="P180" i="1"/>
  <c r="O123" i="3" s="1"/>
  <c r="P176" i="1"/>
  <c r="O119" i="3" s="1"/>
  <c r="P174" i="1"/>
  <c r="O112" i="3" s="1"/>
  <c r="P170" i="1"/>
  <c r="O108" i="3" s="1"/>
  <c r="P168" i="1"/>
  <c r="O106" i="3" s="1"/>
  <c r="P165" i="1"/>
  <c r="P230" i="1"/>
  <c r="P228" i="1"/>
  <c r="P227" i="1"/>
  <c r="O155" i="3" s="1"/>
  <c r="P263" i="1"/>
  <c r="O173" i="3" s="1"/>
  <c r="P298" i="1"/>
  <c r="J215" i="1"/>
  <c r="P243" i="1"/>
  <c r="P277" i="1"/>
  <c r="P278" i="1"/>
  <c r="P290" i="1"/>
  <c r="O205" i="3" s="1"/>
  <c r="J285" i="1"/>
  <c r="P302" i="1"/>
  <c r="P299" i="1"/>
  <c r="P201" i="1"/>
  <c r="O114" i="3" s="1"/>
  <c r="P200" i="1"/>
  <c r="O113" i="3" s="1"/>
  <c r="P44" i="1"/>
  <c r="O188" i="3" s="1"/>
  <c r="O185" i="3" s="1"/>
  <c r="P38" i="1"/>
  <c r="O146" i="3" s="1"/>
  <c r="P36" i="1"/>
  <c r="O144" i="3" s="1"/>
  <c r="P34" i="1"/>
  <c r="P32" i="1"/>
  <c r="P30" i="1"/>
  <c r="O117" i="3" s="1"/>
  <c r="P28" i="1"/>
  <c r="O115" i="3" s="1"/>
  <c r="P26" i="1"/>
  <c r="P206" i="1"/>
  <c r="P271" i="1"/>
  <c r="P284" i="1"/>
  <c r="P283" i="1" s="1"/>
  <c r="P282" i="1" s="1"/>
  <c r="P291" i="1"/>
  <c r="O206" i="3" s="1"/>
  <c r="P289" i="1"/>
  <c r="P288" i="1"/>
  <c r="O168" i="3" s="1"/>
  <c r="O167" i="3" s="1"/>
  <c r="P292" i="1"/>
  <c r="P232" i="1"/>
  <c r="P41" i="1"/>
  <c r="O150" i="3" s="1"/>
  <c r="P39" i="1"/>
  <c r="O148" i="3" s="1"/>
  <c r="P37" i="1"/>
  <c r="O145" i="3" s="1"/>
  <c r="P35" i="1"/>
  <c r="P31" i="1"/>
  <c r="P29" i="1"/>
  <c r="O116" i="3" s="1"/>
  <c r="P27" i="1"/>
  <c r="P151" i="1"/>
  <c r="P146" i="1"/>
  <c r="O95" i="3" s="1"/>
  <c r="P145" i="1"/>
  <c r="O94" i="3" s="1"/>
  <c r="P142" i="1"/>
  <c r="O91" i="3" s="1"/>
  <c r="P140" i="1"/>
  <c r="O89" i="3" s="1"/>
  <c r="P138" i="1"/>
  <c r="O87" i="3" s="1"/>
  <c r="P136" i="1"/>
  <c r="P131" i="1"/>
  <c r="J196" i="1"/>
  <c r="P211" i="1"/>
  <c r="P213" i="1"/>
  <c r="P208" i="1"/>
  <c r="P266" i="1"/>
  <c r="O177" i="3" s="1"/>
  <c r="P261" i="1"/>
  <c r="P23" i="1"/>
  <c r="O22" i="3" s="1"/>
  <c r="P33" i="1"/>
  <c r="P225" i="1"/>
  <c r="O153" i="3" s="1"/>
  <c r="P281" i="1"/>
  <c r="P40" i="1"/>
  <c r="O149" i="3" s="1"/>
  <c r="P77" i="1"/>
  <c r="O36" i="3" s="1"/>
  <c r="P199" i="1"/>
  <c r="P210" i="1"/>
  <c r="P209" i="1"/>
  <c r="P300" i="1"/>
  <c r="P258" i="1"/>
  <c r="P259" i="1"/>
  <c r="P303" i="1"/>
  <c r="O228" i="3" s="1"/>
  <c r="J296" i="1"/>
  <c r="J62" i="1"/>
  <c r="P287" i="1"/>
  <c r="P254" i="1"/>
  <c r="P253" i="1" s="1"/>
  <c r="P252" i="1" s="1"/>
  <c r="P76" i="1"/>
  <c r="J17" i="1"/>
  <c r="P191" i="1"/>
  <c r="D214" i="3" l="1"/>
  <c r="O241" i="3"/>
  <c r="O238" i="3" s="1"/>
  <c r="O230" i="3" s="1"/>
  <c r="P63" i="1"/>
  <c r="D238" i="3"/>
  <c r="D230" i="3" s="1"/>
  <c r="D96" i="3"/>
  <c r="P216" i="1"/>
  <c r="P62" i="1"/>
  <c r="P18" i="1"/>
  <c r="P276" i="1"/>
  <c r="D169" i="3"/>
  <c r="D151" i="3"/>
  <c r="E306" i="1"/>
  <c r="O20" i="3"/>
  <c r="O18" i="3" s="1"/>
  <c r="O135" i="3"/>
  <c r="O38" i="3"/>
  <c r="O25" i="3" s="1"/>
  <c r="D75" i="3"/>
  <c r="O203" i="3"/>
  <c r="O225" i="3"/>
  <c r="O223" i="3" s="1"/>
  <c r="D200" i="3"/>
  <c r="P205" i="1"/>
  <c r="O210" i="3"/>
  <c r="D142" i="3"/>
  <c r="P122" i="1"/>
  <c r="P121" i="1" s="1"/>
  <c r="P197" i="1"/>
  <c r="O199" i="3"/>
  <c r="O198" i="3" s="1"/>
  <c r="O138" i="3"/>
  <c r="O127" i="3"/>
  <c r="O80" i="3"/>
  <c r="O103" i="3"/>
  <c r="O85" i="3"/>
  <c r="O156" i="3"/>
  <c r="O222" i="3"/>
  <c r="O221" i="3" s="1"/>
  <c r="O157" i="3"/>
  <c r="O211" i="3"/>
  <c r="O162" i="3"/>
  <c r="P297" i="1"/>
  <c r="P286" i="1"/>
  <c r="O171" i="3"/>
  <c r="O169" i="3" s="1"/>
  <c r="O134" i="3"/>
  <c r="D137" i="3"/>
  <c r="O202" i="3"/>
  <c r="O216" i="3"/>
  <c r="O158" i="3"/>
  <c r="O141" i="3"/>
  <c r="O140" i="3"/>
  <c r="O107" i="3"/>
  <c r="O142" i="3"/>
  <c r="O139" i="3"/>
  <c r="O104" i="3"/>
  <c r="L255" i="1"/>
  <c r="L306" i="1" s="1"/>
  <c r="D163" i="3" l="1"/>
  <c r="D243" i="3" s="1"/>
  <c r="O200" i="3"/>
  <c r="O163" i="3" s="1"/>
  <c r="O75" i="3"/>
  <c r="O214" i="3"/>
  <c r="O137" i="3"/>
  <c r="P260" i="1"/>
  <c r="P256" i="1" s="1"/>
  <c r="J255" i="1"/>
  <c r="O161" i="3" l="1"/>
  <c r="O151" i="3" s="1"/>
  <c r="J102" i="3" l="1"/>
  <c r="J96" i="3" s="1"/>
  <c r="K155" i="1"/>
  <c r="K306" i="1" s="1"/>
  <c r="N102" i="3"/>
  <c r="N96" i="3" s="1"/>
  <c r="O155" i="1"/>
  <c r="O306" i="1" s="1"/>
  <c r="J164" i="1"/>
  <c r="J156" i="1" s="1"/>
  <c r="N243" i="3" l="1"/>
  <c r="J243" i="3"/>
  <c r="I102" i="3"/>
  <c r="I96" i="3" s="1"/>
  <c r="P164" i="1"/>
  <c r="P156" i="1" s="1"/>
  <c r="P17" i="1"/>
  <c r="P275" i="1"/>
  <c r="P296" i="1"/>
  <c r="I243" i="3" l="1"/>
  <c r="O102" i="3"/>
  <c r="O96" i="3" s="1"/>
  <c r="P155" i="1"/>
  <c r="J155" i="1"/>
  <c r="J306" i="1" s="1"/>
  <c r="P285" i="1"/>
  <c r="P255" i="1"/>
  <c r="P215" i="1"/>
  <c r="P204" i="1"/>
  <c r="P196" i="1"/>
  <c r="O243" i="3" l="1"/>
  <c r="P306" i="1"/>
  <c r="C56" i="1"/>
  <c r="C300" i="1" l="1"/>
  <c r="D300" i="1"/>
  <c r="B300" i="1"/>
  <c r="C244" i="1"/>
  <c r="D244" i="1"/>
  <c r="B244" i="1"/>
  <c r="C168" i="1" l="1"/>
  <c r="D168" i="1"/>
  <c r="B168" i="1"/>
  <c r="C33" i="1"/>
  <c r="D33" i="1"/>
  <c r="B33" i="1"/>
  <c r="B142" i="1"/>
  <c r="C142" i="1"/>
  <c r="D142" i="1"/>
  <c r="B176" i="1"/>
  <c r="C176" i="1"/>
  <c r="D176" i="1"/>
  <c r="B178" i="1"/>
  <c r="C178" i="1"/>
  <c r="C172" i="1"/>
  <c r="D172" i="1"/>
  <c r="B172" i="1"/>
  <c r="C281" i="1"/>
  <c r="B281" i="1"/>
  <c r="C278" i="1"/>
  <c r="D278" i="1"/>
  <c r="B278" i="1"/>
  <c r="D146" i="1"/>
  <c r="C146" i="1"/>
  <c r="B146" i="1"/>
  <c r="C145" i="1"/>
  <c r="D145" i="1"/>
  <c r="B145" i="1"/>
  <c r="C53" i="1"/>
  <c r="B53" i="1"/>
  <c r="C195" i="1"/>
  <c r="B195" i="1"/>
  <c r="C191" i="1"/>
  <c r="D191" i="1"/>
  <c r="C192" i="1"/>
  <c r="B192" i="1"/>
  <c r="B191" i="1"/>
  <c r="C184" i="1"/>
  <c r="D184" i="1"/>
  <c r="B184" i="1"/>
  <c r="C183" i="1"/>
  <c r="D183" i="1"/>
  <c r="B183" i="1"/>
  <c r="C182" i="1"/>
  <c r="B182" i="1"/>
  <c r="C181" i="1"/>
  <c r="D181" i="1"/>
  <c r="B181" i="1"/>
  <c r="C180" i="1"/>
  <c r="D180" i="1"/>
  <c r="B180" i="1"/>
  <c r="C175" i="1"/>
  <c r="D175" i="1"/>
  <c r="B175" i="1"/>
  <c r="C174" i="1"/>
  <c r="D174" i="1"/>
  <c r="B174" i="1"/>
  <c r="C170" i="1"/>
  <c r="D170" i="1"/>
  <c r="B170" i="1"/>
  <c r="C169" i="1"/>
  <c r="D169" i="1"/>
  <c r="B169" i="1"/>
  <c r="C166" i="1"/>
  <c r="D166" i="1"/>
  <c r="B166" i="1"/>
  <c r="C165" i="1"/>
  <c r="B165" i="1"/>
  <c r="C164" i="1"/>
  <c r="D164" i="1"/>
  <c r="B164" i="1"/>
  <c r="C151" i="1"/>
  <c r="B151" i="1"/>
  <c r="C140" i="1"/>
  <c r="D140" i="1"/>
  <c r="B140" i="1"/>
  <c r="C138" i="1"/>
  <c r="D138" i="1"/>
  <c r="B138" i="1"/>
  <c r="C136" i="1"/>
  <c r="B136" i="1"/>
  <c r="C131" i="1"/>
  <c r="B131" i="1"/>
  <c r="C94" i="1"/>
  <c r="C96" i="1"/>
  <c r="C78" i="1"/>
  <c r="B78" i="1"/>
  <c r="C77" i="1"/>
  <c r="B77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D31" i="1"/>
  <c r="C32" i="1"/>
  <c r="B32" i="1"/>
  <c r="B31" i="1"/>
  <c r="C34" i="1"/>
  <c r="D34" i="1"/>
  <c r="C35" i="1"/>
  <c r="D35" i="1"/>
  <c r="B35" i="1"/>
  <c r="B34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01" i="1"/>
  <c r="C201" i="1"/>
  <c r="B201" i="1"/>
  <c r="C208" i="1"/>
  <c r="D208" i="1"/>
  <c r="B208" i="1"/>
  <c r="C210" i="1"/>
  <c r="D210" i="1"/>
  <c r="C211" i="1"/>
  <c r="D211" i="1"/>
  <c r="B211" i="1"/>
  <c r="B210" i="1"/>
  <c r="C213" i="1"/>
  <c r="B213" i="1"/>
  <c r="C224" i="1"/>
  <c r="D224" i="1"/>
  <c r="B224" i="1"/>
  <c r="C228" i="1"/>
  <c r="D228" i="1"/>
  <c r="B228" i="1"/>
  <c r="C227" i="1"/>
  <c r="D227" i="1"/>
  <c r="B227" i="1"/>
  <c r="C226" i="1"/>
  <c r="D226" i="1"/>
  <c r="B226" i="1"/>
  <c r="C225" i="1"/>
  <c r="D225" i="1"/>
  <c r="B225" i="1"/>
  <c r="C229" i="1"/>
  <c r="D229" i="1"/>
  <c r="B229" i="1"/>
  <c r="C230" i="1"/>
  <c r="D230" i="1"/>
  <c r="B230" i="1"/>
  <c r="C231" i="1"/>
  <c r="D231" i="1"/>
  <c r="B231" i="1"/>
  <c r="C232" i="1"/>
  <c r="B232" i="1"/>
  <c r="C233" i="1"/>
  <c r="B233" i="1"/>
  <c r="C243" i="1"/>
  <c r="B243" i="1"/>
  <c r="C249" i="1"/>
  <c r="D249" i="1"/>
  <c r="B249" i="1"/>
  <c r="C251" i="1"/>
  <c r="B251" i="1"/>
  <c r="C259" i="1"/>
  <c r="D259" i="1"/>
  <c r="B259" i="1"/>
  <c r="C260" i="1"/>
  <c r="B260" i="1"/>
  <c r="C261" i="1"/>
  <c r="D261" i="1"/>
  <c r="B261" i="1"/>
  <c r="C263" i="1"/>
  <c r="B263" i="1"/>
  <c r="C262" i="1"/>
  <c r="B262" i="1"/>
  <c r="C266" i="1"/>
  <c r="B266" i="1"/>
  <c r="C271" i="1"/>
  <c r="B271" i="1"/>
  <c r="C288" i="1"/>
  <c r="D288" i="1"/>
  <c r="B288" i="1"/>
  <c r="C289" i="1"/>
  <c r="D289" i="1"/>
  <c r="B289" i="1"/>
  <c r="C290" i="1"/>
  <c r="D290" i="1"/>
  <c r="B290" i="1"/>
  <c r="C291" i="1"/>
  <c r="D291" i="1"/>
  <c r="B291" i="1"/>
  <c r="C292" i="1"/>
  <c r="D292" i="1"/>
  <c r="B292" i="1"/>
  <c r="C299" i="1"/>
  <c r="B299" i="1"/>
  <c r="C302" i="1"/>
  <c r="D302" i="1"/>
  <c r="B302" i="1"/>
  <c r="C303" i="1"/>
  <c r="D303" i="1"/>
  <c r="B303" i="1"/>
  <c r="C304" i="1"/>
  <c r="D304" i="1"/>
  <c r="C305" i="1"/>
  <c r="D305" i="1"/>
  <c r="B305" i="1"/>
  <c r="C298" i="1"/>
  <c r="B298" i="1"/>
  <c r="C287" i="1"/>
  <c r="B287" i="1"/>
  <c r="C284" i="1"/>
  <c r="B284" i="1"/>
  <c r="C277" i="1"/>
  <c r="B277" i="1"/>
  <c r="C258" i="1"/>
  <c r="B258" i="1"/>
  <c r="C254" i="1"/>
  <c r="B254" i="1"/>
  <c r="C222" i="1"/>
  <c r="B222" i="1"/>
  <c r="C206" i="1"/>
  <c r="B206" i="1"/>
  <c r="C199" i="1"/>
  <c r="B199" i="1"/>
  <c r="C162" i="1"/>
  <c r="B162" i="1"/>
  <c r="C130" i="1"/>
  <c r="B130" i="1"/>
  <c r="C76" i="1"/>
  <c r="B76" i="1"/>
  <c r="C21" i="1"/>
  <c r="B21" i="1"/>
  <c r="E77" i="3" l="1"/>
  <c r="F312" i="1" l="1"/>
  <c r="D77" i="3"/>
  <c r="I77" i="3"/>
  <c r="O77" i="3" l="1"/>
  <c r="D79" i="3" l="1"/>
  <c r="D76" i="3" l="1"/>
  <c r="I79" i="3"/>
  <c r="I78" i="3"/>
  <c r="I245" i="3" s="1"/>
  <c r="O79" i="3"/>
  <c r="O78" i="3" l="1"/>
  <c r="O245" i="3" s="1"/>
  <c r="I76" i="3"/>
  <c r="O76" i="3" l="1"/>
  <c r="J312" i="1" l="1"/>
  <c r="I186" i="3"/>
  <c r="I165" i="3" s="1"/>
  <c r="D186" i="3"/>
  <c r="D165" i="3" s="1"/>
  <c r="P312" i="1" l="1"/>
  <c r="O186" i="3"/>
  <c r="O165" i="3" s="1"/>
  <c r="D164" i="3" l="1"/>
  <c r="I170" i="3" l="1"/>
  <c r="O170" i="3"/>
  <c r="O164" i="3" l="1"/>
  <c r="O244" i="3"/>
  <c r="I164" i="3"/>
  <c r="I244" i="3"/>
  <c r="J311" i="1" l="1"/>
  <c r="P311" i="1"/>
</calcChain>
</file>

<file path=xl/sharedStrings.xml><?xml version="1.0" encoding="utf-8"?>
<sst xmlns="http://schemas.openxmlformats.org/spreadsheetml/2006/main" count="1021" uniqueCount="618">
  <si>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</si>
  <si>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</si>
  <si>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</si>
  <si>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</si>
  <si>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</si>
  <si>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</si>
  <si>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</si>
  <si>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</si>
  <si>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</si>
  <si>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</si>
  <si>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</si>
  <si>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</si>
  <si>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</si>
  <si>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</si>
  <si>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</si>
  <si>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</si>
  <si>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</si>
  <si>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</si>
  <si>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</si>
  <si>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</si>
  <si>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</si>
  <si>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</si>
  <si>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</si>
  <si>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</si>
  <si>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</si>
  <si>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</si>
  <si>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</si>
  <si>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</si>
  <si>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</si>
  <si>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</si>
  <si>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</si>
  <si>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</si>
  <si>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</si>
  <si>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</si>
  <si>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</si>
  <si>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</si>
  <si>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</si>
  <si>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</si>
  <si>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</si>
  <si>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</si>
  <si>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</si>
  <si>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</si>
  <si>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</si>
  <si>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</si>
  <si>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</si>
  <si>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</si>
  <si>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</si>
  <si>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</si>
  <si>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</si>
  <si>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</si>
  <si>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</si>
  <si>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</si>
  <si>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</si>
  <si>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</si>
  <si>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</si>
  <si>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</si>
  <si>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</si>
  <si>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</si>
  <si>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</si>
  <si>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</si>
  <si>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</si>
  <si>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</si>
  <si>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</si>
  <si>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</si>
  <si>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</si>
  <si>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</si>
  <si>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</si>
  <si>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</si>
  <si>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</si>
  <si>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</si>
  <si>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</si>
  <si>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</si>
  <si>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</si>
  <si>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</si>
  <si>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</si>
  <si>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</si>
  <si>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</si>
  <si>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</si>
  <si>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</si>
  <si>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</si>
  <si>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</si>
  <si>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</si>
  <si>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</si>
  <si>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</si>
  <si>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</si>
  <si>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</si>
  <si>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</si>
  <si>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</si>
  <si>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</si>
  <si>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</si>
  <si>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</si>
  <si>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</si>
  <si>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</si>
  <si>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</si>
  <si>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</si>
  <si>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</si>
  <si>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</si>
  <si>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</si>
  <si>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</si>
  <si>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</si>
  <si>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</si>
  <si>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</si>
  <si>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</si>
  <si>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</si>
  <si>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</si>
  <si>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</si>
  <si>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</si>
  <si>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</si>
  <si>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</si>
  <si>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</si>
  <si>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</si>
  <si>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</si>
  <si>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</si>
  <si>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</si>
  <si>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</si>
  <si>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</si>
  <si>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</si>
  <si>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</si>
  <si>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</si>
  <si>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</si>
  <si>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</si>
  <si>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</si>
  <si>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</si>
  <si>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</si>
  <si>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</si>
  <si>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</si>
  <si>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</si>
  <si>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</si>
  <si>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</si>
  <si>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</si>
  <si>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</si>
  <si>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</si>
  <si>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</si>
  <si>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</si>
  <si>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</si>
  <si>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</si>
  <si>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</si>
  <si>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</si>
  <si>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</si>
  <si>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</si>
  <si>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</si>
  <si>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</si>
  <si>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</si>
  <si>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</si>
  <si>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</si>
  <si>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</si>
  <si>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</si>
  <si>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</si>
  <si>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</si>
  <si>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</si>
  <si>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</si>
  <si>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</si>
  <si>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</si>
  <si>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</si>
  <si>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</si>
  <si>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</si>
  <si>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</si>
  <si>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</si>
  <si>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</si>
  <si>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</si>
  <si>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</si>
  <si>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</si>
  <si>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</si>
  <si>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</si>
  <si>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</si>
  <si>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</si>
  <si>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</si>
  <si>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</si>
  <si>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</si>
  <si>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</si>
  <si>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</si>
  <si>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</si>
  <si>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</si>
  <si>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</si>
  <si>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</si>
  <si>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</si>
  <si>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</si>
  <si>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</si>
  <si>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</si>
  <si>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</si>
  <si>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</si>
  <si>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</si>
  <si>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</si>
  <si>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</si>
  <si>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</si>
  <si>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</si>
  <si>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</si>
  <si>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</si>
  <si>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</si>
  <si>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</si>
  <si>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</si>
  <si>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</si>
  <si>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</si>
  <si>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</si>
  <si>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</si>
  <si>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</si>
  <si>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</si>
  <si>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</si>
  <si>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</si>
  <si>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</si>
  <si>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</si>
  <si>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</si>
  <si>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</si>
  <si>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</si>
  <si>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</si>
  <si>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</si>
  <si>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</si>
  <si>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</si>
  <si>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</si>
  <si>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</si>
  <si>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</si>
  <si>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</si>
  <si>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</si>
  <si>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</si>
  <si>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</si>
  <si>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</si>
  <si>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</si>
  <si>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</si>
  <si>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</si>
  <si>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</si>
  <si>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</si>
  <si>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</si>
  <si>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</si>
  <si>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</si>
  <si>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</si>
  <si>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</si>
  <si>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</si>
  <si>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</si>
  <si>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</si>
  <si>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</si>
  <si>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</si>
  <si>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</si>
  <si>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</si>
  <si>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</si>
  <si>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</si>
  <si>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</si>
  <si>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</si>
  <si>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</si>
  <si>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</si>
  <si>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</si>
  <si>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</si>
  <si>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</si>
  <si>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</si>
  <si>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</si>
  <si>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</si>
  <si>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</si>
  <si>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</si>
  <si>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</si>
  <si>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</si>
  <si>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</si>
  <si>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</si>
  <si>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</si>
  <si>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</si>
  <si>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</si>
  <si>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</si>
  <si>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</si>
  <si>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</si>
  <si>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</si>
  <si>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</si>
  <si>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</si>
  <si>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</si>
  <si>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</si>
  <si>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</si>
  <si>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</si>
  <si>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</si>
  <si>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</si>
  <si>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</si>
  <si>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</si>
  <si>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</si>
  <si>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</si>
  <si>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</si>
  <si>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</si>
  <si>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</si>
  <si>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</si>
  <si>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</si>
  <si>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</si>
  <si>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</si>
  <si>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</si>
  <si>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</si>
  <si>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</si>
  <si>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</si>
  <si>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</si>
  <si>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</si>
  <si>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</si>
  <si>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</si>
  <si>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</si>
  <si>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</si>
  <si>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</si>
  <si>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</si>
  <si>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</si>
  <si>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</si>
  <si>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</si>
  <si>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</si>
  <si>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</si>
  <si>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</si>
  <si>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</si>
  <si>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</si>
  <si>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</si>
  <si>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</si>
  <si>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</si>
  <si>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</si>
  <si>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</si>
  <si>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</si>
  <si>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</si>
  <si>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</si>
  <si>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</si>
  <si>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</si>
  <si>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</si>
  <si>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</si>
  <si>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</si>
  <si>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</si>
  <si>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</si>
  <si>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</si>
  <si>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</si>
  <si>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</si>
  <si>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</si>
  <si>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</si>
  <si>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</si>
  <si>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</si>
  <si>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</si>
  <si>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</si>
  <si>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</si>
  <si>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</si>
  <si>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</si>
  <si>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</si>
  <si>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</si>
  <si>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</si>
  <si>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</si>
  <si>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</si>
  <si>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</si>
  <si>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</si>
  <si>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</si>
  <si>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</si>
  <si>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</si>
  <si>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</si>
  <si>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</si>
  <si>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</si>
  <si>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</si>
  <si>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</si>
  <si>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</si>
  <si>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</si>
  <si>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</si>
  <si>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</si>
  <si>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</si>
  <si>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</si>
  <si>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</si>
  <si>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</si>
  <si>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</si>
  <si>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</si>
  <si>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</si>
  <si>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</si>
  <si>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</si>
  <si>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</si>
  <si>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</si>
  <si>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</si>
  <si>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</si>
  <si>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</si>
  <si>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</si>
  <si>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</si>
  <si>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</si>
  <si>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</si>
  <si>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</si>
  <si>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</si>
  <si>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</si>
  <si>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</si>
  <si>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</si>
  <si>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</si>
  <si>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</si>
  <si>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</si>
  <si>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</si>
  <si>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</si>
  <si>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</si>
  <si>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</si>
  <si>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</si>
  <si>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</si>
  <si>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</si>
  <si>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</si>
  <si>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</si>
  <si>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</si>
  <si>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</si>
  <si>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</si>
  <si>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</si>
  <si>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</si>
  <si>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</si>
  <si>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</si>
  <si>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</si>
  <si>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</si>
  <si>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</si>
  <si>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</si>
  <si>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</si>
  <si>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</si>
  <si>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</si>
  <si>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</si>
  <si>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</si>
  <si>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</si>
  <si>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</si>
  <si>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</si>
  <si>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</si>
  <si>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</si>
  <si>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</si>
  <si>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</si>
  <si>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</si>
  <si>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</si>
  <si>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</si>
  <si>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</si>
  <si>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</si>
  <si>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</si>
  <si>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</si>
  <si>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</si>
  <si>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</si>
  <si>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</si>
  <si>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</si>
  <si>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</si>
  <si>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</si>
  <si>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</si>
  <si>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</si>
  <si>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</si>
  <si>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</si>
  <si>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</si>
  <si>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</si>
  <si>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</si>
  <si>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</si>
  <si>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</si>
  <si>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</si>
  <si>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</si>
  <si>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</si>
  <si>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</si>
  <si>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</si>
  <si>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</si>
  <si>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</si>
  <si>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</si>
  <si>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</si>
  <si>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</si>
  <si>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</si>
  <si>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</si>
  <si>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</si>
  <si>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</si>
  <si>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</si>
  <si>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</si>
  <si>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</si>
  <si>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</si>
  <si>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</si>
  <si>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</si>
  <si>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</si>
  <si>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</si>
  <si>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</si>
  <si>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</si>
  <si>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</si>
  <si>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</si>
  <si>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</si>
  <si>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</si>
  <si>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</si>
  <si>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</si>
  <si>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</si>
  <si>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</si>
  <si>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</si>
  <si>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</si>
  <si>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</si>
  <si>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</si>
  <si>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</si>
  <si>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</si>
  <si>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</si>
  <si>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</si>
  <si>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</si>
  <si>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</si>
  <si>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</si>
  <si>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</si>
  <si>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</si>
  <si>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</si>
  <si>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</si>
  <si>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</si>
  <si>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</si>
  <si>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</si>
  <si>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</si>
  <si>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</si>
  <si>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</si>
  <si>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</si>
  <si>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</si>
  <si>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</si>
  <si>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</si>
  <si>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</si>
  <si>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</si>
  <si>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</si>
  <si>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</si>
  <si>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</si>
  <si>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</si>
  <si>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</si>
  <si>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</si>
  <si>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</si>
  <si>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</si>
  <si>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</si>
  <si>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</si>
  <si>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</si>
  <si>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</si>
  <si>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</si>
  <si>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</si>
  <si>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</si>
  <si>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</si>
  <si>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</si>
  <si>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</si>
  <si>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</si>
  <si>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</si>
  <si>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</si>
  <si>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</si>
  <si>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</si>
  <si>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</si>
  <si>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</si>
  <si>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</si>
  <si>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</si>
  <si>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</si>
  <si>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</si>
  <si>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</si>
  <si>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</si>
  <si>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</si>
  <si>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</si>
  <si>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</si>
  <si>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</si>
  <si>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</si>
  <si>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</si>
  <si>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</si>
  <si>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</si>
  <si>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</si>
  <si>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</si>
  <si>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</si>
  <si>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</si>
  <si>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</si>
  <si>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</si>
  <si>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</si>
  <si>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r>
      <rPr>
        <sz val="18"/>
        <rFont val="Times New Roman"/>
        <family val="1"/>
        <charset val="204"/>
      </rPr>
      <t xml:space="preserve">       </t>
    </r>
    <r>
      <rPr>
        <u/>
        <sz val="18"/>
        <rFont val="Times New Roman"/>
        <family val="1"/>
        <charset val="204"/>
      </rPr>
      <t>18531000000</t>
    </r>
  </si>
  <si>
    <t xml:space="preserve">            (код бюджету)</t>
  </si>
  <si>
    <r>
      <rPr>
        <sz val="18"/>
        <rFont val="Times New Roman"/>
        <family val="1"/>
        <charset val="204"/>
      </rPr>
      <t xml:space="preserve">      </t>
    </r>
    <r>
      <rPr>
        <u/>
        <sz val="18"/>
        <rFont val="Times New Roman"/>
        <family val="1"/>
        <charset val="204"/>
      </rPr>
      <t>18531000000</t>
    </r>
  </si>
  <si>
    <t xml:space="preserve">          (код бюджету)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</si>
  <si>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</si>
  <si>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</si>
  <si>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</si>
  <si>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</si>
  <si>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</si>
  <si>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</si>
  <si>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</si>
  <si>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</si>
  <si>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</si>
  <si>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</si>
  <si>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</si>
  <si>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</si>
  <si>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</si>
  <si>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</si>
  <si>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</si>
  <si>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</si>
  <si>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</si>
  <si>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</si>
  <si>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</si>
  <si>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</si>
  <si>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</si>
  <si>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</si>
  <si>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</si>
  <si>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</si>
  <si>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</si>
  <si>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</si>
  <si>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</si>
  <si>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</si>
  <si>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</si>
  <si>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</si>
  <si>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</si>
  <si>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</si>
  <si>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</si>
  <si>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</si>
  <si>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</si>
  <si>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</si>
  <si>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</si>
  <si>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</si>
  <si>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1617370</t>
  </si>
  <si>
    <t>7370</t>
  </si>
  <si>
    <t>0611172</t>
  </si>
  <si>
    <t>0611182</t>
  </si>
  <si>
    <t>1172</t>
  </si>
  <si>
    <t>1182</t>
  </si>
  <si>
    <t xml:space="preserve">Виконання заходів в рамках реалізації програми "Спроможна школа для кращих результатів",  у т.ч. за рахунок: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</si>
  <si>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школа",  у т.ч. за рахунок: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</si>
  <si>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</si>
  <si>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</si>
  <si>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</si>
  <si>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</si>
  <si>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</si>
  <si>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</si>
  <si>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</si>
  <si>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</si>
  <si>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</si>
  <si>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</si>
  <si>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</si>
  <si>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</si>
  <si>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</si>
  <si>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</si>
  <si>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</si>
  <si>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Сумської міської ради від 24 грудня 2020 року </t>
  </si>
  <si>
    <t>«Про       внесення        змін       до        рішення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</si>
  <si>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</si>
  <si>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</si>
  <si>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</si>
  <si>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територіальної     громади     на      2021      рік»</t>
  </si>
  <si>
    <t>«Про       внесення       змін       до         рішення</t>
  </si>
  <si>
    <t>до      рішення      Сумської      міської        ради</t>
  </si>
  <si>
    <t xml:space="preserve">№ 62 - МР «Про   бюджет   Сумської    міської 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</si>
  <si>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</si>
  <si>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</si>
  <si>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безпосередньо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</si>
  <si>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безпосередньо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</si>
  <si>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</si>
  <si>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</si>
  <si>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безпосередньо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із забезпечення національної безпеки і оборони, відсічі і стримування збройної анресії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</si>
  <si>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безпосередньо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анресії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</si>
  <si>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безпосередньо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</si>
  <si>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                             2021    року    №          -  МР</t>
  </si>
  <si>
    <t>від                          2021     року     №           -  МР</t>
  </si>
  <si>
    <t xml:space="preserve">                               Додаток 2</t>
  </si>
  <si>
    <t xml:space="preserve">                               Додаток 5</t>
  </si>
  <si>
    <t>Директор Департаменту фінансів, економіки та інвестицій</t>
  </si>
  <si>
    <t>С.А. Липова</t>
  </si>
  <si>
    <t>Інша діяльність, у т.ч. за рахунок: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</si>
</sst>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96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4" fillId="0" borderId="7" xfId="0" applyNumberFormat="1" applyFont="1" applyFill="1" applyBorder="1" applyAlignment="1">
      <alignment horizontal="right" wrapText="1"/>
    </xf>
    <xf numFmtId="4" fontId="45" fillId="0" borderId="7" xfId="0" applyNumberFormat="1" applyFont="1" applyFill="1" applyBorder="1" applyAlignment="1">
      <alignment horizontal="right" wrapText="1"/>
    </xf>
    <xf numFmtId="4" fontId="46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Alignment="1" applyProtection="1">
      <alignment vertical="center"/>
    </xf>
    <xf numFmtId="49" fontId="49" fillId="0" borderId="0" xfId="0" applyNumberFormat="1" applyFont="1" applyFill="1" applyAlignment="1" applyProtection="1"/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0" fontId="42" fillId="0" borderId="0" xfId="0" applyFont="1" applyFill="1" applyAlignment="1"/>
    <xf numFmtId="0" fontId="21" fillId="0" borderId="0" xfId="0" applyFont="1" applyFill="1" applyAlignment="1">
      <alignment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 wrapText="1"/>
    </xf>
    <xf numFmtId="49" fontId="56" fillId="0" borderId="0" xfId="0" applyNumberFormat="1" applyFont="1" applyFill="1" applyBorder="1" applyAlignment="1" applyProtection="1"/>
    <xf numFmtId="3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9" fontId="54" fillId="0" borderId="0" xfId="0" applyNumberFormat="1" applyFont="1" applyFill="1" applyBorder="1" applyAlignment="1"/>
    <xf numFmtId="49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3" fontId="55" fillId="0" borderId="0" xfId="0" applyNumberFormat="1" applyFont="1" applyFill="1" applyAlignment="1"/>
    <xf numFmtId="3" fontId="55" fillId="0" borderId="0" xfId="0" applyNumberFormat="1" applyFont="1" applyFill="1" applyBorder="1" applyAlignment="1"/>
    <xf numFmtId="1" fontId="57" fillId="0" borderId="7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vertical="center" textRotation="180"/>
    </xf>
    <xf numFmtId="0" fontId="56" fillId="0" borderId="0" xfId="0" applyFont="1" applyFill="1" applyBorder="1" applyAlignment="1">
      <alignment vertical="center" textRotation="180"/>
    </xf>
    <xf numFmtId="49" fontId="28" fillId="0" borderId="0" xfId="0" applyNumberFormat="1" applyFont="1" applyFill="1" applyBorder="1" applyAlignment="1" applyProtection="1"/>
    <xf numFmtId="3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left" wrapText="1"/>
    </xf>
    <xf numFmtId="3" fontId="33" fillId="0" borderId="0" xfId="0" applyNumberFormat="1" applyFont="1" applyFill="1" applyBorder="1"/>
    <xf numFmtId="49" fontId="56" fillId="0" borderId="0" xfId="0" applyNumberFormat="1" applyFont="1" applyFill="1" applyBorder="1" applyAlignment="1"/>
    <xf numFmtId="49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wrapText="1"/>
    </xf>
    <xf numFmtId="4" fontId="56" fillId="0" borderId="0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 wrapText="1"/>
    </xf>
    <xf numFmtId="3" fontId="41" fillId="0" borderId="0" xfId="0" applyNumberFormat="1" applyFont="1" applyFill="1" applyBorder="1" applyAlignment="1"/>
    <xf numFmtId="3" fontId="41" fillId="0" borderId="0" xfId="0" applyNumberFormat="1" applyFont="1" applyFill="1" applyAlignment="1"/>
    <xf numFmtId="49" fontId="28" fillId="0" borderId="0" xfId="0" applyNumberFormat="1" applyFont="1" applyFill="1" applyBorder="1" applyAlignment="1" applyProtection="1"/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3" fontId="56" fillId="0" borderId="0" xfId="0" applyNumberFormat="1" applyFont="1" applyFill="1" applyBorder="1" applyAlignment="1">
      <alignment horizontal="center" vertical="center" textRotation="180"/>
    </xf>
    <xf numFmtId="3" fontId="56" fillId="0" borderId="10" xfId="0" applyNumberFormat="1" applyFont="1" applyFill="1" applyBorder="1" applyAlignment="1">
      <alignment horizontal="center" vertical="center" textRotation="180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textRotation="180"/>
    </xf>
    <xf numFmtId="0" fontId="56" fillId="0" borderId="0" xfId="0" applyFont="1" applyFill="1" applyBorder="1" applyAlignment="1">
      <alignment horizontal="center" vertical="center" textRotation="180"/>
    </xf>
    <xf numFmtId="0" fontId="42" fillId="0" borderId="0" xfId="0" applyFont="1" applyFill="1" applyAlignment="1"/>
    <xf numFmtId="0" fontId="43" fillId="0" borderId="0" xfId="0" applyNumberFormat="1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/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691"/>
  <sheetViews>
    <sheetView showGridLines="0" showZeros="0" view="pageBreakPreview" topLeftCell="E299" zoomScale="69" zoomScaleNormal="82" zoomScaleSheetLayoutView="69" workbookViewId="0">
      <selection activeCell="H268" sqref="H268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19.33203125" style="47" customWidth="1"/>
    <col min="9" max="9" width="19.6640625" style="47" customWidth="1"/>
    <col min="10" max="10" width="20.5" style="47" customWidth="1"/>
    <col min="11" max="11" width="22.5" style="47" customWidth="1"/>
    <col min="12" max="12" width="18.33203125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48" bestFit="1" customWidth="1"/>
    <col min="17" max="17" width="10" style="164" customWidth="1"/>
    <col min="18" max="18" width="10.5" style="28" customWidth="1"/>
    <col min="19" max="527" width="9.1640625" style="28"/>
    <col min="528" max="16384" width="9.1640625" style="20"/>
  </cols>
  <sheetData>
    <row r="1" spans="1:527" ht="26.25" customHeight="1" x14ac:dyDescent="0.4">
      <c r="K1" s="145" t="s">
        <v>613</v>
      </c>
      <c r="L1" s="145"/>
      <c r="M1" s="145"/>
      <c r="N1" s="145"/>
      <c r="O1" s="145"/>
      <c r="P1" s="145"/>
      <c r="Q1" s="187">
        <v>5</v>
      </c>
    </row>
    <row r="2" spans="1:527" ht="26.25" customHeight="1" x14ac:dyDescent="0.25">
      <c r="K2" s="96" t="s">
        <v>595</v>
      </c>
      <c r="L2" s="96"/>
      <c r="M2" s="96"/>
      <c r="N2" s="96"/>
      <c r="O2" s="96"/>
      <c r="P2" s="96"/>
      <c r="Q2" s="187"/>
    </row>
    <row r="3" spans="1:527" ht="26.25" customHeight="1" x14ac:dyDescent="0.4">
      <c r="K3" s="186" t="s">
        <v>594</v>
      </c>
      <c r="L3" s="186"/>
      <c r="M3" s="186"/>
      <c r="N3" s="186"/>
      <c r="O3" s="186"/>
      <c r="P3" s="186"/>
      <c r="Q3" s="187"/>
    </row>
    <row r="4" spans="1:527" ht="26.25" customHeight="1" x14ac:dyDescent="0.4">
      <c r="K4" s="186" t="s">
        <v>596</v>
      </c>
      <c r="L4" s="186"/>
      <c r="M4" s="186"/>
      <c r="N4" s="186"/>
      <c r="O4" s="186"/>
      <c r="P4" s="186"/>
      <c r="Q4" s="187"/>
    </row>
    <row r="5" spans="1:527" ht="26.25" customHeight="1" x14ac:dyDescent="0.4">
      <c r="K5" s="186" t="s">
        <v>597</v>
      </c>
      <c r="L5" s="186"/>
      <c r="M5" s="186"/>
      <c r="N5" s="186"/>
      <c r="O5" s="186"/>
      <c r="P5" s="186"/>
      <c r="Q5" s="187"/>
    </row>
    <row r="6" spans="1:527" ht="28.5" customHeight="1" x14ac:dyDescent="0.4">
      <c r="K6" s="186" t="s">
        <v>598</v>
      </c>
      <c r="L6" s="186"/>
      <c r="M6" s="186"/>
      <c r="N6" s="186"/>
      <c r="O6" s="186"/>
      <c r="P6" s="186"/>
      <c r="Q6" s="187"/>
    </row>
    <row r="7" spans="1:527" ht="28.5" customHeight="1" x14ac:dyDescent="0.4">
      <c r="K7" s="144" t="s">
        <v>548</v>
      </c>
      <c r="L7" s="144"/>
      <c r="M7" s="144"/>
      <c r="N7" s="144"/>
      <c r="O7" s="144"/>
      <c r="P7" s="144"/>
      <c r="Q7" s="187"/>
    </row>
    <row r="8" spans="1:527" ht="26.25" customHeight="1" x14ac:dyDescent="0.4">
      <c r="K8" s="186" t="s">
        <v>612</v>
      </c>
      <c r="L8" s="186"/>
      <c r="M8" s="186"/>
      <c r="N8" s="186"/>
      <c r="O8" s="186"/>
      <c r="P8" s="186"/>
      <c r="Q8" s="187"/>
    </row>
    <row r="9" spans="1:527" ht="26.25" x14ac:dyDescent="0.4">
      <c r="L9" s="63"/>
      <c r="M9" s="63"/>
      <c r="N9" s="63"/>
      <c r="O9" s="63"/>
      <c r="P9" s="63"/>
      <c r="Q9" s="187"/>
    </row>
    <row r="10" spans="1:527" s="44" customFormat="1" ht="71.25" customHeight="1" x14ac:dyDescent="0.3">
      <c r="A10" s="180" t="s">
        <v>452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65"/>
      <c r="B11" s="65"/>
      <c r="C11" s="64"/>
      <c r="D11" s="64"/>
      <c r="E11" s="64"/>
      <c r="F11" s="64"/>
      <c r="G11" s="125" t="s">
        <v>530</v>
      </c>
      <c r="H11" s="64"/>
      <c r="I11" s="64"/>
      <c r="J11" s="64"/>
      <c r="K11" s="64"/>
      <c r="L11" s="64"/>
      <c r="M11" s="64"/>
      <c r="N11" s="64"/>
      <c r="O11" s="64"/>
      <c r="P11" s="64"/>
      <c r="Q11" s="18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66"/>
      <c r="B12" s="66"/>
      <c r="C12" s="64"/>
      <c r="D12" s="64"/>
      <c r="E12" s="64"/>
      <c r="F12" s="64"/>
      <c r="G12" s="66" t="s">
        <v>531</v>
      </c>
      <c r="H12" s="64"/>
      <c r="I12" s="64"/>
      <c r="J12" s="64"/>
      <c r="K12" s="64"/>
      <c r="L12" s="64"/>
      <c r="M12" s="64"/>
      <c r="N12" s="64"/>
      <c r="O12" s="64"/>
      <c r="P12" s="64"/>
      <c r="Q12" s="18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33" t="s">
        <v>360</v>
      </c>
      <c r="Q13" s="187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81" t="s">
        <v>338</v>
      </c>
      <c r="B14" s="182" t="s">
        <v>339</v>
      </c>
      <c r="C14" s="182" t="s">
        <v>329</v>
      </c>
      <c r="D14" s="182" t="s">
        <v>340</v>
      </c>
      <c r="E14" s="184" t="s">
        <v>226</v>
      </c>
      <c r="F14" s="184"/>
      <c r="G14" s="184"/>
      <c r="H14" s="184"/>
      <c r="I14" s="184"/>
      <c r="J14" s="184" t="s">
        <v>227</v>
      </c>
      <c r="K14" s="184"/>
      <c r="L14" s="184"/>
      <c r="M14" s="184"/>
      <c r="N14" s="184"/>
      <c r="O14" s="184"/>
      <c r="P14" s="184" t="s">
        <v>228</v>
      </c>
      <c r="Q14" s="18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81"/>
      <c r="B15" s="182"/>
      <c r="C15" s="182"/>
      <c r="D15" s="182"/>
      <c r="E15" s="185" t="s">
        <v>330</v>
      </c>
      <c r="F15" s="185" t="s">
        <v>229</v>
      </c>
      <c r="G15" s="183" t="s">
        <v>230</v>
      </c>
      <c r="H15" s="183"/>
      <c r="I15" s="185" t="s">
        <v>231</v>
      </c>
      <c r="J15" s="185" t="s">
        <v>330</v>
      </c>
      <c r="K15" s="185" t="s">
        <v>331</v>
      </c>
      <c r="L15" s="185" t="s">
        <v>229</v>
      </c>
      <c r="M15" s="183" t="s">
        <v>230</v>
      </c>
      <c r="N15" s="183"/>
      <c r="O15" s="185" t="s">
        <v>231</v>
      </c>
      <c r="P15" s="184"/>
      <c r="Q15" s="187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62.25" customHeight="1" x14ac:dyDescent="0.2">
      <c r="A16" s="181"/>
      <c r="B16" s="182"/>
      <c r="C16" s="182"/>
      <c r="D16" s="182"/>
      <c r="E16" s="185"/>
      <c r="F16" s="185"/>
      <c r="G16" s="143" t="s">
        <v>232</v>
      </c>
      <c r="H16" s="143" t="s">
        <v>233</v>
      </c>
      <c r="I16" s="185"/>
      <c r="J16" s="185"/>
      <c r="K16" s="185"/>
      <c r="L16" s="185"/>
      <c r="M16" s="143" t="s">
        <v>232</v>
      </c>
      <c r="N16" s="143" t="s">
        <v>233</v>
      </c>
      <c r="O16" s="185"/>
      <c r="P16" s="184"/>
      <c r="Q16" s="18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26" t="s">
        <v>151</v>
      </c>
      <c r="B17" s="127"/>
      <c r="C17" s="127"/>
      <c r="D17" s="128" t="s">
        <v>36</v>
      </c>
      <c r="E17" s="99">
        <f>E18</f>
        <v>251941951.34</v>
      </c>
      <c r="F17" s="99">
        <f t="shared" ref="F17:J17" si="0">F18</f>
        <v>199342755.34</v>
      </c>
      <c r="G17" s="99">
        <f t="shared" si="0"/>
        <v>107763225</v>
      </c>
      <c r="H17" s="99">
        <f t="shared" si="0"/>
        <v>5488357</v>
      </c>
      <c r="I17" s="99">
        <f t="shared" si="0"/>
        <v>52599196</v>
      </c>
      <c r="J17" s="99">
        <f t="shared" si="0"/>
        <v>37909759.659999996</v>
      </c>
      <c r="K17" s="99">
        <f t="shared" ref="K17" si="1">K18</f>
        <v>37386964.659999996</v>
      </c>
      <c r="L17" s="99">
        <f t="shared" ref="L17" si="2">L18</f>
        <v>522795</v>
      </c>
      <c r="M17" s="99">
        <f t="shared" ref="M17" si="3">M18</f>
        <v>119291</v>
      </c>
      <c r="N17" s="99">
        <f t="shared" ref="N17" si="4">N18</f>
        <v>51832</v>
      </c>
      <c r="O17" s="99">
        <f t="shared" ref="O17:P17" si="5">O18</f>
        <v>37386964.659999996</v>
      </c>
      <c r="P17" s="99">
        <f t="shared" si="5"/>
        <v>289851711</v>
      </c>
      <c r="Q17" s="18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100" t="s">
        <v>152</v>
      </c>
      <c r="B18" s="101"/>
      <c r="C18" s="101"/>
      <c r="D18" s="81" t="s">
        <v>533</v>
      </c>
      <c r="E18" s="102">
        <f>E21+E22+E23+E24+E26+E27+E28+E29+E30+E31+E32+E33+E34+E35+E36+E37+E38+E39+E40+E41+E42+E43+E44+E46+E48+E49+E50+E51+E52+E53+E54+E55+E56+E58+E59+E60+E45+E47+E61</f>
        <v>251941951.34</v>
      </c>
      <c r="F18" s="102">
        <f t="shared" ref="F18:P18" si="6">F21+F22+F23+F24+F26+F27+F28+F29+F30+F31+F32+F33+F34+F35+F36+F37+F38+F39+F40+F41+F42+F43+F44+F46+F48+F49+F50+F51+F52+F53+F54+F55+F56+F58+F59+F60+F45+F47+F61</f>
        <v>199342755.34</v>
      </c>
      <c r="G18" s="102">
        <f t="shared" si="6"/>
        <v>107763225</v>
      </c>
      <c r="H18" s="102">
        <f t="shared" si="6"/>
        <v>5488357</v>
      </c>
      <c r="I18" s="102">
        <f t="shared" si="6"/>
        <v>52599196</v>
      </c>
      <c r="J18" s="102">
        <f t="shared" si="6"/>
        <v>37909759.659999996</v>
      </c>
      <c r="K18" s="102">
        <f t="shared" si="6"/>
        <v>37386964.659999996</v>
      </c>
      <c r="L18" s="102">
        <f t="shared" si="6"/>
        <v>522795</v>
      </c>
      <c r="M18" s="102">
        <f t="shared" si="6"/>
        <v>119291</v>
      </c>
      <c r="N18" s="102">
        <f t="shared" si="6"/>
        <v>51832</v>
      </c>
      <c r="O18" s="102">
        <f t="shared" si="6"/>
        <v>37386964.659999996</v>
      </c>
      <c r="P18" s="102">
        <f t="shared" si="6"/>
        <v>289851711</v>
      </c>
      <c r="Q18" s="18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100"/>
      <c r="B19" s="101"/>
      <c r="C19" s="101"/>
      <c r="D19" s="81" t="s">
        <v>384</v>
      </c>
      <c r="E19" s="102">
        <f>E57</f>
        <v>588815</v>
      </c>
      <c r="F19" s="102">
        <f t="shared" ref="F19:P19" si="7">F57</f>
        <v>588815</v>
      </c>
      <c r="G19" s="102">
        <f t="shared" si="7"/>
        <v>482635</v>
      </c>
      <c r="H19" s="102">
        <f t="shared" si="7"/>
        <v>0</v>
      </c>
      <c r="I19" s="102">
        <f t="shared" si="7"/>
        <v>0</v>
      </c>
      <c r="J19" s="102">
        <f t="shared" si="7"/>
        <v>0</v>
      </c>
      <c r="K19" s="102">
        <f t="shared" si="7"/>
        <v>0</v>
      </c>
      <c r="L19" s="102">
        <f t="shared" si="7"/>
        <v>0</v>
      </c>
      <c r="M19" s="102">
        <f t="shared" si="7"/>
        <v>0</v>
      </c>
      <c r="N19" s="102">
        <f t="shared" si="7"/>
        <v>0</v>
      </c>
      <c r="O19" s="102">
        <f t="shared" si="7"/>
        <v>0</v>
      </c>
      <c r="P19" s="102">
        <f t="shared" si="7"/>
        <v>588815</v>
      </c>
      <c r="Q19" s="187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100"/>
      <c r="B20" s="101"/>
      <c r="C20" s="101"/>
      <c r="D20" s="81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02">
        <f>E25</f>
        <v>0</v>
      </c>
      <c r="F20" s="102">
        <f t="shared" ref="F20:P20" si="8">F25</f>
        <v>0</v>
      </c>
      <c r="G20" s="102">
        <f t="shared" si="8"/>
        <v>0</v>
      </c>
      <c r="H20" s="102">
        <f t="shared" si="8"/>
        <v>0</v>
      </c>
      <c r="I20" s="102">
        <f t="shared" si="8"/>
        <v>0</v>
      </c>
      <c r="J20" s="102">
        <f t="shared" si="8"/>
        <v>0</v>
      </c>
      <c r="K20" s="102">
        <f t="shared" si="8"/>
        <v>0</v>
      </c>
      <c r="L20" s="102">
        <f t="shared" si="8"/>
        <v>0</v>
      </c>
      <c r="M20" s="102">
        <f t="shared" si="8"/>
        <v>0</v>
      </c>
      <c r="N20" s="102">
        <f t="shared" si="8"/>
        <v>0</v>
      </c>
      <c r="O20" s="102">
        <f t="shared" si="8"/>
        <v>0</v>
      </c>
      <c r="P20" s="102">
        <f t="shared" si="8"/>
        <v>0</v>
      </c>
      <c r="Q20" s="18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60" t="s">
        <v>153</v>
      </c>
      <c r="B21" s="97" t="str">
        <f>'дод 5'!A20</f>
        <v>0160</v>
      </c>
      <c r="C21" s="97" t="str">
        <f>'дод 5'!B20</f>
        <v>0111</v>
      </c>
      <c r="D21" s="36" t="s">
        <v>503</v>
      </c>
      <c r="E21" s="103">
        <f t="shared" ref="E21:E61" si="9">F21+I21</f>
        <v>113013146</v>
      </c>
      <c r="F21" s="103">
        <f>112079700+60000+150000+47576+62533+613337</f>
        <v>113013146</v>
      </c>
      <c r="G21" s="103">
        <v>82201100</v>
      </c>
      <c r="H21" s="103">
        <f>2287700+47576+62533+613337</f>
        <v>3011146</v>
      </c>
      <c r="I21" s="103"/>
      <c r="J21" s="103">
        <f>L21+O21</f>
        <v>0</v>
      </c>
      <c r="K21" s="103">
        <f>150000-150000</f>
        <v>0</v>
      </c>
      <c r="L21" s="103"/>
      <c r="M21" s="103"/>
      <c r="N21" s="103"/>
      <c r="O21" s="103">
        <f>150000-150000</f>
        <v>0</v>
      </c>
      <c r="P21" s="103">
        <f t="shared" ref="P21:P61" si="10">E21+J21</f>
        <v>113013146</v>
      </c>
      <c r="Q21" s="187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customHeight="1" x14ac:dyDescent="0.25">
      <c r="A22" s="60" t="s">
        <v>455</v>
      </c>
      <c r="B22" s="60" t="s">
        <v>92</v>
      </c>
      <c r="C22" s="60" t="s">
        <v>465</v>
      </c>
      <c r="D22" s="36" t="s">
        <v>456</v>
      </c>
      <c r="E22" s="103">
        <f t="shared" si="9"/>
        <v>200000</v>
      </c>
      <c r="F22" s="103">
        <v>200000</v>
      </c>
      <c r="G22" s="103"/>
      <c r="H22" s="103"/>
      <c r="I22" s="103"/>
      <c r="J22" s="103">
        <f>L22+O22</f>
        <v>0</v>
      </c>
      <c r="K22" s="103"/>
      <c r="L22" s="103"/>
      <c r="M22" s="103"/>
      <c r="N22" s="103"/>
      <c r="O22" s="103"/>
      <c r="P22" s="103">
        <f t="shared" si="10"/>
        <v>200000</v>
      </c>
      <c r="Q22" s="187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60" t="s">
        <v>243</v>
      </c>
      <c r="B23" s="97" t="str">
        <f>'дод 5'!A22</f>
        <v>0180</v>
      </c>
      <c r="C23" s="97" t="str">
        <f>'дод 5'!B22</f>
        <v>0133</v>
      </c>
      <c r="D23" s="61" t="str">
        <f>'дод 5'!C22</f>
        <v>Інша діяльність у сфері державного управління</v>
      </c>
      <c r="E23" s="103">
        <f t="shared" si="9"/>
        <v>396000</v>
      </c>
      <c r="F23" s="103">
        <v>396000</v>
      </c>
      <c r="G23" s="103"/>
      <c r="H23" s="103"/>
      <c r="I23" s="103"/>
      <c r="J23" s="103">
        <f t="shared" ref="J23:J25" si="11">L23+O23</f>
        <v>0</v>
      </c>
      <c r="K23" s="103"/>
      <c r="L23" s="103"/>
      <c r="M23" s="103"/>
      <c r="N23" s="103"/>
      <c r="O23" s="103"/>
      <c r="P23" s="103">
        <f t="shared" si="10"/>
        <v>396000</v>
      </c>
      <c r="Q23" s="187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60" t="s">
        <v>437</v>
      </c>
      <c r="B24" s="60" t="s">
        <v>438</v>
      </c>
      <c r="C24" s="60" t="s">
        <v>121</v>
      </c>
      <c r="D24" s="61" t="s">
        <v>439</v>
      </c>
      <c r="E24" s="103">
        <f t="shared" si="9"/>
        <v>0</v>
      </c>
      <c r="F24" s="103"/>
      <c r="G24" s="103"/>
      <c r="H24" s="103"/>
      <c r="I24" s="103"/>
      <c r="J24" s="103">
        <f t="shared" si="11"/>
        <v>0</v>
      </c>
      <c r="K24" s="103"/>
      <c r="L24" s="103"/>
      <c r="M24" s="103"/>
      <c r="N24" s="103"/>
      <c r="O24" s="103"/>
      <c r="P24" s="103">
        <f t="shared" si="10"/>
        <v>0</v>
      </c>
      <c r="Q24" s="187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8"/>
      <c r="B25" s="104"/>
      <c r="C25" s="104"/>
      <c r="D25" s="91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5">
        <f t="shared" si="9"/>
        <v>0</v>
      </c>
      <c r="F25" s="105"/>
      <c r="G25" s="105"/>
      <c r="H25" s="105"/>
      <c r="I25" s="105"/>
      <c r="J25" s="105">
        <f t="shared" si="11"/>
        <v>0</v>
      </c>
      <c r="K25" s="105"/>
      <c r="L25" s="105"/>
      <c r="M25" s="105"/>
      <c r="N25" s="105"/>
      <c r="O25" s="105"/>
      <c r="P25" s="105">
        <f t="shared" si="10"/>
        <v>0</v>
      </c>
      <c r="Q25" s="18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6.5" customHeight="1" x14ac:dyDescent="0.25">
      <c r="A26" s="60" t="s">
        <v>259</v>
      </c>
      <c r="B26" s="97" t="str">
        <f>'дод 5'!A104</f>
        <v>3033</v>
      </c>
      <c r="C26" s="97" t="str">
        <f>'дод 5'!B104</f>
        <v>1070</v>
      </c>
      <c r="D26" s="61" t="s">
        <v>413</v>
      </c>
      <c r="E26" s="103">
        <f t="shared" si="9"/>
        <v>314360</v>
      </c>
      <c r="F26" s="103">
        <f>270000+44360</f>
        <v>314360</v>
      </c>
      <c r="G26" s="103"/>
      <c r="H26" s="103"/>
      <c r="I26" s="103"/>
      <c r="J26" s="103">
        <f t="shared" ref="J26:J61" si="12">L26+O26</f>
        <v>0</v>
      </c>
      <c r="K26" s="103"/>
      <c r="L26" s="103"/>
      <c r="M26" s="103"/>
      <c r="N26" s="103"/>
      <c r="O26" s="103"/>
      <c r="P26" s="103">
        <f t="shared" si="10"/>
        <v>314360</v>
      </c>
      <c r="Q26" s="187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60" t="s">
        <v>154</v>
      </c>
      <c r="B27" s="97" t="str">
        <f>'дод 5'!A107</f>
        <v>3036</v>
      </c>
      <c r="C27" s="97" t="str">
        <f>'дод 5'!B107</f>
        <v>1070</v>
      </c>
      <c r="D27" s="61" t="str">
        <f>'дод 5'!C107</f>
        <v>Компенсаційні виплати на пільговий проїзд електротранспортом окремим категоріям громадян</v>
      </c>
      <c r="E27" s="103">
        <f t="shared" si="9"/>
        <v>465886</v>
      </c>
      <c r="F27" s="103">
        <f>426500+39386</f>
        <v>465886</v>
      </c>
      <c r="G27" s="103"/>
      <c r="H27" s="103"/>
      <c r="I27" s="103"/>
      <c r="J27" s="103">
        <f t="shared" si="12"/>
        <v>0</v>
      </c>
      <c r="K27" s="103"/>
      <c r="L27" s="103"/>
      <c r="M27" s="103"/>
      <c r="N27" s="103"/>
      <c r="O27" s="103"/>
      <c r="P27" s="103">
        <f t="shared" si="10"/>
        <v>465886</v>
      </c>
      <c r="Q27" s="18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60" t="s">
        <v>155</v>
      </c>
      <c r="B28" s="97" t="str">
        <f>'дод 5'!A115</f>
        <v>3121</v>
      </c>
      <c r="C28" s="97" t="str">
        <f>'дод 5'!B115</f>
        <v>1040</v>
      </c>
      <c r="D28" s="61" t="s">
        <v>510</v>
      </c>
      <c r="E28" s="103">
        <f t="shared" si="9"/>
        <v>3210440</v>
      </c>
      <c r="F28" s="103">
        <f>3206400+4040</f>
        <v>3210440</v>
      </c>
      <c r="G28" s="103">
        <v>2407050</v>
      </c>
      <c r="H28" s="103">
        <f>39590+4040</f>
        <v>43630</v>
      </c>
      <c r="I28" s="103"/>
      <c r="J28" s="103">
        <f t="shared" si="12"/>
        <v>0</v>
      </c>
      <c r="K28" s="103"/>
      <c r="L28" s="103"/>
      <c r="M28" s="103"/>
      <c r="N28" s="103"/>
      <c r="O28" s="103"/>
      <c r="P28" s="103">
        <f t="shared" si="10"/>
        <v>3210440</v>
      </c>
      <c r="Q28" s="18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60" t="s">
        <v>156</v>
      </c>
      <c r="B29" s="97" t="str">
        <f>'дод 5'!A116</f>
        <v>3131</v>
      </c>
      <c r="C29" s="97" t="str">
        <f>'дод 5'!B116</f>
        <v>1040</v>
      </c>
      <c r="D29" s="61" t="str">
        <f>'дод 5'!C116</f>
        <v>Здійснення заходів та реалізація проектів на виконання Державної цільової соціальної програми "Молодь України"</v>
      </c>
      <c r="E29" s="103">
        <f t="shared" si="9"/>
        <v>783850</v>
      </c>
      <c r="F29" s="103">
        <f>684300+99550</f>
        <v>783850</v>
      </c>
      <c r="G29" s="103"/>
      <c r="H29" s="103"/>
      <c r="I29" s="103"/>
      <c r="J29" s="103">
        <f t="shared" si="12"/>
        <v>0</v>
      </c>
      <c r="K29" s="103"/>
      <c r="L29" s="103"/>
      <c r="M29" s="103"/>
      <c r="N29" s="103"/>
      <c r="O29" s="103"/>
      <c r="P29" s="103">
        <f t="shared" si="10"/>
        <v>783850</v>
      </c>
      <c r="Q29" s="18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60" t="s">
        <v>157</v>
      </c>
      <c r="B30" s="97" t="str">
        <f>'дод 5'!A117</f>
        <v>3140</v>
      </c>
      <c r="C30" s="97" t="str">
        <f>'дод 5'!B117</f>
        <v>1040</v>
      </c>
      <c r="D30" s="61" t="s">
        <v>20</v>
      </c>
      <c r="E30" s="103">
        <f t="shared" si="9"/>
        <v>280000</v>
      </c>
      <c r="F30" s="103">
        <v>280000</v>
      </c>
      <c r="G30" s="103"/>
      <c r="H30" s="103"/>
      <c r="I30" s="103"/>
      <c r="J30" s="103">
        <f t="shared" si="12"/>
        <v>0</v>
      </c>
      <c r="K30" s="103"/>
      <c r="L30" s="103"/>
      <c r="M30" s="103"/>
      <c r="N30" s="103"/>
      <c r="O30" s="103"/>
      <c r="P30" s="103">
        <f t="shared" si="10"/>
        <v>280000</v>
      </c>
      <c r="Q30" s="187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60" t="s">
        <v>307</v>
      </c>
      <c r="B31" s="97" t="str">
        <f>'дод 5'!A134</f>
        <v>3241</v>
      </c>
      <c r="C31" s="97" t="str">
        <f>'дод 5'!B134</f>
        <v>1090</v>
      </c>
      <c r="D31" s="61" t="str">
        <f>'дод 5'!C134</f>
        <v>Забезпечення діяльності інших закладів у сфері соціального захисту і соціального забезпечення</v>
      </c>
      <c r="E31" s="103">
        <f t="shared" si="9"/>
        <v>1539992</v>
      </c>
      <c r="F31" s="103">
        <f>1518300+21692</f>
        <v>1539992</v>
      </c>
      <c r="G31" s="103">
        <v>1078950</v>
      </c>
      <c r="H31" s="103">
        <f>96540+21692</f>
        <v>118232</v>
      </c>
      <c r="I31" s="103"/>
      <c r="J31" s="103">
        <f t="shared" si="12"/>
        <v>0</v>
      </c>
      <c r="K31" s="103"/>
      <c r="L31" s="103"/>
      <c r="M31" s="103"/>
      <c r="N31" s="103"/>
      <c r="O31" s="103"/>
      <c r="P31" s="103">
        <f t="shared" si="10"/>
        <v>1539992</v>
      </c>
      <c r="Q31" s="187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60" t="s">
        <v>308</v>
      </c>
      <c r="B32" s="97" t="str">
        <f>'дод 5'!A135</f>
        <v>3242</v>
      </c>
      <c r="C32" s="97" t="str">
        <f>'дод 5'!B135</f>
        <v>1090</v>
      </c>
      <c r="D32" s="61" t="s">
        <v>414</v>
      </c>
      <c r="E32" s="103">
        <f t="shared" si="9"/>
        <v>257400</v>
      </c>
      <c r="F32" s="103">
        <v>257400</v>
      </c>
      <c r="G32" s="103"/>
      <c r="H32" s="103"/>
      <c r="I32" s="103"/>
      <c r="J32" s="103">
        <f t="shared" si="12"/>
        <v>0</v>
      </c>
      <c r="K32" s="103"/>
      <c r="L32" s="103"/>
      <c r="M32" s="103"/>
      <c r="N32" s="103"/>
      <c r="O32" s="103"/>
      <c r="P32" s="103">
        <f t="shared" si="10"/>
        <v>257400</v>
      </c>
      <c r="Q32" s="187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60" t="s">
        <v>320</v>
      </c>
      <c r="B33" s="97" t="str">
        <f>'дод 5'!A139</f>
        <v>4060</v>
      </c>
      <c r="C33" s="97" t="str">
        <f>'дод 5'!B139</f>
        <v>0828</v>
      </c>
      <c r="D33" s="61" t="str">
        <f>'дод 5'!C139</f>
        <v>Забезпечення діяльності палаців i будинків культури, клубів, центрів дозвілля та iнших клубних закладів</v>
      </c>
      <c r="E33" s="103">
        <f t="shared" si="9"/>
        <v>4865509</v>
      </c>
      <c r="F33" s="106">
        <f>4330600+30000+64900+98000+100000+242009</f>
        <v>4865509</v>
      </c>
      <c r="G33" s="103">
        <v>2526200</v>
      </c>
      <c r="H33" s="103">
        <f>452700+30000+242009</f>
        <v>724709</v>
      </c>
      <c r="I33" s="103"/>
      <c r="J33" s="103">
        <f t="shared" si="12"/>
        <v>0</v>
      </c>
      <c r="K33" s="103"/>
      <c r="L33" s="103"/>
      <c r="M33" s="103"/>
      <c r="N33" s="103"/>
      <c r="O33" s="103"/>
      <c r="P33" s="103">
        <f t="shared" si="10"/>
        <v>4865509</v>
      </c>
      <c r="Q33" s="187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60" t="s">
        <v>305</v>
      </c>
      <c r="B34" s="97" t="str">
        <f>'дод 5'!A140</f>
        <v>4081</v>
      </c>
      <c r="C34" s="97" t="str">
        <f>'дод 5'!B140</f>
        <v>0829</v>
      </c>
      <c r="D34" s="61" t="str">
        <f>'дод 5'!C140</f>
        <v>Забезпечення діяльності інших закладів в галузі культури і мистецтва</v>
      </c>
      <c r="E34" s="103">
        <f t="shared" si="9"/>
        <v>2919781</v>
      </c>
      <c r="F34" s="103">
        <f>2708200+3000+68100+22800+97000+20681</f>
        <v>2919781</v>
      </c>
      <c r="G34" s="103">
        <v>1687000</v>
      </c>
      <c r="H34" s="103">
        <f>72500+20681</f>
        <v>93181</v>
      </c>
      <c r="I34" s="103"/>
      <c r="J34" s="103">
        <f t="shared" si="12"/>
        <v>65000</v>
      </c>
      <c r="K34" s="103">
        <v>65000</v>
      </c>
      <c r="L34" s="103"/>
      <c r="M34" s="103"/>
      <c r="N34" s="103"/>
      <c r="O34" s="103">
        <v>65000</v>
      </c>
      <c r="P34" s="103">
        <f t="shared" si="10"/>
        <v>2984781</v>
      </c>
      <c r="Q34" s="187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60" t="s">
        <v>306</v>
      </c>
      <c r="B35" s="97" t="str">
        <f>'дод 5'!A141</f>
        <v>4082</v>
      </c>
      <c r="C35" s="97" t="str">
        <f>'дод 5'!B141</f>
        <v>0829</v>
      </c>
      <c r="D35" s="61" t="str">
        <f>'дод 5'!C141</f>
        <v>Інші заходи в галузі культури і мистецтва</v>
      </c>
      <c r="E35" s="103">
        <f t="shared" si="9"/>
        <v>424181</v>
      </c>
      <c r="F35" s="103">
        <f>355081-27900+97000</f>
        <v>424181</v>
      </c>
      <c r="G35" s="103"/>
      <c r="H35" s="103"/>
      <c r="I35" s="103"/>
      <c r="J35" s="103">
        <f t="shared" si="12"/>
        <v>0</v>
      </c>
      <c r="K35" s="103"/>
      <c r="L35" s="103"/>
      <c r="M35" s="103"/>
      <c r="N35" s="103"/>
      <c r="O35" s="103"/>
      <c r="P35" s="103">
        <f t="shared" si="10"/>
        <v>424181</v>
      </c>
      <c r="Q35" s="187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7" t="s">
        <v>158</v>
      </c>
      <c r="B36" s="42" t="str">
        <f>'дод 5'!A144</f>
        <v>5011</v>
      </c>
      <c r="C36" s="42" t="str">
        <f>'дод 5'!B144</f>
        <v>0810</v>
      </c>
      <c r="D36" s="36" t="str">
        <f>'дод 5'!C144</f>
        <v>Проведення навчально-тренувальних зборів і змагань з олімпійських видів спорту</v>
      </c>
      <c r="E36" s="103">
        <f t="shared" si="9"/>
        <v>710000</v>
      </c>
      <c r="F36" s="103">
        <f>600000+30000+20000+60000</f>
        <v>710000</v>
      </c>
      <c r="G36" s="103"/>
      <c r="H36" s="103"/>
      <c r="I36" s="103"/>
      <c r="J36" s="103">
        <f t="shared" si="12"/>
        <v>0</v>
      </c>
      <c r="K36" s="103"/>
      <c r="L36" s="103"/>
      <c r="M36" s="103"/>
      <c r="N36" s="103"/>
      <c r="O36" s="103"/>
      <c r="P36" s="103">
        <f t="shared" si="10"/>
        <v>710000</v>
      </c>
      <c r="Q36" s="188">
        <v>6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7" t="s">
        <v>159</v>
      </c>
      <c r="B37" s="42" t="str">
        <f>'дод 5'!A145</f>
        <v>5012</v>
      </c>
      <c r="C37" s="42" t="str">
        <f>'дод 5'!B145</f>
        <v>0810</v>
      </c>
      <c r="D37" s="36" t="str">
        <f>'дод 5'!C145</f>
        <v>Проведення навчально-тренувальних зборів і змагань з неолімпійських видів спорту</v>
      </c>
      <c r="E37" s="103">
        <f t="shared" si="9"/>
        <v>959480</v>
      </c>
      <c r="F37" s="103">
        <f>600000+32000-20000+184000+37000+10000+50000+6480+60000</f>
        <v>959480</v>
      </c>
      <c r="G37" s="103"/>
      <c r="H37" s="103"/>
      <c r="I37" s="103"/>
      <c r="J37" s="103">
        <f t="shared" si="12"/>
        <v>0</v>
      </c>
      <c r="K37" s="103"/>
      <c r="L37" s="103"/>
      <c r="M37" s="103"/>
      <c r="N37" s="103"/>
      <c r="O37" s="103"/>
      <c r="P37" s="103">
        <f t="shared" si="10"/>
        <v>959480</v>
      </c>
      <c r="Q37" s="18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9" customHeight="1" x14ac:dyDescent="0.25">
      <c r="A38" s="107" t="s">
        <v>160</v>
      </c>
      <c r="B38" s="42" t="str">
        <f>'дод 5'!A146</f>
        <v>5031</v>
      </c>
      <c r="C38" s="42" t="str">
        <f>'дод 5'!B146</f>
        <v>0810</v>
      </c>
      <c r="D38" s="36" t="str">
        <f>'дод 5'!C146</f>
        <v>Утримання та навчально-тренувальна робота комунальних дитячо-юнацьких спортивних шкіл</v>
      </c>
      <c r="E38" s="103">
        <f t="shared" si="9"/>
        <v>17949683</v>
      </c>
      <c r="F38" s="103">
        <f>16311200+198300+253000+110000+130000+20000+10000+50000+1000000+127420+206073-466310</f>
        <v>17949683</v>
      </c>
      <c r="G38" s="103">
        <f>12531000+820000-382375</f>
        <v>12968625</v>
      </c>
      <c r="H38" s="103">
        <f>634200+206073</f>
        <v>840273</v>
      </c>
      <c r="I38" s="103"/>
      <c r="J38" s="103">
        <f t="shared" si="12"/>
        <v>200700</v>
      </c>
      <c r="K38" s="103">
        <f>110700+90000</f>
        <v>200700</v>
      </c>
      <c r="L38" s="103"/>
      <c r="M38" s="103"/>
      <c r="N38" s="103"/>
      <c r="O38" s="103">
        <f>110700+90000</f>
        <v>200700</v>
      </c>
      <c r="P38" s="103">
        <f t="shared" si="10"/>
        <v>18150383</v>
      </c>
      <c r="Q38" s="188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7" t="s">
        <v>359</v>
      </c>
      <c r="B39" s="42" t="str">
        <f>'дод 5'!A148</f>
        <v>5032</v>
      </c>
      <c r="C39" s="42" t="str">
        <f>'дод 5'!B148</f>
        <v>0810</v>
      </c>
      <c r="D39" s="36" t="str">
        <f>'дод 5'!C148</f>
        <v>Фінансова підтримка дитячо-юнацьких спортивних шкіл фізкультурно-спортивних товариств</v>
      </c>
      <c r="E39" s="103">
        <f t="shared" si="9"/>
        <v>14877642</v>
      </c>
      <c r="F39" s="103">
        <f>13627800+140000+183000+115000+95000+90000+101200+10000+10000+34600+4732+466310</f>
        <v>14877642</v>
      </c>
      <c r="G39" s="103"/>
      <c r="H39" s="103"/>
      <c r="I39" s="103"/>
      <c r="J39" s="103">
        <f t="shared" si="12"/>
        <v>372100</v>
      </c>
      <c r="K39" s="103">
        <f>215000+30700+66000+60400</f>
        <v>372100</v>
      </c>
      <c r="L39" s="103"/>
      <c r="M39" s="103"/>
      <c r="N39" s="103"/>
      <c r="O39" s="103">
        <f>215000+30700+66000+60400</f>
        <v>372100</v>
      </c>
      <c r="P39" s="103">
        <f t="shared" si="10"/>
        <v>15249742</v>
      </c>
      <c r="Q39" s="188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7" t="s">
        <v>161</v>
      </c>
      <c r="B40" s="42" t="str">
        <f>'дод 5'!A149</f>
        <v>5061</v>
      </c>
      <c r="C40" s="42" t="str">
        <f>'дод 5'!B149</f>
        <v>0810</v>
      </c>
      <c r="D40" s="36" t="str">
        <f>'дод 5'!C149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103">
        <f t="shared" si="9"/>
        <v>4973184</v>
      </c>
      <c r="F40" s="103">
        <f>4794100+70000+25000+30000+25300+28784</f>
        <v>4973184</v>
      </c>
      <c r="G40" s="103">
        <v>2987400</v>
      </c>
      <c r="H40" s="103">
        <f>288100+2155+28784</f>
        <v>319039</v>
      </c>
      <c r="I40" s="103"/>
      <c r="J40" s="103">
        <f t="shared" si="12"/>
        <v>1742994</v>
      </c>
      <c r="K40" s="103">
        <f>1530000+30000-30000</f>
        <v>1530000</v>
      </c>
      <c r="L40" s="103">
        <v>212994</v>
      </c>
      <c r="M40" s="103">
        <v>119291</v>
      </c>
      <c r="N40" s="103">
        <v>50432</v>
      </c>
      <c r="O40" s="103">
        <f>1530000+30000-30000</f>
        <v>1530000</v>
      </c>
      <c r="P40" s="103">
        <f t="shared" si="10"/>
        <v>6716178</v>
      </c>
      <c r="Q40" s="188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7" t="s">
        <v>351</v>
      </c>
      <c r="B41" s="42" t="str">
        <f>'дод 5'!A150</f>
        <v>5062</v>
      </c>
      <c r="C41" s="42" t="str">
        <f>'дод 5'!B150</f>
        <v>0810</v>
      </c>
      <c r="D41" s="36" t="str">
        <f>'дод 5'!C150</f>
        <v>Підтримка спорту вищих досягнень та організацій, які здійснюють фізкультурно-спортивну діяльність в регіоні</v>
      </c>
      <c r="E41" s="103">
        <f t="shared" si="9"/>
        <v>14968695</v>
      </c>
      <c r="F41" s="103">
        <f>11230300+136000+76000+1300000+10000+53800+100000+500000+1500000+62595</f>
        <v>14968695</v>
      </c>
      <c r="G41" s="103"/>
      <c r="H41" s="103"/>
      <c r="I41" s="103"/>
      <c r="J41" s="103">
        <f t="shared" si="12"/>
        <v>0</v>
      </c>
      <c r="K41" s="103"/>
      <c r="L41" s="103"/>
      <c r="M41" s="103"/>
      <c r="N41" s="103"/>
      <c r="O41" s="103"/>
      <c r="P41" s="103">
        <f t="shared" si="10"/>
        <v>14968695</v>
      </c>
      <c r="Q41" s="188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7" t="s">
        <v>416</v>
      </c>
      <c r="B42" s="42">
        <v>7325</v>
      </c>
      <c r="C42" s="77" t="s">
        <v>113</v>
      </c>
      <c r="D42" s="6" t="s">
        <v>560</v>
      </c>
      <c r="E42" s="103">
        <f t="shared" si="9"/>
        <v>0</v>
      </c>
      <c r="F42" s="103"/>
      <c r="G42" s="103"/>
      <c r="H42" s="103"/>
      <c r="I42" s="103"/>
      <c r="J42" s="103">
        <f t="shared" si="12"/>
        <v>9790000</v>
      </c>
      <c r="K42" s="103">
        <v>9790000</v>
      </c>
      <c r="L42" s="103"/>
      <c r="M42" s="103"/>
      <c r="N42" s="103"/>
      <c r="O42" s="103">
        <v>9790000</v>
      </c>
      <c r="P42" s="103">
        <f t="shared" si="10"/>
        <v>9790000</v>
      </c>
      <c r="Q42" s="188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7" t="s">
        <v>417</v>
      </c>
      <c r="B43" s="42">
        <v>7330</v>
      </c>
      <c r="C43" s="77" t="s">
        <v>113</v>
      </c>
      <c r="D43" s="6" t="s">
        <v>561</v>
      </c>
      <c r="E43" s="103">
        <f t="shared" si="9"/>
        <v>0</v>
      </c>
      <c r="F43" s="103"/>
      <c r="G43" s="103"/>
      <c r="H43" s="103"/>
      <c r="I43" s="103"/>
      <c r="J43" s="103">
        <f t="shared" si="12"/>
        <v>400000</v>
      </c>
      <c r="K43" s="103">
        <v>400000</v>
      </c>
      <c r="L43" s="103"/>
      <c r="M43" s="103"/>
      <c r="N43" s="103"/>
      <c r="O43" s="103">
        <v>400000</v>
      </c>
      <c r="P43" s="103">
        <f t="shared" si="10"/>
        <v>400000</v>
      </c>
      <c r="Q43" s="188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7" t="s">
        <v>162</v>
      </c>
      <c r="B44" s="42" t="str">
        <f>'дод 5'!A188</f>
        <v>7412</v>
      </c>
      <c r="C44" s="42" t="str">
        <f>'дод 5'!B188</f>
        <v>0451</v>
      </c>
      <c r="D44" s="36" t="str">
        <f>'дод 5'!C188</f>
        <v>Регулювання цін на послуги місцевого автотранспорту</v>
      </c>
      <c r="E44" s="103">
        <f t="shared" si="9"/>
        <v>6542500</v>
      </c>
      <c r="F44" s="103"/>
      <c r="G44" s="103"/>
      <c r="H44" s="103"/>
      <c r="I44" s="103">
        <f>7417200-874700</f>
        <v>6542500</v>
      </c>
      <c r="J44" s="103">
        <f t="shared" si="12"/>
        <v>0</v>
      </c>
      <c r="K44" s="103"/>
      <c r="L44" s="103"/>
      <c r="M44" s="103"/>
      <c r="N44" s="103"/>
      <c r="O44" s="103"/>
      <c r="P44" s="103">
        <f t="shared" si="10"/>
        <v>6542500</v>
      </c>
      <c r="Q44" s="188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7" t="s">
        <v>379</v>
      </c>
      <c r="B45" s="42">
        <f>'дод 5'!A189</f>
        <v>7413</v>
      </c>
      <c r="C45" s="42" t="str">
        <f>'дод 5'!B189</f>
        <v>0451</v>
      </c>
      <c r="D45" s="108" t="str">
        <f>'дод 5'!C189</f>
        <v>Інші заходи у сфері автотранспорту</v>
      </c>
      <c r="E45" s="103">
        <f t="shared" si="9"/>
        <v>11000000</v>
      </c>
      <c r="F45" s="103"/>
      <c r="G45" s="103"/>
      <c r="H45" s="103"/>
      <c r="I45" s="103">
        <v>11000000</v>
      </c>
      <c r="J45" s="103">
        <f t="shared" si="12"/>
        <v>0</v>
      </c>
      <c r="K45" s="103"/>
      <c r="L45" s="103"/>
      <c r="M45" s="103"/>
      <c r="N45" s="103"/>
      <c r="O45" s="103"/>
      <c r="P45" s="103">
        <f t="shared" si="10"/>
        <v>11000000</v>
      </c>
      <c r="Q45" s="188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7" t="s">
        <v>583</v>
      </c>
      <c r="B46" s="42">
        <v>7422</v>
      </c>
      <c r="C46" s="107" t="s">
        <v>415</v>
      </c>
      <c r="D46" s="108" t="s">
        <v>584</v>
      </c>
      <c r="E46" s="103">
        <f t="shared" si="9"/>
        <v>4314400</v>
      </c>
      <c r="F46" s="103"/>
      <c r="G46" s="103"/>
      <c r="H46" s="103"/>
      <c r="I46" s="103">
        <v>4314400</v>
      </c>
      <c r="J46" s="103">
        <f t="shared" si="12"/>
        <v>0</v>
      </c>
      <c r="K46" s="103"/>
      <c r="L46" s="103"/>
      <c r="M46" s="103"/>
      <c r="N46" s="103"/>
      <c r="O46" s="103"/>
      <c r="P46" s="103">
        <f t="shared" si="10"/>
        <v>4314400</v>
      </c>
      <c r="Q46" s="18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7" t="s">
        <v>380</v>
      </c>
      <c r="B47" s="42">
        <f>'дод 5'!A191</f>
        <v>7426</v>
      </c>
      <c r="C47" s="107" t="s">
        <v>415</v>
      </c>
      <c r="D47" s="108" t="str">
        <f>'дод 5'!C191</f>
        <v>Інші заходи у сфері електротранспорту</v>
      </c>
      <c r="E47" s="103">
        <f t="shared" si="9"/>
        <v>30742296</v>
      </c>
      <c r="F47" s="103"/>
      <c r="G47" s="103"/>
      <c r="H47" s="103"/>
      <c r="I47" s="103">
        <v>30742296</v>
      </c>
      <c r="J47" s="103">
        <f t="shared" si="12"/>
        <v>0</v>
      </c>
      <c r="K47" s="103"/>
      <c r="L47" s="103"/>
      <c r="M47" s="103"/>
      <c r="N47" s="103"/>
      <c r="O47" s="103"/>
      <c r="P47" s="103">
        <f t="shared" si="10"/>
        <v>30742296</v>
      </c>
      <c r="Q47" s="18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customHeight="1" x14ac:dyDescent="0.25">
      <c r="A48" s="107" t="s">
        <v>457</v>
      </c>
      <c r="B48" s="107" t="s">
        <v>458</v>
      </c>
      <c r="C48" s="107" t="s">
        <v>402</v>
      </c>
      <c r="D48" s="108" t="s">
        <v>464</v>
      </c>
      <c r="E48" s="103">
        <f t="shared" si="9"/>
        <v>2725480</v>
      </c>
      <c r="F48" s="103">
        <v>2725480</v>
      </c>
      <c r="G48" s="103"/>
      <c r="H48" s="103"/>
      <c r="I48" s="103"/>
      <c r="J48" s="103">
        <f t="shared" si="12"/>
        <v>0</v>
      </c>
      <c r="K48" s="103"/>
      <c r="L48" s="103"/>
      <c r="M48" s="103"/>
      <c r="N48" s="103"/>
      <c r="O48" s="103"/>
      <c r="P48" s="103">
        <f t="shared" si="10"/>
        <v>2725480</v>
      </c>
      <c r="Q48" s="18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7" t="s">
        <v>235</v>
      </c>
      <c r="B49" s="42" t="str">
        <f>'дод 5'!A199</f>
        <v>7530</v>
      </c>
      <c r="C49" s="42" t="str">
        <f>'дод 5'!B199</f>
        <v>0460</v>
      </c>
      <c r="D49" s="36" t="s">
        <v>236</v>
      </c>
      <c r="E49" s="103">
        <f t="shared" si="9"/>
        <v>7250000</v>
      </c>
      <c r="F49" s="103">
        <f>10400000-3150000</f>
        <v>7250000</v>
      </c>
      <c r="G49" s="103"/>
      <c r="H49" s="103"/>
      <c r="I49" s="103"/>
      <c r="J49" s="103">
        <f t="shared" si="12"/>
        <v>3150000</v>
      </c>
      <c r="K49" s="103">
        <v>3150000</v>
      </c>
      <c r="L49" s="103"/>
      <c r="M49" s="103"/>
      <c r="N49" s="103"/>
      <c r="O49" s="103">
        <v>3150000</v>
      </c>
      <c r="P49" s="103">
        <f t="shared" si="10"/>
        <v>10400000</v>
      </c>
      <c r="Q49" s="18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7" t="s">
        <v>163</v>
      </c>
      <c r="B50" s="42" t="str">
        <f>'дод 5'!A202</f>
        <v>7610</v>
      </c>
      <c r="C50" s="42" t="str">
        <f>'дод 5'!B202</f>
        <v>0411</v>
      </c>
      <c r="D50" s="36" t="str">
        <f>'дод 5'!C202</f>
        <v>Сприяння розвитку малого та середнього підприємництва</v>
      </c>
      <c r="E50" s="103">
        <f t="shared" si="9"/>
        <v>60000</v>
      </c>
      <c r="F50" s="103">
        <v>60000</v>
      </c>
      <c r="G50" s="103"/>
      <c r="H50" s="103"/>
      <c r="I50" s="103"/>
      <c r="J50" s="103">
        <f t="shared" si="12"/>
        <v>0</v>
      </c>
      <c r="K50" s="103"/>
      <c r="L50" s="103"/>
      <c r="M50" s="103"/>
      <c r="N50" s="103"/>
      <c r="O50" s="103"/>
      <c r="P50" s="103">
        <f t="shared" si="10"/>
        <v>60000</v>
      </c>
      <c r="Q50" s="18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7" t="s">
        <v>164</v>
      </c>
      <c r="B51" s="42" t="str">
        <f>'дод 5'!A207</f>
        <v>7670</v>
      </c>
      <c r="C51" s="42" t="str">
        <f>'дод 5'!B207</f>
        <v>0490</v>
      </c>
      <c r="D51" s="36" t="s">
        <v>25</v>
      </c>
      <c r="E51" s="103">
        <f t="shared" si="9"/>
        <v>0</v>
      </c>
      <c r="F51" s="103"/>
      <c r="G51" s="103"/>
      <c r="H51" s="103"/>
      <c r="I51" s="103"/>
      <c r="J51" s="103">
        <f t="shared" si="12"/>
        <v>18997900</v>
      </c>
      <c r="K51" s="103">
        <v>18997900</v>
      </c>
      <c r="L51" s="103"/>
      <c r="M51" s="103"/>
      <c r="N51" s="103"/>
      <c r="O51" s="103">
        <v>18997900</v>
      </c>
      <c r="P51" s="103">
        <f t="shared" si="10"/>
        <v>18997900</v>
      </c>
      <c r="Q51" s="18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7" t="s">
        <v>249</v>
      </c>
      <c r="B52" s="42" t="str">
        <f>'дод 5'!A209</f>
        <v>7680</v>
      </c>
      <c r="C52" s="42" t="str">
        <f>'дод 5'!B209</f>
        <v>0490</v>
      </c>
      <c r="D52" s="36" t="str">
        <f>'дод 5'!C209</f>
        <v>Членські внески до асоціацій органів місцевого самоврядування</v>
      </c>
      <c r="E52" s="103">
        <f t="shared" si="9"/>
        <v>356337</v>
      </c>
      <c r="F52" s="103">
        <v>356337</v>
      </c>
      <c r="G52" s="103"/>
      <c r="H52" s="103"/>
      <c r="I52" s="103"/>
      <c r="J52" s="103">
        <f t="shared" si="12"/>
        <v>0</v>
      </c>
      <c r="K52" s="103"/>
      <c r="L52" s="103"/>
      <c r="M52" s="103"/>
      <c r="N52" s="103"/>
      <c r="O52" s="103"/>
      <c r="P52" s="103">
        <f t="shared" si="10"/>
        <v>356337</v>
      </c>
      <c r="Q52" s="188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0.75" customHeight="1" x14ac:dyDescent="0.25">
      <c r="A53" s="107" t="s">
        <v>303</v>
      </c>
      <c r="B53" s="42" t="str">
        <f>'дод 5'!A210</f>
        <v>7691</v>
      </c>
      <c r="C53" s="42" t="str">
        <f>'дод 5'!B210</f>
        <v>0490</v>
      </c>
      <c r="D53" s="36" t="str">
        <f>'дод 5'!C210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103">
        <f t="shared" si="9"/>
        <v>0</v>
      </c>
      <c r="F53" s="103"/>
      <c r="G53" s="103"/>
      <c r="H53" s="103"/>
      <c r="I53" s="103"/>
      <c r="J53" s="103">
        <f t="shared" si="12"/>
        <v>54101</v>
      </c>
      <c r="K53" s="103"/>
      <c r="L53" s="103">
        <v>54101</v>
      </c>
      <c r="M53" s="103"/>
      <c r="N53" s="103"/>
      <c r="O53" s="103"/>
      <c r="P53" s="103">
        <f t="shared" si="10"/>
        <v>54101</v>
      </c>
      <c r="Q53" s="188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7" t="s">
        <v>242</v>
      </c>
      <c r="B54" s="42" t="str">
        <f>'дод 5'!A211</f>
        <v>7693</v>
      </c>
      <c r="C54" s="42" t="str">
        <f>'дод 5'!B211</f>
        <v>0490</v>
      </c>
      <c r="D54" s="36" t="str">
        <f>'дод 5'!C211</f>
        <v>Інші заходи, пов'язані з економічною діяльністю</v>
      </c>
      <c r="E54" s="103">
        <f t="shared" si="9"/>
        <v>668626</v>
      </c>
      <c r="F54" s="103">
        <f>1129332-69100-97000-246116-48490</f>
        <v>668626</v>
      </c>
      <c r="G54" s="103"/>
      <c r="H54" s="103"/>
      <c r="I54" s="103"/>
      <c r="J54" s="103">
        <f t="shared" si="12"/>
        <v>0</v>
      </c>
      <c r="K54" s="103"/>
      <c r="L54" s="103"/>
      <c r="M54" s="103"/>
      <c r="N54" s="103"/>
      <c r="O54" s="103"/>
      <c r="P54" s="103">
        <f t="shared" si="10"/>
        <v>668626</v>
      </c>
      <c r="Q54" s="188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7" t="s">
        <v>165</v>
      </c>
      <c r="B55" s="42" t="str">
        <f>'дод 5'!A218</f>
        <v>8110</v>
      </c>
      <c r="C55" s="42" t="str">
        <f>'дод 5'!B218</f>
        <v>0320</v>
      </c>
      <c r="D55" s="36" t="str">
        <f>'дод 5'!C218</f>
        <v>Заходи із запобігання та ліквідації надзвичайних ситуацій та наслідків стихійного лиха</v>
      </c>
      <c r="E55" s="103">
        <f t="shared" si="9"/>
        <v>283487.34000000003</v>
      </c>
      <c r="F55" s="103">
        <f>251700+31787.34</f>
        <v>283487.34000000003</v>
      </c>
      <c r="G55" s="103"/>
      <c r="H55" s="103">
        <v>6500</v>
      </c>
      <c r="I55" s="103"/>
      <c r="J55" s="103">
        <f t="shared" si="12"/>
        <v>1398264.66</v>
      </c>
      <c r="K55" s="103">
        <f>1430052-31787.34</f>
        <v>1398264.66</v>
      </c>
      <c r="L55" s="103"/>
      <c r="M55" s="103"/>
      <c r="N55" s="103"/>
      <c r="O55" s="103">
        <f>1430052-31787.34</f>
        <v>1398264.66</v>
      </c>
      <c r="P55" s="103">
        <f t="shared" si="10"/>
        <v>1681752</v>
      </c>
      <c r="Q55" s="188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7" t="s">
        <v>225</v>
      </c>
      <c r="B56" s="42" t="str">
        <f>'дод 5'!A219</f>
        <v>8120</v>
      </c>
      <c r="C56" s="42" t="str">
        <f>'дод 5'!B219</f>
        <v>0320</v>
      </c>
      <c r="D56" s="36" t="str">
        <f>'дод 5'!C219</f>
        <v>Заходи з організації рятування на водах, у т.ч. за рахунок:</v>
      </c>
      <c r="E56" s="103">
        <f t="shared" si="9"/>
        <v>2449105</v>
      </c>
      <c r="F56" s="103">
        <f>2454660-5555</f>
        <v>2449105</v>
      </c>
      <c r="G56" s="103">
        <f>1906900</f>
        <v>1906900</v>
      </c>
      <c r="H56" s="103">
        <f>79260-5555</f>
        <v>73705</v>
      </c>
      <c r="I56" s="103"/>
      <c r="J56" s="103">
        <f t="shared" si="12"/>
        <v>5700</v>
      </c>
      <c r="K56" s="103"/>
      <c r="L56" s="103">
        <v>5700</v>
      </c>
      <c r="M56" s="103"/>
      <c r="N56" s="103">
        <v>1400</v>
      </c>
      <c r="O56" s="103"/>
      <c r="P56" s="103">
        <f t="shared" si="10"/>
        <v>2454805</v>
      </c>
      <c r="Q56" s="188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9"/>
      <c r="B57" s="92"/>
      <c r="C57" s="92"/>
      <c r="D57" s="91" t="str">
        <f>'дод 5'!C220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5">
        <f t="shared" si="9"/>
        <v>588815</v>
      </c>
      <c r="F57" s="105">
        <f>359315+30260+81980+117260</f>
        <v>588815</v>
      </c>
      <c r="G57" s="105">
        <f>294520+24805+67195+96115</f>
        <v>482635</v>
      </c>
      <c r="H57" s="105"/>
      <c r="I57" s="105"/>
      <c r="J57" s="105">
        <f t="shared" si="12"/>
        <v>0</v>
      </c>
      <c r="K57" s="105"/>
      <c r="L57" s="105"/>
      <c r="M57" s="105"/>
      <c r="N57" s="105"/>
      <c r="O57" s="105"/>
      <c r="P57" s="105">
        <f t="shared" si="10"/>
        <v>588815</v>
      </c>
      <c r="Q57" s="188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7" t="s">
        <v>245</v>
      </c>
      <c r="B58" s="42" t="str">
        <f>'дод 5'!A222</f>
        <v>8230</v>
      </c>
      <c r="C58" s="42" t="str">
        <f>'дод 5'!B222</f>
        <v>0380</v>
      </c>
      <c r="D58" s="36" t="str">
        <f>'дод 5'!C222</f>
        <v>Інші заходи громадського порядку та безпеки</v>
      </c>
      <c r="E58" s="103">
        <f t="shared" si="9"/>
        <v>416692</v>
      </c>
      <c r="F58" s="103">
        <f>351800+550+64342</f>
        <v>416692</v>
      </c>
      <c r="G58" s="103"/>
      <c r="H58" s="103">
        <f>193600+64342</f>
        <v>257942</v>
      </c>
      <c r="I58" s="103"/>
      <c r="J58" s="103">
        <f t="shared" si="12"/>
        <v>0</v>
      </c>
      <c r="K58" s="103"/>
      <c r="L58" s="103"/>
      <c r="M58" s="103"/>
      <c r="N58" s="103"/>
      <c r="O58" s="103"/>
      <c r="P58" s="103">
        <f t="shared" si="10"/>
        <v>416692</v>
      </c>
      <c r="Q58" s="188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60" t="s">
        <v>166</v>
      </c>
      <c r="B59" s="97" t="str">
        <f>'дод 5'!A225</f>
        <v>8340</v>
      </c>
      <c r="C59" s="97" t="str">
        <f>'дод 5'!B225</f>
        <v>0540</v>
      </c>
      <c r="D59" s="61" t="str">
        <f>'дод 5'!C225</f>
        <v>Природоохоронні заходи за рахунок цільових фондів</v>
      </c>
      <c r="E59" s="103">
        <f t="shared" si="9"/>
        <v>0</v>
      </c>
      <c r="F59" s="103"/>
      <c r="G59" s="103"/>
      <c r="H59" s="103"/>
      <c r="I59" s="103"/>
      <c r="J59" s="103">
        <f t="shared" si="12"/>
        <v>250000</v>
      </c>
      <c r="K59" s="103"/>
      <c r="L59" s="103">
        <v>250000</v>
      </c>
      <c r="M59" s="103"/>
      <c r="N59" s="103"/>
      <c r="O59" s="103"/>
      <c r="P59" s="103">
        <f t="shared" si="10"/>
        <v>250000</v>
      </c>
      <c r="Q59" s="188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7" t="s">
        <v>256</v>
      </c>
      <c r="B60" s="42" t="str">
        <f>'дод 5'!A227</f>
        <v>8420</v>
      </c>
      <c r="C60" s="42" t="str">
        <f>'дод 5'!B227</f>
        <v>0830</v>
      </c>
      <c r="D60" s="36" t="str">
        <f>'дод 5'!C227</f>
        <v>Інші заходи у сфері засобів масової інформації</v>
      </c>
      <c r="E60" s="103">
        <f t="shared" si="9"/>
        <v>30000</v>
      </c>
      <c r="F60" s="103">
        <v>30000</v>
      </c>
      <c r="G60" s="103"/>
      <c r="H60" s="103"/>
      <c r="I60" s="103"/>
      <c r="J60" s="103">
        <f t="shared" si="12"/>
        <v>0</v>
      </c>
      <c r="K60" s="103"/>
      <c r="L60" s="103"/>
      <c r="M60" s="103"/>
      <c r="N60" s="103"/>
      <c r="O60" s="103"/>
      <c r="P60" s="103">
        <f t="shared" si="10"/>
        <v>30000</v>
      </c>
      <c r="Q60" s="188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47.25" x14ac:dyDescent="0.25">
      <c r="A61" s="107" t="s">
        <v>383</v>
      </c>
      <c r="B61" s="42">
        <v>9800</v>
      </c>
      <c r="C61" s="107" t="s">
        <v>46</v>
      </c>
      <c r="D61" s="36" t="s">
        <v>369</v>
      </c>
      <c r="E61" s="103">
        <f t="shared" si="9"/>
        <v>1993799</v>
      </c>
      <c r="F61" s="103">
        <f>407799-134000+1720000</f>
        <v>1993799</v>
      </c>
      <c r="G61" s="103"/>
      <c r="H61" s="103"/>
      <c r="I61" s="103"/>
      <c r="J61" s="103">
        <f t="shared" si="12"/>
        <v>1483000</v>
      </c>
      <c r="K61" s="103">
        <f>134000+1349000</f>
        <v>1483000</v>
      </c>
      <c r="L61" s="103"/>
      <c r="M61" s="103"/>
      <c r="N61" s="103"/>
      <c r="O61" s="103">
        <f>134000+1349000</f>
        <v>1483000</v>
      </c>
      <c r="P61" s="103">
        <f t="shared" si="10"/>
        <v>3476799</v>
      </c>
      <c r="Q61" s="188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7" customFormat="1" ht="36" customHeight="1" x14ac:dyDescent="0.25">
      <c r="A62" s="110" t="s">
        <v>167</v>
      </c>
      <c r="B62" s="39"/>
      <c r="C62" s="39"/>
      <c r="D62" s="111" t="s">
        <v>26</v>
      </c>
      <c r="E62" s="99">
        <f>E63</f>
        <v>1151000186.23</v>
      </c>
      <c r="F62" s="99">
        <f t="shared" ref="F62:J62" si="13">F63</f>
        <v>1151000186.23</v>
      </c>
      <c r="G62" s="99">
        <f t="shared" si="13"/>
        <v>779065830</v>
      </c>
      <c r="H62" s="99">
        <f t="shared" si="13"/>
        <v>61951847</v>
      </c>
      <c r="I62" s="99">
        <f t="shared" si="13"/>
        <v>0</v>
      </c>
      <c r="J62" s="99">
        <f t="shared" si="13"/>
        <v>99551314.180000007</v>
      </c>
      <c r="K62" s="99">
        <f t="shared" ref="K62" si="14">K63</f>
        <v>61405814.18</v>
      </c>
      <c r="L62" s="99">
        <f t="shared" ref="L62" si="15">L63</f>
        <v>37465600</v>
      </c>
      <c r="M62" s="99">
        <f t="shared" ref="M62" si="16">M63</f>
        <v>2268060</v>
      </c>
      <c r="N62" s="99">
        <f t="shared" ref="N62" si="17">N63</f>
        <v>139890</v>
      </c>
      <c r="O62" s="99">
        <f t="shared" ref="O62:P62" si="18">O63</f>
        <v>62085714.18</v>
      </c>
      <c r="P62" s="99">
        <f t="shared" si="18"/>
        <v>1250551500.4099998</v>
      </c>
      <c r="Q62" s="188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</row>
    <row r="63" spans="1:527" s="34" customFormat="1" ht="38.25" customHeight="1" x14ac:dyDescent="0.25">
      <c r="A63" s="112" t="s">
        <v>168</v>
      </c>
      <c r="B63" s="78"/>
      <c r="C63" s="78"/>
      <c r="D63" s="81" t="s">
        <v>517</v>
      </c>
      <c r="E63" s="102">
        <f>E76+E77+E78+E79+E80+E83+E85+E88+E90+E91+E92+E93+E94+E96+E97+E98+E100+E101+E103+E105+E107+E108+E109+E111+E112+E114+E115+E116+E117+E119+E120</f>
        <v>1151000186.23</v>
      </c>
      <c r="F63" s="102">
        <f t="shared" ref="F63:P63" si="19">F76+F77+F78+F79+F80+F83+F85+F88+F90+F91+F92+F93+F94+F96+F97+F98+F100+F101+F103+F105+F107+F108+F109+F111+F112+F114+F115+F116+F117+F119+F120</f>
        <v>1151000186.23</v>
      </c>
      <c r="G63" s="102">
        <f t="shared" si="19"/>
        <v>779065830</v>
      </c>
      <c r="H63" s="102">
        <f t="shared" si="19"/>
        <v>61951847</v>
      </c>
      <c r="I63" s="102">
        <f t="shared" si="19"/>
        <v>0</v>
      </c>
      <c r="J63" s="102">
        <f t="shared" si="19"/>
        <v>99551314.180000007</v>
      </c>
      <c r="K63" s="102">
        <f t="shared" si="19"/>
        <v>61405814.18</v>
      </c>
      <c r="L63" s="102">
        <f t="shared" si="19"/>
        <v>37465600</v>
      </c>
      <c r="M63" s="102">
        <f t="shared" si="19"/>
        <v>2268060</v>
      </c>
      <c r="N63" s="102">
        <f t="shared" si="19"/>
        <v>139890</v>
      </c>
      <c r="O63" s="102">
        <f t="shared" si="19"/>
        <v>62085714.18</v>
      </c>
      <c r="P63" s="102">
        <f t="shared" si="19"/>
        <v>1250551500.4099998</v>
      </c>
      <c r="Q63" s="188">
        <v>7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</row>
    <row r="64" spans="1:527" s="34" customFormat="1" ht="31.5" x14ac:dyDescent="0.25">
      <c r="A64" s="112"/>
      <c r="B64" s="78"/>
      <c r="C64" s="78"/>
      <c r="D64" s="81" t="s">
        <v>391</v>
      </c>
      <c r="E64" s="102">
        <f>E81+E84</f>
        <v>482448000</v>
      </c>
      <c r="F64" s="102">
        <f>F81+F84</f>
        <v>482448000</v>
      </c>
      <c r="G64" s="102">
        <f t="shared" ref="G64:P64" si="20">G81+G84</f>
        <v>396066000</v>
      </c>
      <c r="H64" s="102">
        <f t="shared" si="20"/>
        <v>0</v>
      </c>
      <c r="I64" s="102">
        <f t="shared" si="20"/>
        <v>0</v>
      </c>
      <c r="J64" s="102">
        <f t="shared" si="20"/>
        <v>0</v>
      </c>
      <c r="K64" s="102">
        <f t="shared" si="20"/>
        <v>0</v>
      </c>
      <c r="L64" s="102">
        <f t="shared" si="20"/>
        <v>0</v>
      </c>
      <c r="M64" s="102">
        <f t="shared" si="20"/>
        <v>0</v>
      </c>
      <c r="N64" s="102">
        <f t="shared" si="20"/>
        <v>0</v>
      </c>
      <c r="O64" s="102">
        <f t="shared" si="20"/>
        <v>0</v>
      </c>
      <c r="P64" s="102">
        <f t="shared" si="20"/>
        <v>482448000</v>
      </c>
      <c r="Q64" s="188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63" hidden="1" customHeight="1" x14ac:dyDescent="0.25">
      <c r="A65" s="112"/>
      <c r="B65" s="78"/>
      <c r="C65" s="78"/>
      <c r="D65" s="81" t="s">
        <v>390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88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47.25" x14ac:dyDescent="0.25">
      <c r="A66" s="112"/>
      <c r="B66" s="78"/>
      <c r="C66" s="78"/>
      <c r="D66" s="81" t="s">
        <v>558</v>
      </c>
      <c r="E66" s="102">
        <f>E86</f>
        <v>246000</v>
      </c>
      <c r="F66" s="102">
        <f t="shared" ref="F66:P66" si="21">F86</f>
        <v>246000</v>
      </c>
      <c r="G66" s="102">
        <f t="shared" si="21"/>
        <v>0</v>
      </c>
      <c r="H66" s="102">
        <f t="shared" si="21"/>
        <v>0</v>
      </c>
      <c r="I66" s="102">
        <f t="shared" si="21"/>
        <v>0</v>
      </c>
      <c r="J66" s="102">
        <f t="shared" si="21"/>
        <v>1754000</v>
      </c>
      <c r="K66" s="102">
        <f t="shared" si="21"/>
        <v>1754000</v>
      </c>
      <c r="L66" s="102">
        <f t="shared" si="21"/>
        <v>0</v>
      </c>
      <c r="M66" s="102">
        <f t="shared" si="21"/>
        <v>0</v>
      </c>
      <c r="N66" s="102">
        <f t="shared" si="21"/>
        <v>0</v>
      </c>
      <c r="O66" s="102">
        <f t="shared" si="21"/>
        <v>1754000</v>
      </c>
      <c r="P66" s="102">
        <f t="shared" si="21"/>
        <v>2000000</v>
      </c>
      <c r="Q66" s="188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12"/>
      <c r="B67" s="78"/>
      <c r="C67" s="78"/>
      <c r="D67" s="81" t="s">
        <v>386</v>
      </c>
      <c r="E67" s="102">
        <f t="shared" ref="E67:P67" si="22">E82+E95</f>
        <v>3578416</v>
      </c>
      <c r="F67" s="102">
        <f t="shared" si="22"/>
        <v>3578416</v>
      </c>
      <c r="G67" s="102">
        <f t="shared" si="22"/>
        <v>1228720</v>
      </c>
      <c r="H67" s="102">
        <f t="shared" si="22"/>
        <v>0</v>
      </c>
      <c r="I67" s="102">
        <f t="shared" si="22"/>
        <v>0</v>
      </c>
      <c r="J67" s="102">
        <f t="shared" si="22"/>
        <v>0</v>
      </c>
      <c r="K67" s="102">
        <f t="shared" si="22"/>
        <v>0</v>
      </c>
      <c r="L67" s="102">
        <f t="shared" si="22"/>
        <v>0</v>
      </c>
      <c r="M67" s="102">
        <f t="shared" si="22"/>
        <v>0</v>
      </c>
      <c r="N67" s="102">
        <f t="shared" si="22"/>
        <v>0</v>
      </c>
      <c r="O67" s="102">
        <f t="shared" si="22"/>
        <v>0</v>
      </c>
      <c r="P67" s="102">
        <f t="shared" si="22"/>
        <v>3578416</v>
      </c>
      <c r="Q67" s="188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5" hidden="1" customHeight="1" x14ac:dyDescent="0.25">
      <c r="A68" s="112"/>
      <c r="B68" s="78"/>
      <c r="C68" s="78"/>
      <c r="D68" s="81" t="s">
        <v>388</v>
      </c>
      <c r="E68" s="102" t="e">
        <f>#REF!+E92</f>
        <v>#REF!</v>
      </c>
      <c r="F68" s="102" t="e">
        <f>#REF!+F92</f>
        <v>#REF!</v>
      </c>
      <c r="G68" s="102" t="e">
        <f>#REF!+G92</f>
        <v>#REF!</v>
      </c>
      <c r="H68" s="102" t="e">
        <f>#REF!+H92</f>
        <v>#REF!</v>
      </c>
      <c r="I68" s="102" t="e">
        <f>#REF!+I92</f>
        <v>#REF!</v>
      </c>
      <c r="J68" s="102" t="e">
        <f>#REF!+J92</f>
        <v>#REF!</v>
      </c>
      <c r="K68" s="102" t="e">
        <f>#REF!+K92</f>
        <v>#REF!</v>
      </c>
      <c r="L68" s="102" t="e">
        <f>#REF!+L92</f>
        <v>#REF!</v>
      </c>
      <c r="M68" s="102" t="e">
        <f>#REF!+M92</f>
        <v>#REF!</v>
      </c>
      <c r="N68" s="102" t="e">
        <f>#REF!+N92</f>
        <v>#REF!</v>
      </c>
      <c r="O68" s="102" t="e">
        <f>#REF!+O92</f>
        <v>#REF!</v>
      </c>
      <c r="P68" s="102" t="e">
        <f>#REF!+P92</f>
        <v>#REF!</v>
      </c>
      <c r="Q68" s="188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63" x14ac:dyDescent="0.25">
      <c r="A69" s="112"/>
      <c r="B69" s="78"/>
      <c r="C69" s="78"/>
      <c r="D69" s="81" t="s">
        <v>385</v>
      </c>
      <c r="E69" s="102">
        <f>E104</f>
        <v>2612700</v>
      </c>
      <c r="F69" s="102">
        <f t="shared" ref="F69:P69" si="23">F104</f>
        <v>2612700</v>
      </c>
      <c r="G69" s="102">
        <f t="shared" si="23"/>
        <v>1459720</v>
      </c>
      <c r="H69" s="102">
        <f t="shared" si="23"/>
        <v>0</v>
      </c>
      <c r="I69" s="102">
        <f t="shared" si="23"/>
        <v>0</v>
      </c>
      <c r="J69" s="102">
        <f t="shared" si="23"/>
        <v>72000</v>
      </c>
      <c r="K69" s="102">
        <f t="shared" si="23"/>
        <v>72000</v>
      </c>
      <c r="L69" s="102">
        <f t="shared" si="23"/>
        <v>0</v>
      </c>
      <c r="M69" s="102">
        <f t="shared" si="23"/>
        <v>0</v>
      </c>
      <c r="N69" s="102">
        <f t="shared" si="23"/>
        <v>0</v>
      </c>
      <c r="O69" s="102">
        <f t="shared" si="23"/>
        <v>72000</v>
      </c>
      <c r="P69" s="102">
        <f t="shared" si="23"/>
        <v>2684700</v>
      </c>
      <c r="Q69" s="188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80.25" customHeight="1" x14ac:dyDescent="0.25">
      <c r="A70" s="112"/>
      <c r="B70" s="163"/>
      <c r="C70" s="78"/>
      <c r="D70" s="81" t="s">
        <v>537</v>
      </c>
      <c r="E70" s="102">
        <f>E106</f>
        <v>1174231</v>
      </c>
      <c r="F70" s="102">
        <f t="shared" ref="F70:P70" si="24">F106</f>
        <v>1174231</v>
      </c>
      <c r="G70" s="102">
        <f t="shared" si="24"/>
        <v>962484</v>
      </c>
      <c r="H70" s="102">
        <f t="shared" si="24"/>
        <v>0</v>
      </c>
      <c r="I70" s="102">
        <f t="shared" si="24"/>
        <v>0</v>
      </c>
      <c r="J70" s="102">
        <f t="shared" si="24"/>
        <v>0</v>
      </c>
      <c r="K70" s="102">
        <f t="shared" si="24"/>
        <v>0</v>
      </c>
      <c r="L70" s="102">
        <f t="shared" si="24"/>
        <v>0</v>
      </c>
      <c r="M70" s="102">
        <f t="shared" si="24"/>
        <v>0</v>
      </c>
      <c r="N70" s="102">
        <f t="shared" si="24"/>
        <v>0</v>
      </c>
      <c r="O70" s="102">
        <f t="shared" si="24"/>
        <v>0</v>
      </c>
      <c r="P70" s="102">
        <f t="shared" si="24"/>
        <v>1174231</v>
      </c>
      <c r="Q70" s="188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31.5" x14ac:dyDescent="0.25">
      <c r="A71" s="112"/>
      <c r="B71" s="78"/>
      <c r="C71" s="78"/>
      <c r="D71" s="81" t="s">
        <v>555</v>
      </c>
      <c r="E71" s="102">
        <f t="shared" ref="E71:P71" si="25">E87+E89+E118</f>
        <v>1402009.6000000001</v>
      </c>
      <c r="F71" s="102">
        <f t="shared" si="25"/>
        <v>1402009.6000000001</v>
      </c>
      <c r="G71" s="102">
        <f t="shared" si="25"/>
        <v>0</v>
      </c>
      <c r="H71" s="102">
        <f t="shared" si="25"/>
        <v>0</v>
      </c>
      <c r="I71" s="102">
        <f t="shared" si="25"/>
        <v>0</v>
      </c>
      <c r="J71" s="102">
        <f t="shared" si="25"/>
        <v>7695733.1799999997</v>
      </c>
      <c r="K71" s="102">
        <f t="shared" si="25"/>
        <v>7695733.1799999997</v>
      </c>
      <c r="L71" s="102">
        <f t="shared" si="25"/>
        <v>0</v>
      </c>
      <c r="M71" s="102">
        <f t="shared" si="25"/>
        <v>0</v>
      </c>
      <c r="N71" s="102">
        <f t="shared" si="25"/>
        <v>0</v>
      </c>
      <c r="O71" s="102">
        <f t="shared" si="25"/>
        <v>7695733.1799999997</v>
      </c>
      <c r="P71" s="102">
        <f t="shared" si="25"/>
        <v>9097742.7799999993</v>
      </c>
      <c r="Q71" s="188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78.75" x14ac:dyDescent="0.25">
      <c r="A72" s="112"/>
      <c r="B72" s="78"/>
      <c r="C72" s="78"/>
      <c r="D72" s="81" t="s">
        <v>578</v>
      </c>
      <c r="E72" s="102">
        <f>E102</f>
        <v>5811208</v>
      </c>
      <c r="F72" s="102">
        <f t="shared" ref="F72:P72" si="26">F102</f>
        <v>5811208</v>
      </c>
      <c r="G72" s="102">
        <f t="shared" si="26"/>
        <v>0</v>
      </c>
      <c r="H72" s="102">
        <f t="shared" si="26"/>
        <v>0</v>
      </c>
      <c r="I72" s="102">
        <f t="shared" si="26"/>
        <v>0</v>
      </c>
      <c r="J72" s="102">
        <f t="shared" si="26"/>
        <v>1095855</v>
      </c>
      <c r="K72" s="102">
        <f t="shared" si="26"/>
        <v>1095855</v>
      </c>
      <c r="L72" s="102">
        <f t="shared" si="26"/>
        <v>0</v>
      </c>
      <c r="M72" s="102">
        <f t="shared" si="26"/>
        <v>0</v>
      </c>
      <c r="N72" s="102">
        <f t="shared" si="26"/>
        <v>0</v>
      </c>
      <c r="O72" s="102">
        <f t="shared" si="26"/>
        <v>1095855</v>
      </c>
      <c r="P72" s="102">
        <f t="shared" si="26"/>
        <v>6907063</v>
      </c>
      <c r="Q72" s="188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63" x14ac:dyDescent="0.25">
      <c r="A73" s="100"/>
      <c r="B73" s="113"/>
      <c r="C73" s="114"/>
      <c r="D73" s="79" t="s">
        <v>432</v>
      </c>
      <c r="E73" s="102">
        <f>E99</f>
        <v>287772</v>
      </c>
      <c r="F73" s="102">
        <f t="shared" ref="F73:P73" si="27">F99</f>
        <v>287772</v>
      </c>
      <c r="G73" s="102">
        <f t="shared" si="27"/>
        <v>0</v>
      </c>
      <c r="H73" s="102">
        <f t="shared" si="27"/>
        <v>0</v>
      </c>
      <c r="I73" s="102">
        <f t="shared" si="27"/>
        <v>0</v>
      </c>
      <c r="J73" s="102">
        <f t="shared" si="27"/>
        <v>2859726</v>
      </c>
      <c r="K73" s="102">
        <f t="shared" si="27"/>
        <v>2859726</v>
      </c>
      <c r="L73" s="102">
        <f t="shared" si="27"/>
        <v>0</v>
      </c>
      <c r="M73" s="102">
        <f t="shared" si="27"/>
        <v>0</v>
      </c>
      <c r="N73" s="102">
        <f t="shared" si="27"/>
        <v>0</v>
      </c>
      <c r="O73" s="102">
        <f t="shared" si="27"/>
        <v>2859726</v>
      </c>
      <c r="P73" s="102">
        <f t="shared" si="27"/>
        <v>3147498</v>
      </c>
      <c r="Q73" s="188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" customHeight="1" x14ac:dyDescent="0.25">
      <c r="A74" s="112"/>
      <c r="B74" s="78"/>
      <c r="C74" s="78"/>
      <c r="D74" s="154" t="s">
        <v>569</v>
      </c>
      <c r="E74" s="102">
        <f>E113</f>
        <v>0</v>
      </c>
      <c r="F74" s="102">
        <f t="shared" ref="F74:P74" si="28">F113</f>
        <v>0</v>
      </c>
      <c r="G74" s="102">
        <f t="shared" si="28"/>
        <v>0</v>
      </c>
      <c r="H74" s="102">
        <f t="shared" si="28"/>
        <v>0</v>
      </c>
      <c r="I74" s="102">
        <f t="shared" si="28"/>
        <v>0</v>
      </c>
      <c r="J74" s="102">
        <f t="shared" si="28"/>
        <v>1224916</v>
      </c>
      <c r="K74" s="102">
        <f t="shared" si="28"/>
        <v>1224916</v>
      </c>
      <c r="L74" s="102">
        <f t="shared" si="28"/>
        <v>0</v>
      </c>
      <c r="M74" s="102">
        <f t="shared" si="28"/>
        <v>0</v>
      </c>
      <c r="N74" s="102">
        <f t="shared" si="28"/>
        <v>0</v>
      </c>
      <c r="O74" s="102">
        <f t="shared" si="28"/>
        <v>1224916</v>
      </c>
      <c r="P74" s="102">
        <f t="shared" si="28"/>
        <v>1224916</v>
      </c>
      <c r="Q74" s="188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22.5" customHeight="1" x14ac:dyDescent="0.25">
      <c r="A75" s="112"/>
      <c r="B75" s="78"/>
      <c r="C75" s="78"/>
      <c r="D75" s="81" t="s">
        <v>397</v>
      </c>
      <c r="E75" s="102">
        <f>E110</f>
        <v>134064</v>
      </c>
      <c r="F75" s="102">
        <f t="shared" ref="F75:P75" si="29">F110</f>
        <v>134064</v>
      </c>
      <c r="G75" s="102">
        <f t="shared" si="29"/>
        <v>0</v>
      </c>
      <c r="H75" s="102">
        <f t="shared" si="29"/>
        <v>0</v>
      </c>
      <c r="I75" s="102">
        <f t="shared" si="29"/>
        <v>0</v>
      </c>
      <c r="J75" s="102">
        <f t="shared" si="29"/>
        <v>0</v>
      </c>
      <c r="K75" s="102">
        <f t="shared" si="29"/>
        <v>0</v>
      </c>
      <c r="L75" s="102">
        <f t="shared" si="29"/>
        <v>0</v>
      </c>
      <c r="M75" s="102">
        <f t="shared" si="29"/>
        <v>0</v>
      </c>
      <c r="N75" s="102">
        <f t="shared" si="29"/>
        <v>0</v>
      </c>
      <c r="O75" s="102">
        <f t="shared" si="29"/>
        <v>0</v>
      </c>
      <c r="P75" s="102">
        <f t="shared" si="29"/>
        <v>134064</v>
      </c>
      <c r="Q75" s="188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22" customFormat="1" ht="45.75" customHeight="1" x14ac:dyDescent="0.25">
      <c r="A76" s="60" t="s">
        <v>169</v>
      </c>
      <c r="B76" s="97" t="str">
        <f>'дод 5'!A20</f>
        <v>0160</v>
      </c>
      <c r="C76" s="97" t="str">
        <f>'дод 5'!B20</f>
        <v>0111</v>
      </c>
      <c r="D76" s="36" t="s">
        <v>503</v>
      </c>
      <c r="E76" s="103">
        <f t="shared" ref="E76:E120" si="30">F76+I76</f>
        <v>3864285</v>
      </c>
      <c r="F76" s="103">
        <f>3843500+20000+785</f>
        <v>3864285</v>
      </c>
      <c r="G76" s="103">
        <v>2976200</v>
      </c>
      <c r="H76" s="103">
        <f>42800+785</f>
        <v>43585</v>
      </c>
      <c r="I76" s="103"/>
      <c r="J76" s="103">
        <f>L76+O76</f>
        <v>0</v>
      </c>
      <c r="K76" s="103">
        <f>20000-20000</f>
        <v>0</v>
      </c>
      <c r="L76" s="103"/>
      <c r="M76" s="103"/>
      <c r="N76" s="103"/>
      <c r="O76" s="103">
        <f>20000-20000</f>
        <v>0</v>
      </c>
      <c r="P76" s="103">
        <f t="shared" ref="P76:P120" si="31">E76+J76</f>
        <v>3864285</v>
      </c>
      <c r="Q76" s="188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</row>
    <row r="77" spans="1:527" s="22" customFormat="1" ht="21.75" customHeight="1" x14ac:dyDescent="0.25">
      <c r="A77" s="60" t="s">
        <v>170</v>
      </c>
      <c r="B77" s="97" t="str">
        <f>'дод 5'!A36</f>
        <v>1010</v>
      </c>
      <c r="C77" s="97" t="str">
        <f>'дод 5'!B36</f>
        <v>0910</v>
      </c>
      <c r="D77" s="61" t="s">
        <v>512</v>
      </c>
      <c r="E77" s="103">
        <f t="shared" si="30"/>
        <v>295981344.63</v>
      </c>
      <c r="F77" s="103">
        <f>290084900+377000+133998.63+378900+619000+103450+204596+100000+22020-24778+60000+20200+170000+156751+100000+1000000+2448507+10800+16000</f>
        <v>295981344.63</v>
      </c>
      <c r="G77" s="103">
        <f>205054200</f>
        <v>205054200</v>
      </c>
      <c r="H77" s="103">
        <f>21914800+2448507</f>
        <v>24363307</v>
      </c>
      <c r="I77" s="103"/>
      <c r="J77" s="103">
        <f>L77+O77</f>
        <v>12331180</v>
      </c>
      <c r="K77" s="103">
        <f>218000+50000+102000+86000+38500+27980+29800+30000-10800</f>
        <v>571480</v>
      </c>
      <c r="L77" s="103">
        <v>11759700</v>
      </c>
      <c r="M77" s="103"/>
      <c r="N77" s="103"/>
      <c r="O77" s="103">
        <f>218000+50000+102000+86000+38500+27980+29800+30000-10800</f>
        <v>571480</v>
      </c>
      <c r="P77" s="103">
        <f t="shared" si="31"/>
        <v>308312524.63</v>
      </c>
      <c r="Q77" s="188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37.5" customHeight="1" x14ac:dyDescent="0.25">
      <c r="A78" s="60" t="s">
        <v>479</v>
      </c>
      <c r="B78" s="60">
        <f>'дод 5'!A38</f>
        <v>1021</v>
      </c>
      <c r="C78" s="97" t="str">
        <f>'дод 5'!B38</f>
        <v>0921</v>
      </c>
      <c r="D78" s="61" t="s">
        <v>606</v>
      </c>
      <c r="E78" s="103">
        <f t="shared" si="30"/>
        <v>213253921</v>
      </c>
      <c r="F78" s="103">
        <f>207798800+170000+256650+380600+220200+130000+330000+525700+173300+23800+34000+200000+19200+10000+50000+357463+280000+79900+25000+163800+1938076+49500-40068+78000</f>
        <v>213253921</v>
      </c>
      <c r="G78" s="103">
        <f>119643500+19206</f>
        <v>119662706</v>
      </c>
      <c r="H78" s="103">
        <f>30342200+1938076</f>
        <v>32280276</v>
      </c>
      <c r="I78" s="103"/>
      <c r="J78" s="103">
        <f t="shared" ref="J78:J120" si="32">L78+O78</f>
        <v>26170904</v>
      </c>
      <c r="K78" s="103">
        <f>118000+77400+130000+50000+60650+30000+15000+80800+160000+17000+199186+40068+62000</f>
        <v>1040104</v>
      </c>
      <c r="L78" s="103">
        <v>25130800</v>
      </c>
      <c r="M78" s="103">
        <v>2268060</v>
      </c>
      <c r="N78" s="103">
        <v>139890</v>
      </c>
      <c r="O78" s="103">
        <f>118000+77400+130000+50000+60650+30000+15000+80800+160000+17000+199186+40068+62000</f>
        <v>1040104</v>
      </c>
      <c r="P78" s="103">
        <f t="shared" si="31"/>
        <v>239424825</v>
      </c>
      <c r="Q78" s="188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63" x14ac:dyDescent="0.25">
      <c r="A79" s="60" t="s">
        <v>481</v>
      </c>
      <c r="B79" s="97">
        <v>1022</v>
      </c>
      <c r="C79" s="60" t="s">
        <v>56</v>
      </c>
      <c r="D79" s="36" t="s">
        <v>482</v>
      </c>
      <c r="E79" s="103">
        <f t="shared" si="30"/>
        <v>14338277</v>
      </c>
      <c r="F79" s="103">
        <f>13632600+50000+159800+100000+17000+49800+26970+302107</f>
        <v>14338277</v>
      </c>
      <c r="G79" s="103">
        <v>8830500</v>
      </c>
      <c r="H79" s="103">
        <f>1210000+302107</f>
        <v>1512107</v>
      </c>
      <c r="I79" s="103"/>
      <c r="J79" s="103">
        <f t="shared" si="32"/>
        <v>153030</v>
      </c>
      <c r="K79" s="103">
        <f>250000-100000+30000-26970</f>
        <v>153030</v>
      </c>
      <c r="L79" s="103"/>
      <c r="M79" s="103"/>
      <c r="N79" s="103"/>
      <c r="O79" s="103">
        <f>250000-100000+30000-26970</f>
        <v>153030</v>
      </c>
      <c r="P79" s="103">
        <f t="shared" si="31"/>
        <v>14491307</v>
      </c>
      <c r="Q79" s="188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31.5" x14ac:dyDescent="0.25">
      <c r="A80" s="60" t="s">
        <v>483</v>
      </c>
      <c r="B80" s="97">
        <v>1031</v>
      </c>
      <c r="C80" s="60" t="s">
        <v>52</v>
      </c>
      <c r="D80" s="61" t="s">
        <v>513</v>
      </c>
      <c r="E80" s="103">
        <f t="shared" si="30"/>
        <v>468962880</v>
      </c>
      <c r="F80" s="103">
        <v>468962880</v>
      </c>
      <c r="G80" s="103">
        <v>383296900</v>
      </c>
      <c r="H80" s="103"/>
      <c r="I80" s="103"/>
      <c r="J80" s="103">
        <f t="shared" si="32"/>
        <v>0</v>
      </c>
      <c r="K80" s="103"/>
      <c r="L80" s="103"/>
      <c r="M80" s="103"/>
      <c r="N80" s="103"/>
      <c r="O80" s="103"/>
      <c r="P80" s="103">
        <f t="shared" si="31"/>
        <v>468962880</v>
      </c>
      <c r="Q80" s="188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4" customFormat="1" ht="31.5" x14ac:dyDescent="0.25">
      <c r="A81" s="88"/>
      <c r="B81" s="115"/>
      <c r="C81" s="115"/>
      <c r="D81" s="91" t="s">
        <v>391</v>
      </c>
      <c r="E81" s="105">
        <f t="shared" si="30"/>
        <v>466883500</v>
      </c>
      <c r="F81" s="105">
        <v>466883500</v>
      </c>
      <c r="G81" s="105">
        <v>383296900</v>
      </c>
      <c r="H81" s="105"/>
      <c r="I81" s="105"/>
      <c r="J81" s="105">
        <f t="shared" si="32"/>
        <v>0</v>
      </c>
      <c r="K81" s="105"/>
      <c r="L81" s="105"/>
      <c r="M81" s="105"/>
      <c r="N81" s="105"/>
      <c r="O81" s="105"/>
      <c r="P81" s="105">
        <f t="shared" si="31"/>
        <v>466883500</v>
      </c>
      <c r="Q81" s="188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</row>
    <row r="82" spans="1:527" s="24" customFormat="1" ht="47.25" x14ac:dyDescent="0.25">
      <c r="A82" s="88"/>
      <c r="B82" s="115"/>
      <c r="C82" s="115"/>
      <c r="D82" s="91" t="s">
        <v>386</v>
      </c>
      <c r="E82" s="105">
        <f t="shared" si="30"/>
        <v>2079380</v>
      </c>
      <c r="F82" s="105">
        <v>2079380</v>
      </c>
      <c r="G82" s="105"/>
      <c r="H82" s="105"/>
      <c r="I82" s="105"/>
      <c r="J82" s="105">
        <f t="shared" si="32"/>
        <v>0</v>
      </c>
      <c r="K82" s="105"/>
      <c r="L82" s="105"/>
      <c r="M82" s="105"/>
      <c r="N82" s="105"/>
      <c r="O82" s="105"/>
      <c r="P82" s="105">
        <f t="shared" si="31"/>
        <v>2079380</v>
      </c>
      <c r="Q82" s="188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</row>
    <row r="83" spans="1:527" s="22" customFormat="1" ht="65.25" customHeight="1" x14ac:dyDescent="0.25">
      <c r="A83" s="60" t="s">
        <v>484</v>
      </c>
      <c r="B83" s="60" t="s">
        <v>485</v>
      </c>
      <c r="C83" s="60" t="s">
        <v>56</v>
      </c>
      <c r="D83" s="61" t="s">
        <v>514</v>
      </c>
      <c r="E83" s="103">
        <f t="shared" si="30"/>
        <v>15564500</v>
      </c>
      <c r="F83" s="103">
        <v>15564500</v>
      </c>
      <c r="G83" s="103">
        <v>12769100</v>
      </c>
      <c r="H83" s="103"/>
      <c r="I83" s="103"/>
      <c r="J83" s="103">
        <f t="shared" si="32"/>
        <v>0</v>
      </c>
      <c r="K83" s="103"/>
      <c r="L83" s="103"/>
      <c r="M83" s="103"/>
      <c r="N83" s="103"/>
      <c r="O83" s="103"/>
      <c r="P83" s="103">
        <f t="shared" si="31"/>
        <v>15564500</v>
      </c>
      <c r="Q83" s="188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</row>
    <row r="84" spans="1:527" s="24" customFormat="1" ht="31.5" x14ac:dyDescent="0.25">
      <c r="A84" s="88"/>
      <c r="B84" s="115"/>
      <c r="C84" s="115"/>
      <c r="D84" s="91" t="s">
        <v>391</v>
      </c>
      <c r="E84" s="105">
        <f t="shared" ref="E84:E88" si="33">F84+I84</f>
        <v>15564500</v>
      </c>
      <c r="F84" s="105">
        <v>15564500</v>
      </c>
      <c r="G84" s="105">
        <v>12769100</v>
      </c>
      <c r="H84" s="105"/>
      <c r="I84" s="105"/>
      <c r="J84" s="105">
        <f t="shared" ref="J84" si="34">L84+O84</f>
        <v>0</v>
      </c>
      <c r="K84" s="105"/>
      <c r="L84" s="105"/>
      <c r="M84" s="105"/>
      <c r="N84" s="105"/>
      <c r="O84" s="105"/>
      <c r="P84" s="105">
        <f t="shared" ref="P84" si="35">E84+J84</f>
        <v>15564500</v>
      </c>
      <c r="Q84" s="188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4" customFormat="1" ht="31.5" x14ac:dyDescent="0.25">
      <c r="A85" s="60" t="s">
        <v>543</v>
      </c>
      <c r="B85" s="97">
        <v>1061</v>
      </c>
      <c r="C85" s="60" t="s">
        <v>52</v>
      </c>
      <c r="D85" s="36" t="s">
        <v>513</v>
      </c>
      <c r="E85" s="103">
        <f t="shared" si="33"/>
        <v>915009.6</v>
      </c>
      <c r="F85" s="103">
        <f>664981.6+246000+9700-45200+39528</f>
        <v>915009.6</v>
      </c>
      <c r="G85" s="105"/>
      <c r="H85" s="105"/>
      <c r="I85" s="105"/>
      <c r="J85" s="103">
        <f t="shared" si="32"/>
        <v>6142733.1799999997</v>
      </c>
      <c r="K85" s="103">
        <f>377160+3253691+1754000+761910.18-9700+45200-39528</f>
        <v>6142733.1799999997</v>
      </c>
      <c r="L85" s="103"/>
      <c r="M85" s="103"/>
      <c r="N85" s="103"/>
      <c r="O85" s="103">
        <f>377160+3253691+1754000+761910.18-9700+45200-39528</f>
        <v>6142733.1799999997</v>
      </c>
      <c r="P85" s="103">
        <f t="shared" si="31"/>
        <v>7057742.7799999993</v>
      </c>
      <c r="Q85" s="188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</row>
    <row r="86" spans="1:527" s="24" customFormat="1" ht="46.5" customHeight="1" x14ac:dyDescent="0.25">
      <c r="A86" s="88"/>
      <c r="B86" s="115"/>
      <c r="C86" s="88"/>
      <c r="D86" s="91" t="s">
        <v>558</v>
      </c>
      <c r="E86" s="105">
        <f>F86+I86</f>
        <v>246000</v>
      </c>
      <c r="F86" s="105">
        <v>246000</v>
      </c>
      <c r="G86" s="105"/>
      <c r="H86" s="105"/>
      <c r="I86" s="105"/>
      <c r="J86" s="105">
        <f>L86+O86</f>
        <v>1754000</v>
      </c>
      <c r="K86" s="105">
        <v>1754000</v>
      </c>
      <c r="L86" s="105"/>
      <c r="M86" s="105"/>
      <c r="N86" s="105"/>
      <c r="O86" s="105">
        <v>1754000</v>
      </c>
      <c r="P86" s="105">
        <f t="shared" si="31"/>
        <v>2000000</v>
      </c>
      <c r="Q86" s="188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4" customFormat="1" ht="31.5" x14ac:dyDescent="0.25">
      <c r="A87" s="88"/>
      <c r="B87" s="115"/>
      <c r="C87" s="88"/>
      <c r="D87" s="91" t="s">
        <v>555</v>
      </c>
      <c r="E87" s="105">
        <f t="shared" ref="E87:E89" si="36">F87+I87</f>
        <v>669009.6</v>
      </c>
      <c r="F87" s="105">
        <f>664981.6+9700-45200+39528</f>
        <v>669009.6</v>
      </c>
      <c r="G87" s="105"/>
      <c r="H87" s="105"/>
      <c r="I87" s="105"/>
      <c r="J87" s="105">
        <f t="shared" ref="J87" si="37">L87+O87</f>
        <v>4388733.18</v>
      </c>
      <c r="K87" s="105">
        <f>377160+3253691+761910.18-9700+45200-39528</f>
        <v>4388733.18</v>
      </c>
      <c r="L87" s="105"/>
      <c r="M87" s="105"/>
      <c r="N87" s="105"/>
      <c r="O87" s="105">
        <f>377160+3253691+761910.18-9700+45200-39528</f>
        <v>4388733.18</v>
      </c>
      <c r="P87" s="105">
        <f t="shared" si="31"/>
        <v>5057742.7799999993</v>
      </c>
      <c r="Q87" s="188">
        <v>8</v>
      </c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</row>
    <row r="88" spans="1:527" s="24" customFormat="1" ht="63" x14ac:dyDescent="0.25">
      <c r="A88" s="60" t="s">
        <v>549</v>
      </c>
      <c r="B88" s="97">
        <v>1062</v>
      </c>
      <c r="C88" s="60" t="s">
        <v>56</v>
      </c>
      <c r="D88" s="61" t="s">
        <v>514</v>
      </c>
      <c r="E88" s="103">
        <f t="shared" si="33"/>
        <v>40000</v>
      </c>
      <c r="F88" s="103">
        <v>40000</v>
      </c>
      <c r="G88" s="105"/>
      <c r="H88" s="105"/>
      <c r="I88" s="105"/>
      <c r="J88" s="103">
        <f>L88+O88</f>
        <v>0</v>
      </c>
      <c r="K88" s="105"/>
      <c r="L88" s="105"/>
      <c r="M88" s="105"/>
      <c r="N88" s="105"/>
      <c r="O88" s="105"/>
      <c r="P88" s="103">
        <f t="shared" si="31"/>
        <v>40000</v>
      </c>
      <c r="Q88" s="188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31.5" x14ac:dyDescent="0.25">
      <c r="A89" s="88"/>
      <c r="B89" s="115"/>
      <c r="C89" s="88"/>
      <c r="D89" s="91" t="s">
        <v>555</v>
      </c>
      <c r="E89" s="105">
        <f t="shared" si="36"/>
        <v>40000</v>
      </c>
      <c r="F89" s="105">
        <v>40000</v>
      </c>
      <c r="G89" s="105"/>
      <c r="H89" s="105"/>
      <c r="I89" s="105"/>
      <c r="J89" s="105">
        <f>L89+O89</f>
        <v>0</v>
      </c>
      <c r="K89" s="105"/>
      <c r="L89" s="105"/>
      <c r="M89" s="105"/>
      <c r="N89" s="105"/>
      <c r="O89" s="105"/>
      <c r="P89" s="105">
        <f t="shared" si="31"/>
        <v>40000</v>
      </c>
      <c r="Q89" s="188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2" customFormat="1" ht="47.25" x14ac:dyDescent="0.25">
      <c r="A90" s="60" t="s">
        <v>486</v>
      </c>
      <c r="B90" s="60" t="s">
        <v>55</v>
      </c>
      <c r="C90" s="60" t="s">
        <v>58</v>
      </c>
      <c r="D90" s="61" t="s">
        <v>367</v>
      </c>
      <c r="E90" s="103">
        <f t="shared" si="30"/>
        <v>35044945</v>
      </c>
      <c r="F90" s="103">
        <f>34328200+64500+200000+452245</f>
        <v>35044945</v>
      </c>
      <c r="G90" s="103">
        <v>25836800</v>
      </c>
      <c r="H90" s="103">
        <f>2353200+452245</f>
        <v>2805445</v>
      </c>
      <c r="I90" s="103"/>
      <c r="J90" s="103">
        <f t="shared" si="32"/>
        <v>112500</v>
      </c>
      <c r="K90" s="103">
        <v>112500</v>
      </c>
      <c r="L90" s="103"/>
      <c r="M90" s="103"/>
      <c r="N90" s="103"/>
      <c r="O90" s="103">
        <v>112500</v>
      </c>
      <c r="P90" s="103">
        <f t="shared" si="31"/>
        <v>35157445</v>
      </c>
      <c r="Q90" s="188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</row>
    <row r="91" spans="1:527" s="22" customFormat="1" ht="31.5" x14ac:dyDescent="0.25">
      <c r="A91" s="60" t="s">
        <v>487</v>
      </c>
      <c r="B91" s="60" t="s">
        <v>488</v>
      </c>
      <c r="C91" s="60" t="s">
        <v>59</v>
      </c>
      <c r="D91" s="36" t="s">
        <v>520</v>
      </c>
      <c r="E91" s="103">
        <f t="shared" si="30"/>
        <v>11387250</v>
      </c>
      <c r="F91" s="103">
        <f>11229130+100000+58120</f>
        <v>11387250</v>
      </c>
      <c r="G91" s="103">
        <v>8331500</v>
      </c>
      <c r="H91" s="103">
        <f>527130+58120</f>
        <v>585250</v>
      </c>
      <c r="I91" s="103"/>
      <c r="J91" s="103">
        <f t="shared" si="32"/>
        <v>0</v>
      </c>
      <c r="K91" s="103">
        <f>100000-100000</f>
        <v>0</v>
      </c>
      <c r="L91" s="103"/>
      <c r="M91" s="103"/>
      <c r="N91" s="103"/>
      <c r="O91" s="103">
        <f>100000-100000</f>
        <v>0</v>
      </c>
      <c r="P91" s="103">
        <f t="shared" si="31"/>
        <v>11387250</v>
      </c>
      <c r="Q91" s="188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</row>
    <row r="92" spans="1:527" s="22" customFormat="1" ht="18" customHeight="1" x14ac:dyDescent="0.25">
      <c r="A92" s="60" t="s">
        <v>489</v>
      </c>
      <c r="B92" s="60" t="s">
        <v>490</v>
      </c>
      <c r="C92" s="60" t="s">
        <v>59</v>
      </c>
      <c r="D92" s="36" t="s">
        <v>283</v>
      </c>
      <c r="E92" s="103">
        <f t="shared" si="30"/>
        <v>113000</v>
      </c>
      <c r="F92" s="103">
        <v>113000</v>
      </c>
      <c r="G92" s="103"/>
      <c r="H92" s="103"/>
      <c r="I92" s="103"/>
      <c r="J92" s="103">
        <f t="shared" ref="J92" si="38">L92+O92</f>
        <v>0</v>
      </c>
      <c r="K92" s="103"/>
      <c r="L92" s="103"/>
      <c r="M92" s="103"/>
      <c r="N92" s="103"/>
      <c r="O92" s="103"/>
      <c r="P92" s="103">
        <f t="shared" ref="P92" si="39">E92+J92</f>
        <v>113000</v>
      </c>
      <c r="Q92" s="188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</row>
    <row r="93" spans="1:527" s="22" customFormat="1" ht="31.5" x14ac:dyDescent="0.25">
      <c r="A93" s="60" t="s">
        <v>491</v>
      </c>
      <c r="B93" s="60" t="s">
        <v>492</v>
      </c>
      <c r="C93" s="60" t="s">
        <v>59</v>
      </c>
      <c r="D93" s="61" t="s">
        <v>493</v>
      </c>
      <c r="E93" s="103">
        <f t="shared" si="30"/>
        <v>445933</v>
      </c>
      <c r="F93" s="103">
        <f>431850+14083</f>
        <v>445933</v>
      </c>
      <c r="G93" s="103">
        <v>266200</v>
      </c>
      <c r="H93" s="103">
        <f>52650+14083</f>
        <v>66733</v>
      </c>
      <c r="I93" s="103"/>
      <c r="J93" s="103">
        <f t="shared" si="32"/>
        <v>0</v>
      </c>
      <c r="K93" s="103"/>
      <c r="L93" s="103"/>
      <c r="M93" s="103"/>
      <c r="N93" s="103"/>
      <c r="O93" s="103"/>
      <c r="P93" s="103">
        <f t="shared" si="31"/>
        <v>445933</v>
      </c>
      <c r="Q93" s="188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</row>
    <row r="94" spans="1:527" s="22" customFormat="1" ht="45.75" customHeight="1" x14ac:dyDescent="0.25">
      <c r="A94" s="60" t="s">
        <v>494</v>
      </c>
      <c r="B94" s="60" t="s">
        <v>495</v>
      </c>
      <c r="C94" s="60" t="str">
        <f>'дод 5'!B61</f>
        <v>0990</v>
      </c>
      <c r="D94" s="61" t="s">
        <v>515</v>
      </c>
      <c r="E94" s="103">
        <f t="shared" si="30"/>
        <v>1499036</v>
      </c>
      <c r="F94" s="103">
        <v>1499036</v>
      </c>
      <c r="G94" s="103">
        <v>1228720</v>
      </c>
      <c r="H94" s="103"/>
      <c r="I94" s="103"/>
      <c r="J94" s="103">
        <f t="shared" si="32"/>
        <v>0</v>
      </c>
      <c r="K94" s="103"/>
      <c r="L94" s="103"/>
      <c r="M94" s="103"/>
      <c r="N94" s="103"/>
      <c r="O94" s="103"/>
      <c r="P94" s="103">
        <f t="shared" si="31"/>
        <v>1499036</v>
      </c>
      <c r="Q94" s="188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4" customFormat="1" ht="45.75" customHeight="1" x14ac:dyDescent="0.25">
      <c r="A95" s="88"/>
      <c r="B95" s="88"/>
      <c r="C95" s="88"/>
      <c r="D95" s="91" t="s">
        <v>386</v>
      </c>
      <c r="E95" s="105">
        <f t="shared" si="30"/>
        <v>1499036</v>
      </c>
      <c r="F95" s="105">
        <v>1499036</v>
      </c>
      <c r="G95" s="105">
        <v>1228720</v>
      </c>
      <c r="H95" s="105"/>
      <c r="I95" s="105"/>
      <c r="J95" s="105">
        <f t="shared" si="32"/>
        <v>0</v>
      </c>
      <c r="K95" s="105"/>
      <c r="L95" s="105"/>
      <c r="M95" s="105"/>
      <c r="N95" s="105"/>
      <c r="O95" s="105"/>
      <c r="P95" s="105">
        <f t="shared" si="31"/>
        <v>1499036</v>
      </c>
      <c r="Q95" s="188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</row>
    <row r="96" spans="1:527" s="22" customFormat="1" ht="36" customHeight="1" x14ac:dyDescent="0.25">
      <c r="A96" s="60" t="s">
        <v>496</v>
      </c>
      <c r="B96" s="60" t="s">
        <v>497</v>
      </c>
      <c r="C96" s="60" t="str">
        <f>'дод 5'!B62</f>
        <v>0990</v>
      </c>
      <c r="D96" s="61" t="s">
        <v>498</v>
      </c>
      <c r="E96" s="103">
        <f t="shared" si="30"/>
        <v>2521377</v>
      </c>
      <c r="F96" s="103">
        <f>2412770+100000+8607</f>
        <v>2521377</v>
      </c>
      <c r="G96" s="103">
        <v>1880000</v>
      </c>
      <c r="H96" s="103">
        <f>84370+8607</f>
        <v>92977</v>
      </c>
      <c r="I96" s="103"/>
      <c r="J96" s="103">
        <f t="shared" si="32"/>
        <v>50000</v>
      </c>
      <c r="K96" s="103">
        <v>50000</v>
      </c>
      <c r="L96" s="103"/>
      <c r="M96" s="103"/>
      <c r="N96" s="103"/>
      <c r="O96" s="103">
        <v>50000</v>
      </c>
      <c r="P96" s="103">
        <f t="shared" si="31"/>
        <v>2571377</v>
      </c>
      <c r="Q96" s="188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66" customHeight="1" x14ac:dyDescent="0.25">
      <c r="A97" s="60" t="s">
        <v>585</v>
      </c>
      <c r="B97" s="60" t="s">
        <v>586</v>
      </c>
      <c r="C97" s="60" t="s">
        <v>59</v>
      </c>
      <c r="D97" s="61" t="s">
        <v>590</v>
      </c>
      <c r="E97" s="103">
        <f t="shared" si="30"/>
        <v>0</v>
      </c>
      <c r="F97" s="103"/>
      <c r="G97" s="103"/>
      <c r="H97" s="103"/>
      <c r="I97" s="103"/>
      <c r="J97" s="103">
        <f t="shared" si="32"/>
        <v>1610670</v>
      </c>
      <c r="K97" s="103">
        <f>1049030+561640</f>
        <v>1610670</v>
      </c>
      <c r="L97" s="103"/>
      <c r="M97" s="103"/>
      <c r="N97" s="103"/>
      <c r="O97" s="103">
        <f>1049030+561640</f>
        <v>1610670</v>
      </c>
      <c r="P97" s="103">
        <f t="shared" si="31"/>
        <v>1610670</v>
      </c>
      <c r="Q97" s="188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2" customFormat="1" ht="47.25" x14ac:dyDescent="0.25">
      <c r="A98" s="60" t="s">
        <v>572</v>
      </c>
      <c r="B98" s="60" t="s">
        <v>574</v>
      </c>
      <c r="C98" s="60" t="s">
        <v>59</v>
      </c>
      <c r="D98" s="61" t="s">
        <v>576</v>
      </c>
      <c r="E98" s="103">
        <f t="shared" si="30"/>
        <v>287772</v>
      </c>
      <c r="F98" s="103">
        <v>287772</v>
      </c>
      <c r="G98" s="103"/>
      <c r="H98" s="103"/>
      <c r="I98" s="103"/>
      <c r="J98" s="103">
        <f t="shared" si="32"/>
        <v>2859726</v>
      </c>
      <c r="K98" s="103">
        <v>2859726</v>
      </c>
      <c r="L98" s="103"/>
      <c r="M98" s="103"/>
      <c r="N98" s="103"/>
      <c r="O98" s="103">
        <v>2859726</v>
      </c>
      <c r="P98" s="103">
        <f t="shared" si="31"/>
        <v>3147498</v>
      </c>
      <c r="Q98" s="188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  <c r="TG98" s="23"/>
    </row>
    <row r="99" spans="1:527" s="24" customFormat="1" ht="67.5" customHeight="1" x14ac:dyDescent="0.25">
      <c r="A99" s="88"/>
      <c r="B99" s="88"/>
      <c r="C99" s="88"/>
      <c r="D99" s="91" t="s">
        <v>432</v>
      </c>
      <c r="E99" s="105">
        <f t="shared" si="30"/>
        <v>287772</v>
      </c>
      <c r="F99" s="105">
        <v>287772</v>
      </c>
      <c r="G99" s="105"/>
      <c r="H99" s="105"/>
      <c r="I99" s="105"/>
      <c r="J99" s="105">
        <f t="shared" si="32"/>
        <v>2859726</v>
      </c>
      <c r="K99" s="105">
        <v>2859726</v>
      </c>
      <c r="L99" s="105"/>
      <c r="M99" s="105"/>
      <c r="N99" s="105"/>
      <c r="O99" s="105">
        <v>2859726</v>
      </c>
      <c r="P99" s="105">
        <f t="shared" si="31"/>
        <v>3147498</v>
      </c>
      <c r="Q99" s="188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2" customFormat="1" ht="78.75" x14ac:dyDescent="0.25">
      <c r="A100" s="60" t="s">
        <v>587</v>
      </c>
      <c r="B100" s="60" t="s">
        <v>588</v>
      </c>
      <c r="C100" s="60" t="s">
        <v>59</v>
      </c>
      <c r="D100" s="61" t="s">
        <v>589</v>
      </c>
      <c r="E100" s="103">
        <f t="shared" si="30"/>
        <v>1800286</v>
      </c>
      <c r="F100" s="103">
        <v>1800286</v>
      </c>
      <c r="G100" s="103"/>
      <c r="H100" s="103"/>
      <c r="I100" s="103"/>
      <c r="J100" s="103">
        <f t="shared" si="32"/>
        <v>417966</v>
      </c>
      <c r="K100" s="103">
        <v>417966</v>
      </c>
      <c r="L100" s="103"/>
      <c r="M100" s="103"/>
      <c r="N100" s="103"/>
      <c r="O100" s="103">
        <v>417966</v>
      </c>
      <c r="P100" s="103">
        <f t="shared" si="31"/>
        <v>2218252</v>
      </c>
      <c r="Q100" s="188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47.25" x14ac:dyDescent="0.25">
      <c r="A101" s="60" t="s">
        <v>573</v>
      </c>
      <c r="B101" s="60" t="s">
        <v>575</v>
      </c>
      <c r="C101" s="60" t="s">
        <v>59</v>
      </c>
      <c r="D101" s="61" t="s">
        <v>577</v>
      </c>
      <c r="E101" s="103">
        <f t="shared" si="30"/>
        <v>5811208</v>
      </c>
      <c r="F101" s="103">
        <v>5811208</v>
      </c>
      <c r="G101" s="103"/>
      <c r="H101" s="103"/>
      <c r="I101" s="103"/>
      <c r="J101" s="103">
        <f t="shared" si="32"/>
        <v>1095855</v>
      </c>
      <c r="K101" s="103">
        <v>1095855</v>
      </c>
      <c r="L101" s="103"/>
      <c r="M101" s="103"/>
      <c r="N101" s="103"/>
      <c r="O101" s="103">
        <v>1095855</v>
      </c>
      <c r="P101" s="103">
        <f t="shared" si="31"/>
        <v>6907063</v>
      </c>
      <c r="Q101" s="188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4" customFormat="1" ht="63" x14ac:dyDescent="0.25">
      <c r="A102" s="88"/>
      <c r="B102" s="88"/>
      <c r="C102" s="88"/>
      <c r="D102" s="91" t="s">
        <v>578</v>
      </c>
      <c r="E102" s="105">
        <f t="shared" si="30"/>
        <v>5811208</v>
      </c>
      <c r="F102" s="105">
        <v>5811208</v>
      </c>
      <c r="G102" s="105"/>
      <c r="H102" s="105"/>
      <c r="I102" s="105"/>
      <c r="J102" s="105">
        <f t="shared" si="32"/>
        <v>1095855</v>
      </c>
      <c r="K102" s="105">
        <v>1095855</v>
      </c>
      <c r="L102" s="105"/>
      <c r="M102" s="105"/>
      <c r="N102" s="105"/>
      <c r="O102" s="105">
        <v>1095855</v>
      </c>
      <c r="P102" s="105">
        <f t="shared" si="31"/>
        <v>6907063</v>
      </c>
      <c r="Q102" s="188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</row>
    <row r="103" spans="1:527" s="22" customFormat="1" ht="65.25" customHeight="1" x14ac:dyDescent="0.25">
      <c r="A103" s="60" t="s">
        <v>499</v>
      </c>
      <c r="B103" s="60" t="s">
        <v>500</v>
      </c>
      <c r="C103" s="60" t="s">
        <v>59</v>
      </c>
      <c r="D103" s="98" t="s">
        <v>516</v>
      </c>
      <c r="E103" s="103">
        <f t="shared" si="30"/>
        <v>2612700</v>
      </c>
      <c r="F103" s="103">
        <f>1780860+805257+26583</f>
        <v>2612700</v>
      </c>
      <c r="G103" s="103">
        <v>1459720</v>
      </c>
      <c r="H103" s="103"/>
      <c r="I103" s="103"/>
      <c r="J103" s="103">
        <f t="shared" si="32"/>
        <v>72000</v>
      </c>
      <c r="K103" s="103">
        <f>903840-805257-26583</f>
        <v>72000</v>
      </c>
      <c r="L103" s="103"/>
      <c r="M103" s="103"/>
      <c r="N103" s="103"/>
      <c r="O103" s="103">
        <f>903840-805257-26583</f>
        <v>72000</v>
      </c>
      <c r="P103" s="103">
        <f t="shared" si="31"/>
        <v>2684700</v>
      </c>
      <c r="Q103" s="188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  <c r="TG103" s="23"/>
    </row>
    <row r="104" spans="1:527" s="24" customFormat="1" ht="63" x14ac:dyDescent="0.25">
      <c r="A104" s="88"/>
      <c r="B104" s="115"/>
      <c r="C104" s="115"/>
      <c r="D104" s="91" t="s">
        <v>385</v>
      </c>
      <c r="E104" s="105">
        <f t="shared" si="30"/>
        <v>2612700</v>
      </c>
      <c r="F104" s="105">
        <f>1780860+805257+26583</f>
        <v>2612700</v>
      </c>
      <c r="G104" s="105">
        <v>1459720</v>
      </c>
      <c r="H104" s="105"/>
      <c r="I104" s="105"/>
      <c r="J104" s="105">
        <f t="shared" si="32"/>
        <v>72000</v>
      </c>
      <c r="K104" s="105">
        <f>903840-805257-26583</f>
        <v>72000</v>
      </c>
      <c r="L104" s="105"/>
      <c r="M104" s="105"/>
      <c r="N104" s="105"/>
      <c r="O104" s="105">
        <f>903840-805257-26583</f>
        <v>72000</v>
      </c>
      <c r="P104" s="105">
        <f t="shared" si="31"/>
        <v>2684700</v>
      </c>
      <c r="Q104" s="188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</row>
    <row r="105" spans="1:527" s="24" customFormat="1" ht="78.75" x14ac:dyDescent="0.25">
      <c r="A105" s="60" t="s">
        <v>535</v>
      </c>
      <c r="B105" s="97">
        <v>1210</v>
      </c>
      <c r="C105" s="60" t="s">
        <v>59</v>
      </c>
      <c r="D105" s="36" t="s">
        <v>536</v>
      </c>
      <c r="E105" s="103">
        <f t="shared" si="30"/>
        <v>1174231</v>
      </c>
      <c r="F105" s="103">
        <v>1174231</v>
      </c>
      <c r="G105" s="103">
        <v>962484</v>
      </c>
      <c r="H105" s="105"/>
      <c r="I105" s="105"/>
      <c r="J105" s="103">
        <f t="shared" si="32"/>
        <v>0</v>
      </c>
      <c r="K105" s="105"/>
      <c r="L105" s="105"/>
      <c r="M105" s="105"/>
      <c r="N105" s="105"/>
      <c r="O105" s="105"/>
      <c r="P105" s="103">
        <f t="shared" si="31"/>
        <v>1174231</v>
      </c>
      <c r="Q105" s="188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</row>
    <row r="106" spans="1:527" s="24" customFormat="1" ht="75.75" customHeight="1" x14ac:dyDescent="0.25">
      <c r="A106" s="88"/>
      <c r="B106" s="115"/>
      <c r="C106" s="115"/>
      <c r="D106" s="91" t="s">
        <v>537</v>
      </c>
      <c r="E106" s="105">
        <f t="shared" si="30"/>
        <v>1174231</v>
      </c>
      <c r="F106" s="105">
        <v>1174231</v>
      </c>
      <c r="G106" s="105">
        <v>962484</v>
      </c>
      <c r="H106" s="105"/>
      <c r="I106" s="105"/>
      <c r="J106" s="105">
        <f t="shared" si="32"/>
        <v>0</v>
      </c>
      <c r="K106" s="105"/>
      <c r="L106" s="105"/>
      <c r="M106" s="105"/>
      <c r="N106" s="105"/>
      <c r="O106" s="105"/>
      <c r="P106" s="105">
        <f t="shared" si="31"/>
        <v>1174231</v>
      </c>
      <c r="Q106" s="188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</row>
    <row r="107" spans="1:527" s="24" customFormat="1" ht="64.5" customHeight="1" x14ac:dyDescent="0.25">
      <c r="A107" s="60" t="s">
        <v>501</v>
      </c>
      <c r="B107" s="97">
        <v>3140</v>
      </c>
      <c r="C107" s="97">
        <v>1040</v>
      </c>
      <c r="D107" s="6" t="s">
        <v>20</v>
      </c>
      <c r="E107" s="103">
        <f t="shared" si="30"/>
        <v>5500000</v>
      </c>
      <c r="F107" s="103">
        <f>3500000+2000000</f>
        <v>5500000</v>
      </c>
      <c r="G107" s="103"/>
      <c r="H107" s="103"/>
      <c r="I107" s="103"/>
      <c r="J107" s="103">
        <f t="shared" si="32"/>
        <v>0</v>
      </c>
      <c r="K107" s="105"/>
      <c r="L107" s="105"/>
      <c r="M107" s="105"/>
      <c r="N107" s="105"/>
      <c r="O107" s="105"/>
      <c r="P107" s="103">
        <f t="shared" si="31"/>
        <v>5500000</v>
      </c>
      <c r="Q107" s="188">
        <v>9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4" customFormat="1" ht="31.5" x14ac:dyDescent="0.25">
      <c r="A108" s="60" t="s">
        <v>502</v>
      </c>
      <c r="B108" s="97">
        <v>3242</v>
      </c>
      <c r="C108" s="97">
        <v>1090</v>
      </c>
      <c r="D108" s="36" t="s">
        <v>414</v>
      </c>
      <c r="E108" s="103">
        <f t="shared" si="30"/>
        <v>54300</v>
      </c>
      <c r="F108" s="103">
        <v>54300</v>
      </c>
      <c r="G108" s="103"/>
      <c r="H108" s="103"/>
      <c r="I108" s="103"/>
      <c r="J108" s="103">
        <f t="shared" si="32"/>
        <v>0</v>
      </c>
      <c r="K108" s="105"/>
      <c r="L108" s="105"/>
      <c r="M108" s="105"/>
      <c r="N108" s="105"/>
      <c r="O108" s="105"/>
      <c r="P108" s="103">
        <f t="shared" si="31"/>
        <v>54300</v>
      </c>
      <c r="Q108" s="188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</row>
    <row r="109" spans="1:527" s="24" customFormat="1" ht="47.25" x14ac:dyDescent="0.25">
      <c r="A109" s="60" t="s">
        <v>504</v>
      </c>
      <c r="B109" s="97">
        <v>5031</v>
      </c>
      <c r="C109" s="60" t="s">
        <v>82</v>
      </c>
      <c r="D109" s="3" t="s">
        <v>581</v>
      </c>
      <c r="E109" s="103">
        <f t="shared" si="30"/>
        <v>8734331</v>
      </c>
      <c r="F109" s="103">
        <f>8590600+134064+9667</f>
        <v>8734331</v>
      </c>
      <c r="G109" s="103">
        <v>6510800</v>
      </c>
      <c r="H109" s="103">
        <f>192500+9667</f>
        <v>202167</v>
      </c>
      <c r="I109" s="103"/>
      <c r="J109" s="103">
        <f t="shared" si="32"/>
        <v>0</v>
      </c>
      <c r="K109" s="105"/>
      <c r="L109" s="105"/>
      <c r="M109" s="105"/>
      <c r="N109" s="105"/>
      <c r="O109" s="105"/>
      <c r="P109" s="103">
        <f t="shared" si="31"/>
        <v>8734331</v>
      </c>
      <c r="Q109" s="188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23.25" customHeight="1" x14ac:dyDescent="0.25">
      <c r="A110" s="88"/>
      <c r="B110" s="115"/>
      <c r="C110" s="88"/>
      <c r="D110" s="91" t="s">
        <v>397</v>
      </c>
      <c r="E110" s="105">
        <f t="shared" si="30"/>
        <v>134064</v>
      </c>
      <c r="F110" s="105">
        <v>134064</v>
      </c>
      <c r="G110" s="105"/>
      <c r="H110" s="105"/>
      <c r="I110" s="105"/>
      <c r="J110" s="105">
        <f t="shared" si="32"/>
        <v>0</v>
      </c>
      <c r="K110" s="105"/>
      <c r="L110" s="105"/>
      <c r="M110" s="105"/>
      <c r="N110" s="105"/>
      <c r="O110" s="105"/>
      <c r="P110" s="105">
        <f t="shared" si="31"/>
        <v>134064</v>
      </c>
      <c r="Q110" s="188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18.75" x14ac:dyDescent="0.25">
      <c r="A111" s="60" t="s">
        <v>505</v>
      </c>
      <c r="B111" s="97">
        <v>7321</v>
      </c>
      <c r="C111" s="60" t="s">
        <v>113</v>
      </c>
      <c r="D111" s="6" t="s">
        <v>562</v>
      </c>
      <c r="E111" s="103">
        <f t="shared" si="30"/>
        <v>0</v>
      </c>
      <c r="F111" s="103"/>
      <c r="G111" s="103"/>
      <c r="H111" s="103"/>
      <c r="I111" s="103"/>
      <c r="J111" s="103">
        <f t="shared" si="32"/>
        <v>24200766</v>
      </c>
      <c r="K111" s="103">
        <f>21660000+2000000+139385+600000+584918+112177+193520-969650+15000+146760+300000-380000-905000+49950-300000+517880+24778-160000-280000+50000-200000+230045+2472793+618634+1500000+1524229+60000-5188653-216000</f>
        <v>24200766</v>
      </c>
      <c r="L111" s="103"/>
      <c r="M111" s="103"/>
      <c r="N111" s="103"/>
      <c r="O111" s="103">
        <f>21660000+2000000+139385+600000+584918+112177+193520-969650+15000+146760+300000-380000-905000+49950-300000+517880+24778-160000-280000+50000-200000+230045+2472793+618634+1500000+1524229+60000-5188653-216000</f>
        <v>24200766</v>
      </c>
      <c r="P111" s="103">
        <f t="shared" si="31"/>
        <v>24200766</v>
      </c>
      <c r="Q111" s="188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51" customHeight="1" x14ac:dyDescent="0.25">
      <c r="A112" s="60" t="s">
        <v>568</v>
      </c>
      <c r="B112" s="97">
        <v>7363</v>
      </c>
      <c r="C112" s="60" t="s">
        <v>84</v>
      </c>
      <c r="D112" s="6" t="s">
        <v>400</v>
      </c>
      <c r="E112" s="103">
        <f t="shared" si="30"/>
        <v>0</v>
      </c>
      <c r="F112" s="103"/>
      <c r="G112" s="103"/>
      <c r="H112" s="103"/>
      <c r="I112" s="103"/>
      <c r="J112" s="103">
        <f t="shared" si="32"/>
        <v>7010680</v>
      </c>
      <c r="K112" s="103">
        <f>2629959-1405043+1158751+4627013</f>
        <v>7010680</v>
      </c>
      <c r="L112" s="103"/>
      <c r="M112" s="103"/>
      <c r="N112" s="103"/>
      <c r="O112" s="103">
        <f>2629959-1405043+1158751+4627013</f>
        <v>7010680</v>
      </c>
      <c r="P112" s="103">
        <f t="shared" si="31"/>
        <v>7010680</v>
      </c>
      <c r="Q112" s="188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47.25" x14ac:dyDescent="0.25">
      <c r="A113" s="88"/>
      <c r="B113" s="115"/>
      <c r="C113" s="88"/>
      <c r="D113" s="85" t="s">
        <v>582</v>
      </c>
      <c r="E113" s="105">
        <f t="shared" si="30"/>
        <v>0</v>
      </c>
      <c r="F113" s="105"/>
      <c r="G113" s="105"/>
      <c r="H113" s="105"/>
      <c r="I113" s="105"/>
      <c r="J113" s="105">
        <f t="shared" si="32"/>
        <v>1224916</v>
      </c>
      <c r="K113" s="105">
        <f>2629959-1405043</f>
        <v>1224916</v>
      </c>
      <c r="L113" s="105"/>
      <c r="M113" s="105"/>
      <c r="N113" s="105"/>
      <c r="O113" s="105">
        <f>2629959-1405043</f>
        <v>1224916</v>
      </c>
      <c r="P113" s="105">
        <f t="shared" si="31"/>
        <v>1224916</v>
      </c>
      <c r="Q113" s="188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15.75" x14ac:dyDescent="0.25">
      <c r="A114" s="60" t="s">
        <v>506</v>
      </c>
      <c r="B114" s="97">
        <v>7640</v>
      </c>
      <c r="C114" s="60" t="s">
        <v>88</v>
      </c>
      <c r="D114" s="3" t="s">
        <v>424</v>
      </c>
      <c r="E114" s="103">
        <f t="shared" si="30"/>
        <v>691000</v>
      </c>
      <c r="F114" s="103">
        <f>551000+140000</f>
        <v>691000</v>
      </c>
      <c r="G114" s="103"/>
      <c r="H114" s="103"/>
      <c r="I114" s="103"/>
      <c r="J114" s="103">
        <f t="shared" si="32"/>
        <v>11504796</v>
      </c>
      <c r="K114" s="103">
        <f>13040000-139385-1660615-140000+53880+45000+305916</f>
        <v>11504796</v>
      </c>
      <c r="L114" s="103"/>
      <c r="M114" s="103"/>
      <c r="N114" s="103"/>
      <c r="O114" s="103">
        <f>13040000-139385-1660615-140000+53880+45000+305916</f>
        <v>11504796</v>
      </c>
      <c r="P114" s="103">
        <f t="shared" si="31"/>
        <v>12195796</v>
      </c>
      <c r="Q114" s="188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47.25" x14ac:dyDescent="0.25">
      <c r="A115" s="60" t="s">
        <v>509</v>
      </c>
      <c r="B115" s="97">
        <v>7700</v>
      </c>
      <c r="C115" s="60" t="s">
        <v>95</v>
      </c>
      <c r="D115" s="3" t="s">
        <v>364</v>
      </c>
      <c r="E115" s="103">
        <f t="shared" si="30"/>
        <v>0</v>
      </c>
      <c r="F115" s="103"/>
      <c r="G115" s="103"/>
      <c r="H115" s="103"/>
      <c r="I115" s="103"/>
      <c r="J115" s="103">
        <f t="shared" si="32"/>
        <v>630000</v>
      </c>
      <c r="K115" s="103"/>
      <c r="L115" s="103"/>
      <c r="M115" s="103"/>
      <c r="N115" s="103"/>
      <c r="O115" s="103">
        <v>630000</v>
      </c>
      <c r="P115" s="103">
        <f t="shared" si="31"/>
        <v>630000</v>
      </c>
      <c r="Q115" s="188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37.5" customHeight="1" x14ac:dyDescent="0.25">
      <c r="A116" s="60" t="s">
        <v>507</v>
      </c>
      <c r="B116" s="97">
        <v>8340</v>
      </c>
      <c r="C116" s="60" t="s">
        <v>94</v>
      </c>
      <c r="D116" s="3" t="s">
        <v>10</v>
      </c>
      <c r="E116" s="103">
        <f t="shared" si="30"/>
        <v>0</v>
      </c>
      <c r="F116" s="103"/>
      <c r="G116" s="103"/>
      <c r="H116" s="103"/>
      <c r="I116" s="103"/>
      <c r="J116" s="103">
        <f t="shared" si="32"/>
        <v>625000</v>
      </c>
      <c r="K116" s="103"/>
      <c r="L116" s="103">
        <f>595000+30000-49900</f>
        <v>575100</v>
      </c>
      <c r="M116" s="103"/>
      <c r="N116" s="103"/>
      <c r="O116" s="103">
        <f>30000-30000+49900</f>
        <v>49900</v>
      </c>
      <c r="P116" s="103">
        <f t="shared" si="31"/>
        <v>625000</v>
      </c>
      <c r="Q116" s="188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47.25" x14ac:dyDescent="0.25">
      <c r="A117" s="60" t="s">
        <v>550</v>
      </c>
      <c r="B117" s="97">
        <v>9320</v>
      </c>
      <c r="C117" s="60" t="s">
        <v>46</v>
      </c>
      <c r="D117" s="6" t="s">
        <v>551</v>
      </c>
      <c r="E117" s="103">
        <f t="shared" si="30"/>
        <v>693000</v>
      </c>
      <c r="F117" s="103">
        <v>693000</v>
      </c>
      <c r="G117" s="103"/>
      <c r="H117" s="103"/>
      <c r="I117" s="103"/>
      <c r="J117" s="103">
        <f t="shared" si="32"/>
        <v>3307000</v>
      </c>
      <c r="K117" s="103">
        <v>3307000</v>
      </c>
      <c r="L117" s="103"/>
      <c r="M117" s="103"/>
      <c r="N117" s="103"/>
      <c r="O117" s="103">
        <v>3307000</v>
      </c>
      <c r="P117" s="103">
        <f t="shared" si="31"/>
        <v>4000000</v>
      </c>
      <c r="Q117" s="188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31.5" x14ac:dyDescent="0.25">
      <c r="A118" s="88"/>
      <c r="B118" s="115"/>
      <c r="C118" s="88"/>
      <c r="D118" s="91" t="s">
        <v>545</v>
      </c>
      <c r="E118" s="105">
        <f t="shared" si="30"/>
        <v>693000</v>
      </c>
      <c r="F118" s="105">
        <v>693000</v>
      </c>
      <c r="G118" s="105"/>
      <c r="H118" s="105"/>
      <c r="I118" s="105"/>
      <c r="J118" s="105">
        <f t="shared" si="32"/>
        <v>3307000</v>
      </c>
      <c r="K118" s="105">
        <v>3307000</v>
      </c>
      <c r="L118" s="105"/>
      <c r="M118" s="105"/>
      <c r="N118" s="105"/>
      <c r="O118" s="105">
        <v>3307000</v>
      </c>
      <c r="P118" s="105">
        <f t="shared" si="31"/>
        <v>4000000</v>
      </c>
      <c r="Q118" s="188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22.5" customHeight="1" x14ac:dyDescent="0.25">
      <c r="A119" s="60" t="s">
        <v>508</v>
      </c>
      <c r="B119" s="97">
        <v>9770</v>
      </c>
      <c r="C119" s="60" t="s">
        <v>46</v>
      </c>
      <c r="D119" s="6" t="s">
        <v>358</v>
      </c>
      <c r="E119" s="103">
        <f t="shared" ref="E119" si="40">F119+I119</f>
        <v>59660000</v>
      </c>
      <c r="F119" s="103">
        <f>59300000+10000+350000</f>
        <v>59660000</v>
      </c>
      <c r="G119" s="103"/>
      <c r="H119" s="103"/>
      <c r="I119" s="103"/>
      <c r="J119" s="103">
        <f t="shared" ref="J119" si="41">L119+O119</f>
        <v>1256508</v>
      </c>
      <c r="K119" s="103">
        <v>1256508</v>
      </c>
      <c r="L119" s="103"/>
      <c r="M119" s="103"/>
      <c r="N119" s="103"/>
      <c r="O119" s="103">
        <v>1256508</v>
      </c>
      <c r="P119" s="103">
        <f t="shared" ref="P119" si="42">E119+J119</f>
        <v>60916508</v>
      </c>
      <c r="Q119" s="188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48.75" customHeight="1" x14ac:dyDescent="0.25">
      <c r="A120" s="60" t="s">
        <v>540</v>
      </c>
      <c r="B120" s="97">
        <v>9800</v>
      </c>
      <c r="C120" s="60" t="s">
        <v>46</v>
      </c>
      <c r="D120" s="6" t="s">
        <v>369</v>
      </c>
      <c r="E120" s="103">
        <f t="shared" si="30"/>
        <v>49600</v>
      </c>
      <c r="F120" s="103">
        <v>49600</v>
      </c>
      <c r="G120" s="103"/>
      <c r="H120" s="103"/>
      <c r="I120" s="103"/>
      <c r="J120" s="103">
        <f t="shared" si="32"/>
        <v>0</v>
      </c>
      <c r="K120" s="103"/>
      <c r="L120" s="103"/>
      <c r="M120" s="103"/>
      <c r="N120" s="103"/>
      <c r="O120" s="103"/>
      <c r="P120" s="103">
        <f t="shared" si="31"/>
        <v>49600</v>
      </c>
      <c r="Q120" s="188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7" customFormat="1" ht="33.75" customHeight="1" x14ac:dyDescent="0.25">
      <c r="A121" s="114" t="s">
        <v>171</v>
      </c>
      <c r="B121" s="116"/>
      <c r="C121" s="116"/>
      <c r="D121" s="111" t="s">
        <v>466</v>
      </c>
      <c r="E121" s="99">
        <f>E122</f>
        <v>90758175.400000006</v>
      </c>
      <c r="F121" s="99">
        <f t="shared" ref="F121:P121" si="43">F122</f>
        <v>90758175.400000006</v>
      </c>
      <c r="G121" s="99">
        <f t="shared" si="43"/>
        <v>4343800</v>
      </c>
      <c r="H121" s="99">
        <f t="shared" si="43"/>
        <v>97368</v>
      </c>
      <c r="I121" s="99">
        <f t="shared" si="43"/>
        <v>0</v>
      </c>
      <c r="J121" s="99">
        <f t="shared" si="43"/>
        <v>131468090.53999999</v>
      </c>
      <c r="K121" s="99">
        <f t="shared" si="43"/>
        <v>131468090.53999999</v>
      </c>
      <c r="L121" s="99">
        <f t="shared" si="43"/>
        <v>0</v>
      </c>
      <c r="M121" s="99">
        <f t="shared" si="43"/>
        <v>0</v>
      </c>
      <c r="N121" s="99">
        <f t="shared" si="43"/>
        <v>0</v>
      </c>
      <c r="O121" s="99">
        <f t="shared" si="43"/>
        <v>131468090.53999999</v>
      </c>
      <c r="P121" s="99">
        <f t="shared" si="43"/>
        <v>222226265.94</v>
      </c>
      <c r="Q121" s="188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  <c r="IW121" s="32"/>
      <c r="IX121" s="32"/>
      <c r="IY121" s="32"/>
      <c r="IZ121" s="32"/>
      <c r="JA121" s="32"/>
      <c r="JB121" s="32"/>
      <c r="JC121" s="32"/>
      <c r="JD121" s="32"/>
      <c r="JE121" s="32"/>
      <c r="JF121" s="32"/>
      <c r="JG121" s="32"/>
      <c r="JH121" s="32"/>
      <c r="JI121" s="32"/>
      <c r="JJ121" s="32"/>
      <c r="JK121" s="32"/>
      <c r="JL121" s="32"/>
      <c r="JM121" s="32"/>
      <c r="JN121" s="32"/>
      <c r="JO121" s="32"/>
      <c r="JP121" s="32"/>
      <c r="JQ121" s="32"/>
      <c r="JR121" s="32"/>
      <c r="JS121" s="32"/>
      <c r="JT121" s="32"/>
      <c r="JU121" s="32"/>
      <c r="JV121" s="32"/>
      <c r="JW121" s="32"/>
      <c r="JX121" s="32"/>
      <c r="JY121" s="32"/>
      <c r="JZ121" s="32"/>
      <c r="KA121" s="32"/>
      <c r="KB121" s="32"/>
      <c r="KC121" s="32"/>
      <c r="KD121" s="32"/>
      <c r="KE121" s="32"/>
      <c r="KF121" s="32"/>
      <c r="KG121" s="32"/>
      <c r="KH121" s="32"/>
      <c r="KI121" s="32"/>
      <c r="KJ121" s="32"/>
      <c r="KK121" s="32"/>
      <c r="KL121" s="32"/>
      <c r="KM121" s="32"/>
      <c r="KN121" s="32"/>
      <c r="KO121" s="32"/>
      <c r="KP121" s="32"/>
      <c r="KQ121" s="32"/>
      <c r="KR121" s="32"/>
      <c r="KS121" s="32"/>
      <c r="KT121" s="32"/>
      <c r="KU121" s="32"/>
      <c r="KV121" s="32"/>
      <c r="KW121" s="32"/>
      <c r="KX121" s="32"/>
      <c r="KY121" s="32"/>
      <c r="KZ121" s="32"/>
      <c r="LA121" s="32"/>
      <c r="LB121" s="32"/>
      <c r="LC121" s="32"/>
      <c r="LD121" s="32"/>
      <c r="LE121" s="32"/>
      <c r="LF121" s="32"/>
      <c r="LG121" s="32"/>
      <c r="LH121" s="32"/>
      <c r="LI121" s="32"/>
      <c r="LJ121" s="32"/>
      <c r="LK121" s="32"/>
      <c r="LL121" s="32"/>
      <c r="LM121" s="32"/>
      <c r="LN121" s="32"/>
      <c r="LO121" s="32"/>
      <c r="LP121" s="32"/>
      <c r="LQ121" s="32"/>
      <c r="LR121" s="32"/>
      <c r="LS121" s="32"/>
      <c r="LT121" s="32"/>
      <c r="LU121" s="32"/>
      <c r="LV121" s="32"/>
      <c r="LW121" s="32"/>
      <c r="LX121" s="32"/>
      <c r="LY121" s="32"/>
      <c r="LZ121" s="32"/>
      <c r="MA121" s="32"/>
      <c r="MB121" s="32"/>
      <c r="MC121" s="32"/>
      <c r="MD121" s="32"/>
      <c r="ME121" s="32"/>
      <c r="MF121" s="32"/>
      <c r="MG121" s="32"/>
      <c r="MH121" s="32"/>
      <c r="MI121" s="32"/>
      <c r="MJ121" s="32"/>
      <c r="MK121" s="32"/>
      <c r="ML121" s="32"/>
      <c r="MM121" s="32"/>
      <c r="MN121" s="32"/>
      <c r="MO121" s="32"/>
      <c r="MP121" s="32"/>
      <c r="MQ121" s="32"/>
      <c r="MR121" s="32"/>
      <c r="MS121" s="32"/>
      <c r="MT121" s="32"/>
      <c r="MU121" s="32"/>
      <c r="MV121" s="32"/>
      <c r="MW121" s="32"/>
      <c r="MX121" s="32"/>
      <c r="MY121" s="32"/>
      <c r="MZ121" s="32"/>
      <c r="NA121" s="32"/>
      <c r="NB121" s="32"/>
      <c r="NC121" s="32"/>
      <c r="ND121" s="32"/>
      <c r="NE121" s="32"/>
      <c r="NF121" s="32"/>
      <c r="NG121" s="32"/>
      <c r="NH121" s="32"/>
      <c r="NI121" s="32"/>
      <c r="NJ121" s="32"/>
      <c r="NK121" s="32"/>
      <c r="NL121" s="32"/>
      <c r="NM121" s="32"/>
      <c r="NN121" s="32"/>
      <c r="NO121" s="32"/>
      <c r="NP121" s="32"/>
      <c r="NQ121" s="32"/>
      <c r="NR121" s="32"/>
      <c r="NS121" s="32"/>
      <c r="NT121" s="32"/>
      <c r="NU121" s="32"/>
      <c r="NV121" s="32"/>
      <c r="NW121" s="32"/>
      <c r="NX121" s="32"/>
      <c r="NY121" s="32"/>
      <c r="NZ121" s="32"/>
      <c r="OA121" s="32"/>
      <c r="OB121" s="32"/>
      <c r="OC121" s="32"/>
      <c r="OD121" s="32"/>
      <c r="OE121" s="32"/>
      <c r="OF121" s="32"/>
      <c r="OG121" s="32"/>
      <c r="OH121" s="32"/>
      <c r="OI121" s="32"/>
      <c r="OJ121" s="32"/>
      <c r="OK121" s="32"/>
      <c r="OL121" s="32"/>
      <c r="OM121" s="32"/>
      <c r="ON121" s="32"/>
      <c r="OO121" s="32"/>
      <c r="OP121" s="32"/>
      <c r="OQ121" s="32"/>
      <c r="OR121" s="32"/>
      <c r="OS121" s="32"/>
      <c r="OT121" s="32"/>
      <c r="OU121" s="32"/>
      <c r="OV121" s="32"/>
      <c r="OW121" s="32"/>
      <c r="OX121" s="32"/>
      <c r="OY121" s="32"/>
      <c r="OZ121" s="32"/>
      <c r="PA121" s="32"/>
      <c r="PB121" s="32"/>
      <c r="PC121" s="32"/>
      <c r="PD121" s="32"/>
      <c r="PE121" s="32"/>
      <c r="PF121" s="32"/>
      <c r="PG121" s="32"/>
      <c r="PH121" s="32"/>
      <c r="PI121" s="32"/>
      <c r="PJ121" s="32"/>
      <c r="PK121" s="32"/>
      <c r="PL121" s="32"/>
      <c r="PM121" s="32"/>
      <c r="PN121" s="32"/>
      <c r="PO121" s="32"/>
      <c r="PP121" s="32"/>
      <c r="PQ121" s="32"/>
      <c r="PR121" s="32"/>
      <c r="PS121" s="32"/>
      <c r="PT121" s="32"/>
      <c r="PU121" s="32"/>
      <c r="PV121" s="32"/>
      <c r="PW121" s="32"/>
      <c r="PX121" s="32"/>
      <c r="PY121" s="32"/>
      <c r="PZ121" s="32"/>
      <c r="QA121" s="32"/>
      <c r="QB121" s="32"/>
      <c r="QC121" s="32"/>
      <c r="QD121" s="32"/>
      <c r="QE121" s="32"/>
      <c r="QF121" s="32"/>
      <c r="QG121" s="32"/>
      <c r="QH121" s="32"/>
      <c r="QI121" s="32"/>
      <c r="QJ121" s="32"/>
      <c r="QK121" s="32"/>
      <c r="QL121" s="32"/>
      <c r="QM121" s="32"/>
      <c r="QN121" s="32"/>
      <c r="QO121" s="32"/>
      <c r="QP121" s="32"/>
      <c r="QQ121" s="32"/>
      <c r="QR121" s="32"/>
      <c r="QS121" s="32"/>
      <c r="QT121" s="32"/>
      <c r="QU121" s="32"/>
      <c r="QV121" s="32"/>
      <c r="QW121" s="32"/>
      <c r="QX121" s="32"/>
      <c r="QY121" s="32"/>
      <c r="QZ121" s="32"/>
      <c r="RA121" s="32"/>
      <c r="RB121" s="32"/>
      <c r="RC121" s="32"/>
      <c r="RD121" s="32"/>
      <c r="RE121" s="32"/>
      <c r="RF121" s="32"/>
      <c r="RG121" s="32"/>
      <c r="RH121" s="32"/>
      <c r="RI121" s="32"/>
      <c r="RJ121" s="32"/>
      <c r="RK121" s="32"/>
      <c r="RL121" s="32"/>
      <c r="RM121" s="32"/>
      <c r="RN121" s="32"/>
      <c r="RO121" s="32"/>
      <c r="RP121" s="32"/>
      <c r="RQ121" s="32"/>
      <c r="RR121" s="32"/>
      <c r="RS121" s="32"/>
      <c r="RT121" s="32"/>
      <c r="RU121" s="32"/>
      <c r="RV121" s="32"/>
      <c r="RW121" s="32"/>
      <c r="RX121" s="32"/>
      <c r="RY121" s="32"/>
      <c r="RZ121" s="32"/>
      <c r="SA121" s="32"/>
      <c r="SB121" s="32"/>
      <c r="SC121" s="32"/>
      <c r="SD121" s="32"/>
      <c r="SE121" s="32"/>
      <c r="SF121" s="32"/>
      <c r="SG121" s="32"/>
      <c r="SH121" s="32"/>
      <c r="SI121" s="32"/>
      <c r="SJ121" s="32"/>
      <c r="SK121" s="32"/>
      <c r="SL121" s="32"/>
      <c r="SM121" s="32"/>
      <c r="SN121" s="32"/>
      <c r="SO121" s="32"/>
      <c r="SP121" s="32"/>
      <c r="SQ121" s="32"/>
      <c r="SR121" s="32"/>
      <c r="SS121" s="32"/>
      <c r="ST121" s="32"/>
      <c r="SU121" s="32"/>
      <c r="SV121" s="32"/>
      <c r="SW121" s="32"/>
      <c r="SX121" s="32"/>
      <c r="SY121" s="32"/>
      <c r="SZ121" s="32"/>
      <c r="TA121" s="32"/>
      <c r="TB121" s="32"/>
      <c r="TC121" s="32"/>
      <c r="TD121" s="32"/>
      <c r="TE121" s="32"/>
      <c r="TF121" s="32"/>
      <c r="TG121" s="32"/>
    </row>
    <row r="122" spans="1:527" s="34" customFormat="1" ht="30.75" customHeight="1" x14ac:dyDescent="0.25">
      <c r="A122" s="100" t="s">
        <v>172</v>
      </c>
      <c r="B122" s="113"/>
      <c r="C122" s="113"/>
      <c r="D122" s="81" t="s">
        <v>475</v>
      </c>
      <c r="E122" s="102">
        <f>E130+E131+E136+E138+E140+E142+E145+E146+E147+E148+E149+E151+E153+E154+E135</f>
        <v>90758175.400000006</v>
      </c>
      <c r="F122" s="102">
        <f t="shared" ref="F122:P122" si="44">F130+F131+F136+F138+F140+F142+F145+F146+F147+F148+F149+F151+F153+F154+F135</f>
        <v>90758175.400000006</v>
      </c>
      <c r="G122" s="102">
        <f t="shared" si="44"/>
        <v>4343800</v>
      </c>
      <c r="H122" s="102">
        <f t="shared" si="44"/>
        <v>97368</v>
      </c>
      <c r="I122" s="102">
        <f t="shared" si="44"/>
        <v>0</v>
      </c>
      <c r="J122" s="102">
        <f t="shared" si="44"/>
        <v>131468090.53999999</v>
      </c>
      <c r="K122" s="102">
        <f>K130+K131+K136+K138+K140+K142+K145+K146+K147+K148+K149+K151+K153+K154+K135</f>
        <v>131468090.53999999</v>
      </c>
      <c r="L122" s="102">
        <f t="shared" si="44"/>
        <v>0</v>
      </c>
      <c r="M122" s="102">
        <f t="shared" si="44"/>
        <v>0</v>
      </c>
      <c r="N122" s="102">
        <f t="shared" si="44"/>
        <v>0</v>
      </c>
      <c r="O122" s="102">
        <f t="shared" si="44"/>
        <v>131468090.53999999</v>
      </c>
      <c r="P122" s="102">
        <f t="shared" si="44"/>
        <v>222226265.94</v>
      </c>
      <c r="Q122" s="188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</row>
    <row r="123" spans="1:527" s="34" customFormat="1" ht="31.5" hidden="1" customHeight="1" x14ac:dyDescent="0.25">
      <c r="A123" s="100"/>
      <c r="B123" s="113"/>
      <c r="C123" s="113"/>
      <c r="D123" s="81" t="s">
        <v>392</v>
      </c>
      <c r="E123" s="102">
        <f>E132+E137+E139</f>
        <v>0</v>
      </c>
      <c r="F123" s="102">
        <f t="shared" ref="F123:P123" si="45">F132+F137+F139</f>
        <v>0</v>
      </c>
      <c r="G123" s="102">
        <f t="shared" si="45"/>
        <v>0</v>
      </c>
      <c r="H123" s="102">
        <f t="shared" si="45"/>
        <v>0</v>
      </c>
      <c r="I123" s="102">
        <f t="shared" si="45"/>
        <v>0</v>
      </c>
      <c r="J123" s="102">
        <f t="shared" si="45"/>
        <v>0</v>
      </c>
      <c r="K123" s="102">
        <f t="shared" si="45"/>
        <v>0</v>
      </c>
      <c r="L123" s="102">
        <f t="shared" si="45"/>
        <v>0</v>
      </c>
      <c r="M123" s="102">
        <f t="shared" si="45"/>
        <v>0</v>
      </c>
      <c r="N123" s="102">
        <f t="shared" si="45"/>
        <v>0</v>
      </c>
      <c r="O123" s="102">
        <f t="shared" si="45"/>
        <v>0</v>
      </c>
      <c r="P123" s="102">
        <f t="shared" si="45"/>
        <v>0</v>
      </c>
      <c r="Q123" s="188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</row>
    <row r="124" spans="1:527" s="34" customFormat="1" ht="63" hidden="1" customHeight="1" x14ac:dyDescent="0.25">
      <c r="A124" s="100"/>
      <c r="B124" s="113"/>
      <c r="C124" s="113"/>
      <c r="D124" s="81" t="s">
        <v>390</v>
      </c>
      <c r="E124" s="102">
        <f>E150</f>
        <v>0</v>
      </c>
      <c r="F124" s="102">
        <f>F150</f>
        <v>0</v>
      </c>
      <c r="G124" s="102">
        <f t="shared" ref="G124:I124" si="46">G150</f>
        <v>0</v>
      </c>
      <c r="H124" s="102">
        <f t="shared" si="46"/>
        <v>0</v>
      </c>
      <c r="I124" s="102">
        <f t="shared" si="46"/>
        <v>0</v>
      </c>
      <c r="J124" s="102">
        <f>J150</f>
        <v>156000</v>
      </c>
      <c r="K124" s="102">
        <f t="shared" ref="K124:P124" si="47">K150</f>
        <v>156000</v>
      </c>
      <c r="L124" s="102">
        <f t="shared" si="47"/>
        <v>0</v>
      </c>
      <c r="M124" s="102">
        <f t="shared" si="47"/>
        <v>0</v>
      </c>
      <c r="N124" s="102">
        <f t="shared" si="47"/>
        <v>0</v>
      </c>
      <c r="O124" s="102">
        <f t="shared" si="47"/>
        <v>156000</v>
      </c>
      <c r="P124" s="102">
        <f t="shared" si="47"/>
        <v>156000</v>
      </c>
      <c r="Q124" s="188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</row>
    <row r="125" spans="1:527" s="34" customFormat="1" ht="47.25" hidden="1" customHeight="1" x14ac:dyDescent="0.25">
      <c r="A125" s="100"/>
      <c r="B125" s="113"/>
      <c r="C125" s="113"/>
      <c r="D125" s="81" t="s">
        <v>393</v>
      </c>
      <c r="E125" s="102">
        <f>E133+E143</f>
        <v>0</v>
      </c>
      <c r="F125" s="102">
        <f t="shared" ref="F125:P125" si="48">F133+F143</f>
        <v>0</v>
      </c>
      <c r="G125" s="102">
        <f t="shared" si="48"/>
        <v>0</v>
      </c>
      <c r="H125" s="102">
        <f t="shared" si="48"/>
        <v>0</v>
      </c>
      <c r="I125" s="102">
        <f t="shared" si="48"/>
        <v>0</v>
      </c>
      <c r="J125" s="102">
        <f t="shared" si="48"/>
        <v>0</v>
      </c>
      <c r="K125" s="102">
        <f t="shared" si="48"/>
        <v>0</v>
      </c>
      <c r="L125" s="102">
        <f t="shared" si="48"/>
        <v>0</v>
      </c>
      <c r="M125" s="102">
        <f t="shared" si="48"/>
        <v>0</v>
      </c>
      <c r="N125" s="102">
        <f t="shared" si="48"/>
        <v>0</v>
      </c>
      <c r="O125" s="102">
        <f t="shared" si="48"/>
        <v>0</v>
      </c>
      <c r="P125" s="102">
        <f t="shared" si="48"/>
        <v>0</v>
      </c>
      <c r="Q125" s="188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</row>
    <row r="126" spans="1:527" s="34" customFormat="1" ht="15.75" hidden="1" customHeight="1" x14ac:dyDescent="0.25">
      <c r="A126" s="100"/>
      <c r="B126" s="113"/>
      <c r="C126" s="113"/>
      <c r="D126" s="81" t="s">
        <v>395</v>
      </c>
      <c r="E126" s="102">
        <f>E134</f>
        <v>0</v>
      </c>
      <c r="F126" s="102">
        <f t="shared" ref="F126:P126" si="49">F134</f>
        <v>0</v>
      </c>
      <c r="G126" s="102">
        <f t="shared" si="49"/>
        <v>0</v>
      </c>
      <c r="H126" s="102">
        <f t="shared" si="49"/>
        <v>0</v>
      </c>
      <c r="I126" s="102">
        <f t="shared" si="49"/>
        <v>0</v>
      </c>
      <c r="J126" s="102">
        <f t="shared" si="49"/>
        <v>0</v>
      </c>
      <c r="K126" s="102">
        <f t="shared" si="49"/>
        <v>0</v>
      </c>
      <c r="L126" s="102">
        <f t="shared" si="49"/>
        <v>0</v>
      </c>
      <c r="M126" s="102">
        <f t="shared" si="49"/>
        <v>0</v>
      </c>
      <c r="N126" s="102">
        <f t="shared" si="49"/>
        <v>0</v>
      </c>
      <c r="O126" s="102">
        <f t="shared" si="49"/>
        <v>0</v>
      </c>
      <c r="P126" s="102">
        <f t="shared" si="49"/>
        <v>0</v>
      </c>
      <c r="Q126" s="188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</row>
    <row r="127" spans="1:527" s="34" customFormat="1" ht="63" x14ac:dyDescent="0.25">
      <c r="A127" s="100"/>
      <c r="B127" s="113"/>
      <c r="C127" s="113"/>
      <c r="D127" s="81" t="s">
        <v>394</v>
      </c>
      <c r="E127" s="102">
        <f>E141+E144</f>
        <v>11403700</v>
      </c>
      <c r="F127" s="102">
        <f t="shared" ref="F127:P127" si="50">F141+F144</f>
        <v>11403700</v>
      </c>
      <c r="G127" s="102">
        <f t="shared" si="50"/>
        <v>0</v>
      </c>
      <c r="H127" s="102">
        <f t="shared" si="50"/>
        <v>0</v>
      </c>
      <c r="I127" s="102">
        <f t="shared" si="50"/>
        <v>0</v>
      </c>
      <c r="J127" s="102">
        <f t="shared" si="50"/>
        <v>0</v>
      </c>
      <c r="K127" s="102">
        <f>K141+K144</f>
        <v>0</v>
      </c>
      <c r="L127" s="102">
        <f t="shared" si="50"/>
        <v>0</v>
      </c>
      <c r="M127" s="102">
        <f t="shared" si="50"/>
        <v>0</v>
      </c>
      <c r="N127" s="102">
        <f t="shared" si="50"/>
        <v>0</v>
      </c>
      <c r="O127" s="102">
        <f t="shared" si="50"/>
        <v>0</v>
      </c>
      <c r="P127" s="102">
        <f t="shared" si="50"/>
        <v>11403700</v>
      </c>
      <c r="Q127" s="188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</row>
    <row r="128" spans="1:527" s="34" customFormat="1" ht="49.5" customHeight="1" x14ac:dyDescent="0.25">
      <c r="A128" s="100"/>
      <c r="B128" s="113"/>
      <c r="C128" s="113"/>
      <c r="D128" s="81" t="s">
        <v>569</v>
      </c>
      <c r="E128" s="102">
        <f>E150</f>
        <v>0</v>
      </c>
      <c r="F128" s="102">
        <f t="shared" ref="F128:P128" si="51">F150</f>
        <v>0</v>
      </c>
      <c r="G128" s="102">
        <f t="shared" si="51"/>
        <v>0</v>
      </c>
      <c r="H128" s="102">
        <f t="shared" si="51"/>
        <v>0</v>
      </c>
      <c r="I128" s="102">
        <f t="shared" si="51"/>
        <v>0</v>
      </c>
      <c r="J128" s="102">
        <f t="shared" si="51"/>
        <v>156000</v>
      </c>
      <c r="K128" s="102">
        <f t="shared" si="51"/>
        <v>156000</v>
      </c>
      <c r="L128" s="102">
        <f t="shared" si="51"/>
        <v>0</v>
      </c>
      <c r="M128" s="102">
        <f t="shared" si="51"/>
        <v>0</v>
      </c>
      <c r="N128" s="102">
        <f t="shared" si="51"/>
        <v>0</v>
      </c>
      <c r="O128" s="102">
        <f t="shared" si="51"/>
        <v>156000</v>
      </c>
      <c r="P128" s="102">
        <f t="shared" si="51"/>
        <v>156000</v>
      </c>
      <c r="Q128" s="188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15.75" x14ac:dyDescent="0.25">
      <c r="A129" s="100"/>
      <c r="B129" s="113"/>
      <c r="C129" s="113"/>
      <c r="D129" s="87" t="s">
        <v>421</v>
      </c>
      <c r="E129" s="102">
        <f>E152</f>
        <v>0</v>
      </c>
      <c r="F129" s="102">
        <f t="shared" ref="F129:P129" si="52">F152</f>
        <v>0</v>
      </c>
      <c r="G129" s="102">
        <f t="shared" si="52"/>
        <v>0</v>
      </c>
      <c r="H129" s="102">
        <f t="shared" si="52"/>
        <v>0</v>
      </c>
      <c r="I129" s="102">
        <f t="shared" si="52"/>
        <v>0</v>
      </c>
      <c r="J129" s="102">
        <f t="shared" si="52"/>
        <v>4662070.12</v>
      </c>
      <c r="K129" s="102">
        <f t="shared" si="52"/>
        <v>4662070.12</v>
      </c>
      <c r="L129" s="102">
        <f t="shared" si="52"/>
        <v>0</v>
      </c>
      <c r="M129" s="102">
        <f t="shared" si="52"/>
        <v>0</v>
      </c>
      <c r="N129" s="102">
        <f t="shared" si="52"/>
        <v>0</v>
      </c>
      <c r="O129" s="102">
        <f t="shared" si="52"/>
        <v>4662070.12</v>
      </c>
      <c r="P129" s="102">
        <f t="shared" si="52"/>
        <v>4662070.12</v>
      </c>
      <c r="Q129" s="188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22" customFormat="1" ht="48" customHeight="1" x14ac:dyDescent="0.25">
      <c r="A130" s="60" t="s">
        <v>173</v>
      </c>
      <c r="B130" s="97" t="str">
        <f>'дод 5'!A20</f>
        <v>0160</v>
      </c>
      <c r="C130" s="97" t="str">
        <f>'дод 5'!B20</f>
        <v>0111</v>
      </c>
      <c r="D130" s="36" t="s">
        <v>503</v>
      </c>
      <c r="E130" s="103">
        <f t="shared" ref="E130:E154" si="53">F130+I130</f>
        <v>2555884</v>
      </c>
      <c r="F130" s="103">
        <f>2547700+2500+5684</f>
        <v>2555884</v>
      </c>
      <c r="G130" s="103">
        <v>1956200</v>
      </c>
      <c r="H130" s="103">
        <f>29900+5684</f>
        <v>35584</v>
      </c>
      <c r="I130" s="103"/>
      <c r="J130" s="103">
        <f>L130+O130</f>
        <v>600000</v>
      </c>
      <c r="K130" s="103">
        <v>600000</v>
      </c>
      <c r="L130" s="103"/>
      <c r="M130" s="103"/>
      <c r="N130" s="103"/>
      <c r="O130" s="103">
        <v>600000</v>
      </c>
      <c r="P130" s="103">
        <f t="shared" ref="P130:P154" si="54">E130+J130</f>
        <v>3155884</v>
      </c>
      <c r="Q130" s="188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  <c r="TF130" s="23"/>
      <c r="TG130" s="23"/>
    </row>
    <row r="131" spans="1:527" s="22" customFormat="1" ht="33" customHeight="1" x14ac:dyDescent="0.25">
      <c r="A131" s="60" t="s">
        <v>174</v>
      </c>
      <c r="B131" s="97" t="str">
        <f>'дод 5'!A80</f>
        <v>2010</v>
      </c>
      <c r="C131" s="97" t="str">
        <f>'дод 5'!B80</f>
        <v>0731</v>
      </c>
      <c r="D131" s="6" t="s">
        <v>467</v>
      </c>
      <c r="E131" s="103">
        <f t="shared" si="53"/>
        <v>39300311.399999999</v>
      </c>
      <c r="F131" s="103">
        <f>34393521+55800+234000+7000-234000+813950+4030040.4</f>
        <v>39300311.399999999</v>
      </c>
      <c r="G131" s="103"/>
      <c r="H131" s="103"/>
      <c r="I131" s="117"/>
      <c r="J131" s="103">
        <f t="shared" ref="J131:J154" si="55">L131+O131</f>
        <v>38830682.82</v>
      </c>
      <c r="K131" s="103">
        <f>38610682.82-175339+175339+220000</f>
        <v>38830682.82</v>
      </c>
      <c r="L131" s="103"/>
      <c r="M131" s="103"/>
      <c r="N131" s="103"/>
      <c r="O131" s="103">
        <f>38610682.82-175339+175339+220000</f>
        <v>38830682.82</v>
      </c>
      <c r="P131" s="103">
        <f t="shared" si="54"/>
        <v>78130994.219999999</v>
      </c>
      <c r="Q131" s="188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N131" s="23"/>
      <c r="MO131" s="23"/>
      <c r="MP131" s="23"/>
      <c r="MQ131" s="23"/>
      <c r="MR131" s="23"/>
      <c r="MS131" s="23"/>
      <c r="MT131" s="23"/>
      <c r="MU131" s="23"/>
      <c r="MV131" s="23"/>
      <c r="MW131" s="23"/>
      <c r="MX131" s="23"/>
      <c r="MY131" s="23"/>
      <c r="MZ131" s="23"/>
      <c r="NA131" s="23"/>
      <c r="NB131" s="23"/>
      <c r="NC131" s="23"/>
      <c r="ND131" s="23"/>
      <c r="NE131" s="23"/>
      <c r="NF131" s="23"/>
      <c r="NG131" s="23"/>
      <c r="NH131" s="23"/>
      <c r="NI131" s="23"/>
      <c r="NJ131" s="23"/>
      <c r="NK131" s="23"/>
      <c r="NL131" s="23"/>
      <c r="NM131" s="23"/>
      <c r="NN131" s="23"/>
      <c r="NO131" s="23"/>
      <c r="NP131" s="23"/>
      <c r="NQ131" s="23"/>
      <c r="NR131" s="23"/>
      <c r="NS131" s="23"/>
      <c r="NT131" s="23"/>
      <c r="NU131" s="23"/>
      <c r="NV131" s="23"/>
      <c r="NW131" s="23"/>
      <c r="NX131" s="23"/>
      <c r="NY131" s="23"/>
      <c r="NZ131" s="23"/>
      <c r="OA131" s="23"/>
      <c r="OB131" s="23"/>
      <c r="OC131" s="23"/>
      <c r="OD131" s="23"/>
      <c r="OE131" s="23"/>
      <c r="OF131" s="23"/>
      <c r="OG131" s="23"/>
      <c r="OH131" s="23"/>
      <c r="OI131" s="23"/>
      <c r="OJ131" s="23"/>
      <c r="OK131" s="23"/>
      <c r="OL131" s="23"/>
      <c r="OM131" s="23"/>
      <c r="ON131" s="23"/>
      <c r="OO131" s="23"/>
      <c r="OP131" s="23"/>
      <c r="OQ131" s="23"/>
      <c r="OR131" s="23"/>
      <c r="OS131" s="23"/>
      <c r="OT131" s="23"/>
      <c r="OU131" s="23"/>
      <c r="OV131" s="23"/>
      <c r="OW131" s="23"/>
      <c r="OX131" s="23"/>
      <c r="OY131" s="23"/>
      <c r="OZ131" s="23"/>
      <c r="PA131" s="23"/>
      <c r="PB131" s="23"/>
      <c r="PC131" s="23"/>
      <c r="PD131" s="23"/>
      <c r="PE131" s="23"/>
      <c r="PF131" s="23"/>
      <c r="PG131" s="23"/>
      <c r="PH131" s="23"/>
      <c r="PI131" s="23"/>
      <c r="PJ131" s="23"/>
      <c r="PK131" s="23"/>
      <c r="PL131" s="23"/>
      <c r="PM131" s="23"/>
      <c r="PN131" s="23"/>
      <c r="PO131" s="23"/>
      <c r="PP131" s="23"/>
      <c r="PQ131" s="23"/>
      <c r="PR131" s="23"/>
      <c r="PS131" s="23"/>
      <c r="PT131" s="23"/>
      <c r="PU131" s="23"/>
      <c r="PV131" s="23"/>
      <c r="PW131" s="23"/>
      <c r="PX131" s="23"/>
      <c r="PY131" s="23"/>
      <c r="PZ131" s="23"/>
      <c r="QA131" s="23"/>
      <c r="QB131" s="23"/>
      <c r="QC131" s="23"/>
      <c r="QD131" s="23"/>
      <c r="QE131" s="23"/>
      <c r="QF131" s="23"/>
      <c r="QG131" s="23"/>
      <c r="QH131" s="23"/>
      <c r="QI131" s="23"/>
      <c r="QJ131" s="23"/>
      <c r="QK131" s="23"/>
      <c r="QL131" s="23"/>
      <c r="QM131" s="23"/>
      <c r="QN131" s="23"/>
      <c r="QO131" s="23"/>
      <c r="QP131" s="23"/>
      <c r="QQ131" s="23"/>
      <c r="QR131" s="23"/>
      <c r="QS131" s="23"/>
      <c r="QT131" s="23"/>
      <c r="QU131" s="23"/>
      <c r="QV131" s="23"/>
      <c r="QW131" s="23"/>
      <c r="QX131" s="23"/>
      <c r="QY131" s="23"/>
      <c r="QZ131" s="23"/>
      <c r="RA131" s="23"/>
      <c r="RB131" s="23"/>
      <c r="RC131" s="23"/>
      <c r="RD131" s="23"/>
      <c r="RE131" s="23"/>
      <c r="RF131" s="23"/>
      <c r="RG131" s="23"/>
      <c r="RH131" s="23"/>
      <c r="RI131" s="23"/>
      <c r="RJ131" s="23"/>
      <c r="RK131" s="23"/>
      <c r="RL131" s="23"/>
      <c r="RM131" s="23"/>
      <c r="RN131" s="23"/>
      <c r="RO131" s="23"/>
      <c r="RP131" s="23"/>
      <c r="RQ131" s="23"/>
      <c r="RR131" s="23"/>
      <c r="RS131" s="23"/>
      <c r="RT131" s="23"/>
      <c r="RU131" s="23"/>
      <c r="RV131" s="23"/>
      <c r="RW131" s="23"/>
      <c r="RX131" s="23"/>
      <c r="RY131" s="23"/>
      <c r="RZ131" s="23"/>
      <c r="SA131" s="23"/>
      <c r="SB131" s="23"/>
      <c r="SC131" s="23"/>
      <c r="SD131" s="23"/>
      <c r="SE131" s="23"/>
      <c r="SF131" s="23"/>
      <c r="SG131" s="23"/>
      <c r="SH131" s="23"/>
      <c r="SI131" s="23"/>
      <c r="SJ131" s="23"/>
      <c r="SK131" s="23"/>
      <c r="SL131" s="23"/>
      <c r="SM131" s="23"/>
      <c r="SN131" s="23"/>
      <c r="SO131" s="23"/>
      <c r="SP131" s="23"/>
      <c r="SQ131" s="23"/>
      <c r="SR131" s="23"/>
      <c r="SS131" s="23"/>
      <c r="ST131" s="23"/>
      <c r="SU131" s="23"/>
      <c r="SV131" s="23"/>
      <c r="SW131" s="23"/>
      <c r="SX131" s="23"/>
      <c r="SY131" s="23"/>
      <c r="SZ131" s="23"/>
      <c r="TA131" s="23"/>
      <c r="TB131" s="23"/>
      <c r="TC131" s="23"/>
      <c r="TD131" s="23"/>
      <c r="TE131" s="23"/>
      <c r="TF131" s="23"/>
      <c r="TG131" s="23"/>
    </row>
    <row r="132" spans="1:527" s="24" customFormat="1" ht="30" hidden="1" customHeight="1" x14ac:dyDescent="0.25">
      <c r="A132" s="88"/>
      <c r="B132" s="115"/>
      <c r="C132" s="115"/>
      <c r="D132" s="91" t="s">
        <v>392</v>
      </c>
      <c r="E132" s="105">
        <f t="shared" si="53"/>
        <v>0</v>
      </c>
      <c r="F132" s="105"/>
      <c r="G132" s="105"/>
      <c r="H132" s="105"/>
      <c r="I132" s="118"/>
      <c r="J132" s="105">
        <f t="shared" si="55"/>
        <v>0</v>
      </c>
      <c r="K132" s="105"/>
      <c r="L132" s="105"/>
      <c r="M132" s="105"/>
      <c r="N132" s="105"/>
      <c r="O132" s="105"/>
      <c r="P132" s="105">
        <f t="shared" si="54"/>
        <v>0</v>
      </c>
      <c r="Q132" s="188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  <c r="TF132" s="30"/>
      <c r="TG132" s="30"/>
    </row>
    <row r="133" spans="1:527" s="24" customFormat="1" ht="45" hidden="1" customHeight="1" x14ac:dyDescent="0.25">
      <c r="A133" s="88"/>
      <c r="B133" s="115"/>
      <c r="C133" s="115"/>
      <c r="D133" s="91" t="s">
        <v>393</v>
      </c>
      <c r="E133" s="105">
        <f t="shared" si="53"/>
        <v>0</v>
      </c>
      <c r="F133" s="105"/>
      <c r="G133" s="105"/>
      <c r="H133" s="105"/>
      <c r="I133" s="105"/>
      <c r="J133" s="105">
        <f t="shared" si="55"/>
        <v>0</v>
      </c>
      <c r="K133" s="105"/>
      <c r="L133" s="105"/>
      <c r="M133" s="105"/>
      <c r="N133" s="105"/>
      <c r="O133" s="105"/>
      <c r="P133" s="105">
        <f t="shared" si="54"/>
        <v>0</v>
      </c>
      <c r="Q133" s="188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  <c r="TF133" s="30"/>
      <c r="TG133" s="30"/>
    </row>
    <row r="134" spans="1:527" s="24" customFormat="1" ht="15" hidden="1" customHeight="1" x14ac:dyDescent="0.25">
      <c r="A134" s="88"/>
      <c r="B134" s="115"/>
      <c r="C134" s="115"/>
      <c r="D134" s="91" t="s">
        <v>395</v>
      </c>
      <c r="E134" s="105">
        <f t="shared" si="53"/>
        <v>0</v>
      </c>
      <c r="F134" s="105"/>
      <c r="G134" s="105"/>
      <c r="H134" s="105"/>
      <c r="I134" s="118"/>
      <c r="J134" s="105">
        <f t="shared" si="55"/>
        <v>0</v>
      </c>
      <c r="K134" s="105"/>
      <c r="L134" s="105"/>
      <c r="M134" s="105"/>
      <c r="N134" s="105"/>
      <c r="O134" s="105"/>
      <c r="P134" s="105">
        <f t="shared" si="54"/>
        <v>0</v>
      </c>
      <c r="Q134" s="188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  <c r="TF134" s="30"/>
      <c r="TG134" s="30"/>
    </row>
    <row r="135" spans="1:527" s="22" customFormat="1" ht="31.5" x14ac:dyDescent="0.25">
      <c r="A135" s="60" t="s">
        <v>450</v>
      </c>
      <c r="B135" s="97">
        <v>2020</v>
      </c>
      <c r="C135" s="60" t="s">
        <v>451</v>
      </c>
      <c r="D135" s="61" t="str">
        <f>'дод 5'!C84</f>
        <v xml:space="preserve"> Спеціалізована стаціонарна медична допомога населенню</v>
      </c>
      <c r="E135" s="103">
        <f t="shared" si="53"/>
        <v>90000</v>
      </c>
      <c r="F135" s="103">
        <v>90000</v>
      </c>
      <c r="G135" s="117"/>
      <c r="H135" s="117"/>
      <c r="I135" s="117"/>
      <c r="J135" s="103">
        <f t="shared" si="55"/>
        <v>0</v>
      </c>
      <c r="K135" s="103"/>
      <c r="L135" s="103"/>
      <c r="M135" s="103"/>
      <c r="N135" s="103"/>
      <c r="O135" s="103"/>
      <c r="P135" s="103">
        <f t="shared" si="54"/>
        <v>90000</v>
      </c>
      <c r="Q135" s="188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N135" s="23"/>
      <c r="MO135" s="23"/>
      <c r="MP135" s="23"/>
      <c r="MQ135" s="23"/>
      <c r="MR135" s="23"/>
      <c r="MS135" s="23"/>
      <c r="MT135" s="23"/>
      <c r="MU135" s="23"/>
      <c r="MV135" s="23"/>
      <c r="MW135" s="23"/>
      <c r="MX135" s="23"/>
      <c r="MY135" s="23"/>
      <c r="MZ135" s="23"/>
      <c r="NA135" s="23"/>
      <c r="NB135" s="23"/>
      <c r="NC135" s="23"/>
      <c r="ND135" s="23"/>
      <c r="NE135" s="23"/>
      <c r="NF135" s="23"/>
      <c r="NG135" s="23"/>
      <c r="NH135" s="23"/>
      <c r="NI135" s="23"/>
      <c r="NJ135" s="23"/>
      <c r="NK135" s="23"/>
      <c r="NL135" s="23"/>
      <c r="NM135" s="23"/>
      <c r="NN135" s="23"/>
      <c r="NO135" s="23"/>
      <c r="NP135" s="23"/>
      <c r="NQ135" s="23"/>
      <c r="NR135" s="23"/>
      <c r="NS135" s="23"/>
      <c r="NT135" s="23"/>
      <c r="NU135" s="23"/>
      <c r="NV135" s="23"/>
      <c r="NW135" s="23"/>
      <c r="NX135" s="23"/>
      <c r="NY135" s="23"/>
      <c r="NZ135" s="23"/>
      <c r="OA135" s="23"/>
      <c r="OB135" s="23"/>
      <c r="OC135" s="23"/>
      <c r="OD135" s="23"/>
      <c r="OE135" s="23"/>
      <c r="OF135" s="23"/>
      <c r="OG135" s="23"/>
      <c r="OH135" s="23"/>
      <c r="OI135" s="23"/>
      <c r="OJ135" s="23"/>
      <c r="OK135" s="23"/>
      <c r="OL135" s="23"/>
      <c r="OM135" s="23"/>
      <c r="ON135" s="23"/>
      <c r="OO135" s="23"/>
      <c r="OP135" s="23"/>
      <c r="OQ135" s="23"/>
      <c r="OR135" s="23"/>
      <c r="OS135" s="23"/>
      <c r="OT135" s="23"/>
      <c r="OU135" s="23"/>
      <c r="OV135" s="23"/>
      <c r="OW135" s="23"/>
      <c r="OX135" s="23"/>
      <c r="OY135" s="23"/>
      <c r="OZ135" s="23"/>
      <c r="PA135" s="23"/>
      <c r="PB135" s="23"/>
      <c r="PC135" s="23"/>
      <c r="PD135" s="23"/>
      <c r="PE135" s="23"/>
      <c r="PF135" s="23"/>
      <c r="PG135" s="23"/>
      <c r="PH135" s="23"/>
      <c r="PI135" s="23"/>
      <c r="PJ135" s="23"/>
      <c r="PK135" s="23"/>
      <c r="PL135" s="23"/>
      <c r="PM135" s="23"/>
      <c r="PN135" s="23"/>
      <c r="PO135" s="23"/>
      <c r="PP135" s="23"/>
      <c r="PQ135" s="23"/>
      <c r="PR135" s="23"/>
      <c r="PS135" s="23"/>
      <c r="PT135" s="23"/>
      <c r="PU135" s="23"/>
      <c r="PV135" s="23"/>
      <c r="PW135" s="23"/>
      <c r="PX135" s="23"/>
      <c r="PY135" s="23"/>
      <c r="PZ135" s="23"/>
      <c r="QA135" s="23"/>
      <c r="QB135" s="23"/>
      <c r="QC135" s="23"/>
      <c r="QD135" s="23"/>
      <c r="QE135" s="23"/>
      <c r="QF135" s="23"/>
      <c r="QG135" s="23"/>
      <c r="QH135" s="23"/>
      <c r="QI135" s="23"/>
      <c r="QJ135" s="23"/>
      <c r="QK135" s="23"/>
      <c r="QL135" s="23"/>
      <c r="QM135" s="23"/>
      <c r="QN135" s="23"/>
      <c r="QO135" s="23"/>
      <c r="QP135" s="23"/>
      <c r="QQ135" s="23"/>
      <c r="QR135" s="23"/>
      <c r="QS135" s="23"/>
      <c r="QT135" s="23"/>
      <c r="QU135" s="23"/>
      <c r="QV135" s="23"/>
      <c r="QW135" s="23"/>
      <c r="QX135" s="23"/>
      <c r="QY135" s="23"/>
      <c r="QZ135" s="23"/>
      <c r="RA135" s="23"/>
      <c r="RB135" s="23"/>
      <c r="RC135" s="23"/>
      <c r="RD135" s="23"/>
      <c r="RE135" s="23"/>
      <c r="RF135" s="23"/>
      <c r="RG135" s="23"/>
      <c r="RH135" s="23"/>
      <c r="RI135" s="23"/>
      <c r="RJ135" s="23"/>
      <c r="RK135" s="23"/>
      <c r="RL135" s="23"/>
      <c r="RM135" s="23"/>
      <c r="RN135" s="23"/>
      <c r="RO135" s="23"/>
      <c r="RP135" s="23"/>
      <c r="RQ135" s="23"/>
      <c r="RR135" s="23"/>
      <c r="RS135" s="23"/>
      <c r="RT135" s="23"/>
      <c r="RU135" s="23"/>
      <c r="RV135" s="23"/>
      <c r="RW135" s="23"/>
      <c r="RX135" s="23"/>
      <c r="RY135" s="23"/>
      <c r="RZ135" s="23"/>
      <c r="SA135" s="23"/>
      <c r="SB135" s="23"/>
      <c r="SC135" s="23"/>
      <c r="SD135" s="23"/>
      <c r="SE135" s="23"/>
      <c r="SF135" s="23"/>
      <c r="SG135" s="23"/>
      <c r="SH135" s="23"/>
      <c r="SI135" s="23"/>
      <c r="SJ135" s="23"/>
      <c r="SK135" s="23"/>
      <c r="SL135" s="23"/>
      <c r="SM135" s="23"/>
      <c r="SN135" s="23"/>
      <c r="SO135" s="23"/>
      <c r="SP135" s="23"/>
      <c r="SQ135" s="23"/>
      <c r="SR135" s="23"/>
      <c r="SS135" s="23"/>
      <c r="ST135" s="23"/>
      <c r="SU135" s="23"/>
      <c r="SV135" s="23"/>
      <c r="SW135" s="23"/>
      <c r="SX135" s="23"/>
      <c r="SY135" s="23"/>
      <c r="SZ135" s="23"/>
      <c r="TA135" s="23"/>
      <c r="TB135" s="23"/>
      <c r="TC135" s="23"/>
      <c r="TD135" s="23"/>
      <c r="TE135" s="23"/>
      <c r="TF135" s="23"/>
      <c r="TG135" s="23"/>
    </row>
    <row r="136" spans="1:527" s="22" customFormat="1" ht="36.75" customHeight="1" x14ac:dyDescent="0.25">
      <c r="A136" s="60" t="s">
        <v>179</v>
      </c>
      <c r="B136" s="97" t="str">
        <f>'дод 5'!A85</f>
        <v>2030</v>
      </c>
      <c r="C136" s="97" t="str">
        <f>'дод 5'!B85</f>
        <v>0733</v>
      </c>
      <c r="D136" s="61" t="s">
        <v>468</v>
      </c>
      <c r="E136" s="103">
        <f t="shared" si="53"/>
        <v>3742159</v>
      </c>
      <c r="F136" s="103">
        <f>3317600+424559</f>
        <v>3742159</v>
      </c>
      <c r="G136" s="119"/>
      <c r="H136" s="119"/>
      <c r="I136" s="117"/>
      <c r="J136" s="103">
        <f t="shared" si="55"/>
        <v>5100000</v>
      </c>
      <c r="K136" s="103">
        <v>5100000</v>
      </c>
      <c r="L136" s="103"/>
      <c r="M136" s="103"/>
      <c r="N136" s="103"/>
      <c r="O136" s="103">
        <v>5100000</v>
      </c>
      <c r="P136" s="103">
        <f t="shared" si="54"/>
        <v>8842159</v>
      </c>
      <c r="Q136" s="188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</row>
    <row r="137" spans="1:527" s="24" customFormat="1" ht="30" hidden="1" customHeight="1" x14ac:dyDescent="0.25">
      <c r="A137" s="88"/>
      <c r="B137" s="115"/>
      <c r="C137" s="115"/>
      <c r="D137" s="91" t="s">
        <v>392</v>
      </c>
      <c r="E137" s="105">
        <f t="shared" si="53"/>
        <v>0</v>
      </c>
      <c r="F137" s="105"/>
      <c r="G137" s="118"/>
      <c r="H137" s="118"/>
      <c r="I137" s="118"/>
      <c r="J137" s="105"/>
      <c r="K137" s="105"/>
      <c r="L137" s="105"/>
      <c r="M137" s="105"/>
      <c r="N137" s="105"/>
      <c r="O137" s="105"/>
      <c r="P137" s="105">
        <f t="shared" si="54"/>
        <v>0</v>
      </c>
      <c r="Q137" s="188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  <c r="SO137" s="30"/>
      <c r="SP137" s="30"/>
      <c r="SQ137" s="30"/>
      <c r="SR137" s="30"/>
      <c r="SS137" s="30"/>
      <c r="ST137" s="30"/>
      <c r="SU137" s="30"/>
      <c r="SV137" s="30"/>
      <c r="SW137" s="30"/>
      <c r="SX137" s="30"/>
      <c r="SY137" s="30"/>
      <c r="SZ137" s="30"/>
      <c r="TA137" s="30"/>
      <c r="TB137" s="30"/>
      <c r="TC137" s="30"/>
      <c r="TD137" s="30"/>
      <c r="TE137" s="30"/>
      <c r="TF137" s="30"/>
      <c r="TG137" s="30"/>
    </row>
    <row r="138" spans="1:527" s="22" customFormat="1" ht="24" customHeight="1" x14ac:dyDescent="0.25">
      <c r="A138" s="60" t="s">
        <v>178</v>
      </c>
      <c r="B138" s="97" t="str">
        <f>'дод 5'!A87</f>
        <v>2100</v>
      </c>
      <c r="C138" s="97" t="str">
        <f>'дод 5'!B87</f>
        <v>0722</v>
      </c>
      <c r="D138" s="61" t="str">
        <f>'дод 5'!C87</f>
        <v>Стоматологічна допомога населенню</v>
      </c>
      <c r="E138" s="103">
        <f t="shared" si="53"/>
        <v>7683806</v>
      </c>
      <c r="F138" s="103">
        <f>7602100+81706</f>
        <v>7683806</v>
      </c>
      <c r="G138" s="119"/>
      <c r="H138" s="119"/>
      <c r="I138" s="117"/>
      <c r="J138" s="103">
        <f t="shared" si="55"/>
        <v>0</v>
      </c>
      <c r="K138" s="103"/>
      <c r="L138" s="103"/>
      <c r="M138" s="103"/>
      <c r="N138" s="103"/>
      <c r="O138" s="103"/>
      <c r="P138" s="103">
        <f t="shared" si="54"/>
        <v>7683806</v>
      </c>
      <c r="Q138" s="188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4" customFormat="1" ht="30" hidden="1" customHeight="1" x14ac:dyDescent="0.25">
      <c r="A139" s="88"/>
      <c r="B139" s="115"/>
      <c r="C139" s="115"/>
      <c r="D139" s="91" t="s">
        <v>392</v>
      </c>
      <c r="E139" s="105">
        <f t="shared" si="53"/>
        <v>0</v>
      </c>
      <c r="F139" s="105"/>
      <c r="G139" s="118"/>
      <c r="H139" s="118"/>
      <c r="I139" s="118"/>
      <c r="J139" s="105">
        <f t="shared" si="55"/>
        <v>0</v>
      </c>
      <c r="K139" s="105"/>
      <c r="L139" s="105"/>
      <c r="M139" s="105"/>
      <c r="N139" s="105"/>
      <c r="O139" s="105"/>
      <c r="P139" s="105">
        <f t="shared" si="54"/>
        <v>0</v>
      </c>
      <c r="Q139" s="188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2" customFormat="1" ht="48" customHeight="1" x14ac:dyDescent="0.25">
      <c r="A140" s="60" t="s">
        <v>177</v>
      </c>
      <c r="B140" s="97" t="str">
        <f>'дод 5'!A89</f>
        <v>2111</v>
      </c>
      <c r="C140" s="97" t="str">
        <f>'дод 5'!B89</f>
        <v>0726</v>
      </c>
      <c r="D140" s="61" t="str">
        <f>'дод 5'!C89</f>
        <v>Первинна медична допомога населенню, що надається центрами первинної медичної (медико-санітарної) допомоги</v>
      </c>
      <c r="E140" s="103">
        <f t="shared" si="53"/>
        <v>2944631</v>
      </c>
      <c r="F140" s="103">
        <f>2736000-55800+264431</f>
        <v>2944631</v>
      </c>
      <c r="G140" s="117"/>
      <c r="H140" s="119"/>
      <c r="I140" s="117"/>
      <c r="J140" s="103">
        <f t="shared" si="55"/>
        <v>0</v>
      </c>
      <c r="K140" s="103"/>
      <c r="L140" s="103"/>
      <c r="M140" s="103"/>
      <c r="N140" s="103"/>
      <c r="O140" s="103"/>
      <c r="P140" s="103">
        <f t="shared" si="54"/>
        <v>2944631</v>
      </c>
      <c r="Q140" s="188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</row>
    <row r="141" spans="1:527" s="24" customFormat="1" ht="63" hidden="1" customHeight="1" x14ac:dyDescent="0.25">
      <c r="A141" s="88"/>
      <c r="B141" s="115"/>
      <c r="C141" s="115"/>
      <c r="D141" s="89" t="s">
        <v>394</v>
      </c>
      <c r="E141" s="105">
        <f t="shared" si="53"/>
        <v>0</v>
      </c>
      <c r="F141" s="105"/>
      <c r="G141" s="118"/>
      <c r="H141" s="118"/>
      <c r="I141" s="118"/>
      <c r="J141" s="105">
        <f t="shared" si="55"/>
        <v>0</v>
      </c>
      <c r="K141" s="105"/>
      <c r="L141" s="105"/>
      <c r="M141" s="105"/>
      <c r="N141" s="105"/>
      <c r="O141" s="105"/>
      <c r="P141" s="105">
        <f t="shared" si="54"/>
        <v>0</v>
      </c>
      <c r="Q141" s="188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</row>
    <row r="142" spans="1:527" s="22" customFormat="1" ht="31.5" x14ac:dyDescent="0.25">
      <c r="A142" s="60" t="s">
        <v>176</v>
      </c>
      <c r="B142" s="97">
        <f>'дод 5'!A91</f>
        <v>2144</v>
      </c>
      <c r="C142" s="97" t="str">
        <f>'дод 5'!B91</f>
        <v>0763</v>
      </c>
      <c r="D142" s="129" t="str">
        <f>'дод 5'!C91</f>
        <v>Централізовані заходи з лікування хворих на цукровий та нецукровий діабет, у т.ч. за рахунок:</v>
      </c>
      <c r="E142" s="103">
        <f t="shared" si="53"/>
        <v>11403700</v>
      </c>
      <c r="F142" s="103">
        <f>7670800+3732900</f>
        <v>11403700</v>
      </c>
      <c r="G142" s="117"/>
      <c r="H142" s="117"/>
      <c r="I142" s="117"/>
      <c r="J142" s="103">
        <f t="shared" si="55"/>
        <v>0</v>
      </c>
      <c r="K142" s="103"/>
      <c r="L142" s="103"/>
      <c r="M142" s="103"/>
      <c r="N142" s="103"/>
      <c r="O142" s="103"/>
      <c r="P142" s="103">
        <f t="shared" si="54"/>
        <v>11403700</v>
      </c>
      <c r="Q142" s="188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</row>
    <row r="143" spans="1:527" s="24" customFormat="1" ht="47.25" hidden="1" customHeight="1" x14ac:dyDescent="0.25">
      <c r="A143" s="88"/>
      <c r="B143" s="115"/>
      <c r="C143" s="115"/>
      <c r="D143" s="130" t="s">
        <v>393</v>
      </c>
      <c r="E143" s="105">
        <f t="shared" si="53"/>
        <v>0</v>
      </c>
      <c r="F143" s="105"/>
      <c r="G143" s="105"/>
      <c r="H143" s="105"/>
      <c r="I143" s="105"/>
      <c r="J143" s="105">
        <f t="shared" si="55"/>
        <v>0</v>
      </c>
      <c r="K143" s="105"/>
      <c r="L143" s="105"/>
      <c r="M143" s="105"/>
      <c r="N143" s="105"/>
      <c r="O143" s="105"/>
      <c r="P143" s="105">
        <f t="shared" si="54"/>
        <v>0</v>
      </c>
      <c r="Q143" s="164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  <c r="SQ143" s="30"/>
      <c r="SR143" s="30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  <c r="TF143" s="30"/>
      <c r="TG143" s="30"/>
    </row>
    <row r="144" spans="1:527" s="24" customFormat="1" ht="63" x14ac:dyDescent="0.25">
      <c r="A144" s="88"/>
      <c r="B144" s="115"/>
      <c r="C144" s="115"/>
      <c r="D144" s="130" t="s">
        <v>394</v>
      </c>
      <c r="E144" s="105">
        <f t="shared" si="53"/>
        <v>11403700</v>
      </c>
      <c r="F144" s="105">
        <f>7670800+3732900</f>
        <v>11403700</v>
      </c>
      <c r="G144" s="118"/>
      <c r="H144" s="118"/>
      <c r="I144" s="118"/>
      <c r="J144" s="105">
        <f t="shared" si="55"/>
        <v>0</v>
      </c>
      <c r="K144" s="105"/>
      <c r="L144" s="105"/>
      <c r="M144" s="105"/>
      <c r="N144" s="105"/>
      <c r="O144" s="105"/>
      <c r="P144" s="105">
        <f t="shared" si="54"/>
        <v>11403700</v>
      </c>
      <c r="Q144" s="188">
        <v>10</v>
      </c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</row>
    <row r="145" spans="1:527" s="22" customFormat="1" ht="30" customHeight="1" x14ac:dyDescent="0.25">
      <c r="A145" s="60" t="s">
        <v>327</v>
      </c>
      <c r="B145" s="42" t="str">
        <f>'дод 5'!A94</f>
        <v>2151</v>
      </c>
      <c r="C145" s="42" t="str">
        <f>'дод 5'!B94</f>
        <v>0763</v>
      </c>
      <c r="D145" s="61" t="str">
        <f>'дод 5'!C94</f>
        <v>Забезпечення діяльності інших закладів у сфері охорони здоров’я</v>
      </c>
      <c r="E145" s="103">
        <f t="shared" si="53"/>
        <v>3062384</v>
      </c>
      <c r="F145" s="103">
        <f>3049300+13084</f>
        <v>3062384</v>
      </c>
      <c r="G145" s="119">
        <v>2387600</v>
      </c>
      <c r="H145" s="119">
        <f>48700+13084</f>
        <v>61784</v>
      </c>
      <c r="I145" s="117"/>
      <c r="J145" s="103">
        <f t="shared" si="55"/>
        <v>0</v>
      </c>
      <c r="K145" s="103"/>
      <c r="L145" s="103"/>
      <c r="M145" s="103"/>
      <c r="N145" s="103"/>
      <c r="O145" s="103"/>
      <c r="P145" s="103">
        <f t="shared" si="54"/>
        <v>3062384</v>
      </c>
      <c r="Q145" s="188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</row>
    <row r="146" spans="1:527" s="22" customFormat="1" ht="24.75" customHeight="1" x14ac:dyDescent="0.25">
      <c r="A146" s="60" t="s">
        <v>328</v>
      </c>
      <c r="B146" s="42" t="str">
        <f>'дод 5'!A95</f>
        <v>2152</v>
      </c>
      <c r="C146" s="42" t="str">
        <f>'дод 5'!B95</f>
        <v>0763</v>
      </c>
      <c r="D146" s="36" t="str">
        <f>'дод 5'!C95</f>
        <v>Інші програми та заходи у сфері охорони здоров’я</v>
      </c>
      <c r="E146" s="103">
        <f>F146+I146</f>
        <v>19853800</v>
      </c>
      <c r="F146" s="103">
        <f>19783800+70000</f>
        <v>19853800</v>
      </c>
      <c r="G146" s="103"/>
      <c r="H146" s="103"/>
      <c r="I146" s="103"/>
      <c r="J146" s="103">
        <f t="shared" si="55"/>
        <v>23031354</v>
      </c>
      <c r="K146" s="103">
        <f>19737500+2000000+793854+500000</f>
        <v>23031354</v>
      </c>
      <c r="L146" s="103"/>
      <c r="M146" s="103"/>
      <c r="N146" s="103"/>
      <c r="O146" s="103">
        <f>19737500+2000000+793854+500000</f>
        <v>23031354</v>
      </c>
      <c r="P146" s="103">
        <f t="shared" si="54"/>
        <v>42885154</v>
      </c>
      <c r="Q146" s="188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</row>
    <row r="147" spans="1:527" s="22" customFormat="1" ht="24.75" customHeight="1" x14ac:dyDescent="0.25">
      <c r="A147" s="60" t="s">
        <v>418</v>
      </c>
      <c r="B147" s="42">
        <v>7322</v>
      </c>
      <c r="C147" s="107" t="s">
        <v>113</v>
      </c>
      <c r="D147" s="6" t="s">
        <v>563</v>
      </c>
      <c r="E147" s="103">
        <f>F147+I147</f>
        <v>0</v>
      </c>
      <c r="F147" s="103"/>
      <c r="G147" s="103"/>
      <c r="H147" s="103"/>
      <c r="I147" s="103"/>
      <c r="J147" s="103">
        <f t="shared" si="55"/>
        <v>30933372</v>
      </c>
      <c r="K147" s="103">
        <f>20000000+378711+1600000+3000000+1000000+1024661+1150000-58661+200000+180000+58661+2400000+2201745.9-2201745.9</f>
        <v>30933372</v>
      </c>
      <c r="L147" s="103"/>
      <c r="M147" s="103"/>
      <c r="N147" s="103"/>
      <c r="O147" s="103">
        <f>20000000+378711+1600000+3000000+1000000+1024661+1150000-58661+200000+180000+58661+2400000+2201745.9-2201745.9</f>
        <v>30933372</v>
      </c>
      <c r="P147" s="103">
        <f t="shared" si="54"/>
        <v>30933372</v>
      </c>
      <c r="Q147" s="18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</row>
    <row r="148" spans="1:527" s="22" customFormat="1" ht="47.25" x14ac:dyDescent="0.25">
      <c r="A148" s="60" t="s">
        <v>375</v>
      </c>
      <c r="B148" s="42">
        <f>'дод 5'!A180</f>
        <v>7361</v>
      </c>
      <c r="C148" s="42" t="str">
        <f>'дод 5'!B180</f>
        <v>0490</v>
      </c>
      <c r="D148" s="36" t="str">
        <f>'дод 5'!C180</f>
        <v>Співфінансування інвестиційних проектів, що реалізуються за рахунок коштів державного фонду регіонального розвитку</v>
      </c>
      <c r="E148" s="103">
        <f t="shared" si="53"/>
        <v>0</v>
      </c>
      <c r="F148" s="103"/>
      <c r="G148" s="103"/>
      <c r="H148" s="103"/>
      <c r="I148" s="103"/>
      <c r="J148" s="103">
        <f t="shared" si="55"/>
        <v>4289000</v>
      </c>
      <c r="K148" s="103">
        <f>2289000+2000000</f>
        <v>4289000</v>
      </c>
      <c r="L148" s="103"/>
      <c r="M148" s="103"/>
      <c r="N148" s="103"/>
      <c r="O148" s="103">
        <f>2289000+2000000</f>
        <v>4289000</v>
      </c>
      <c r="P148" s="103">
        <f t="shared" si="54"/>
        <v>4289000</v>
      </c>
      <c r="Q148" s="188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</row>
    <row r="149" spans="1:527" s="22" customFormat="1" ht="47.25" x14ac:dyDescent="0.25">
      <c r="A149" s="60" t="s">
        <v>425</v>
      </c>
      <c r="B149" s="42">
        <v>7363</v>
      </c>
      <c r="C149" s="107" t="s">
        <v>84</v>
      </c>
      <c r="D149" s="61" t="s">
        <v>400</v>
      </c>
      <c r="E149" s="103">
        <f t="shared" si="53"/>
        <v>0</v>
      </c>
      <c r="F149" s="103"/>
      <c r="G149" s="103"/>
      <c r="H149" s="103"/>
      <c r="I149" s="103"/>
      <c r="J149" s="103">
        <f t="shared" si="55"/>
        <v>156000</v>
      </c>
      <c r="K149" s="103">
        <v>156000</v>
      </c>
      <c r="L149" s="103"/>
      <c r="M149" s="103"/>
      <c r="N149" s="103"/>
      <c r="O149" s="103">
        <v>156000</v>
      </c>
      <c r="P149" s="103">
        <f t="shared" si="54"/>
        <v>156000</v>
      </c>
      <c r="Q149" s="188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  <c r="TF149" s="23"/>
      <c r="TG149" s="23"/>
    </row>
    <row r="150" spans="1:527" s="22" customFormat="1" ht="47.25" x14ac:dyDescent="0.25">
      <c r="A150" s="60"/>
      <c r="B150" s="42"/>
      <c r="C150" s="42"/>
      <c r="D150" s="91" t="s">
        <v>569</v>
      </c>
      <c r="E150" s="105">
        <f t="shared" si="53"/>
        <v>0</v>
      </c>
      <c r="F150" s="105"/>
      <c r="G150" s="105"/>
      <c r="H150" s="105"/>
      <c r="I150" s="105"/>
      <c r="J150" s="105">
        <f t="shared" si="55"/>
        <v>156000</v>
      </c>
      <c r="K150" s="105">
        <v>156000</v>
      </c>
      <c r="L150" s="105"/>
      <c r="M150" s="105"/>
      <c r="N150" s="105"/>
      <c r="O150" s="105">
        <v>156000</v>
      </c>
      <c r="P150" s="105">
        <f t="shared" si="54"/>
        <v>156000</v>
      </c>
      <c r="Q150" s="188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</row>
    <row r="151" spans="1:527" s="22" customFormat="1" ht="18.75" customHeight="1" x14ac:dyDescent="0.25">
      <c r="A151" s="60" t="s">
        <v>175</v>
      </c>
      <c r="B151" s="97" t="str">
        <f>'дод 5'!A203</f>
        <v>7640</v>
      </c>
      <c r="C151" s="97" t="str">
        <f>'дод 5'!B203</f>
        <v>0470</v>
      </c>
      <c r="D151" s="61" t="s">
        <v>420</v>
      </c>
      <c r="E151" s="103">
        <f t="shared" si="53"/>
        <v>121500</v>
      </c>
      <c r="F151" s="103">
        <v>121500</v>
      </c>
      <c r="G151" s="103"/>
      <c r="H151" s="103"/>
      <c r="I151" s="103"/>
      <c r="J151" s="103">
        <f t="shared" si="55"/>
        <v>10527570.120000001</v>
      </c>
      <c r="K151" s="103">
        <f>7336970+3190600.12</f>
        <v>10527570.120000001</v>
      </c>
      <c r="L151" s="103"/>
      <c r="M151" s="103"/>
      <c r="N151" s="103"/>
      <c r="O151" s="103">
        <f>7336970+3190600.12</f>
        <v>10527570.120000001</v>
      </c>
      <c r="P151" s="103">
        <f t="shared" si="54"/>
        <v>10649070.120000001</v>
      </c>
      <c r="Q151" s="188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</row>
    <row r="152" spans="1:527" s="24" customFormat="1" ht="15" customHeight="1" x14ac:dyDescent="0.25">
      <c r="A152" s="88"/>
      <c r="B152" s="115"/>
      <c r="C152" s="115"/>
      <c r="D152" s="89" t="s">
        <v>421</v>
      </c>
      <c r="E152" s="105">
        <f t="shared" si="53"/>
        <v>0</v>
      </c>
      <c r="F152" s="105"/>
      <c r="G152" s="105"/>
      <c r="H152" s="105"/>
      <c r="I152" s="105"/>
      <c r="J152" s="105">
        <f t="shared" si="55"/>
        <v>4662070.12</v>
      </c>
      <c r="K152" s="105">
        <f>1471470+3190600.12</f>
        <v>4662070.12</v>
      </c>
      <c r="L152" s="105"/>
      <c r="M152" s="105"/>
      <c r="N152" s="105"/>
      <c r="O152" s="105">
        <f>1471470+3190600.12</f>
        <v>4662070.12</v>
      </c>
      <c r="P152" s="105">
        <f t="shared" si="54"/>
        <v>4662070.12</v>
      </c>
      <c r="Q152" s="188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  <c r="TF152" s="30"/>
      <c r="TG152" s="30"/>
    </row>
    <row r="153" spans="1:527" s="22" customFormat="1" ht="45" hidden="1" customHeight="1" x14ac:dyDescent="0.25">
      <c r="A153" s="60" t="s">
        <v>363</v>
      </c>
      <c r="B153" s="97">
        <v>7700</v>
      </c>
      <c r="C153" s="60" t="s">
        <v>95</v>
      </c>
      <c r="D153" s="61" t="s">
        <v>364</v>
      </c>
      <c r="E153" s="103">
        <f t="shared" si="53"/>
        <v>0</v>
      </c>
      <c r="F153" s="103"/>
      <c r="G153" s="103"/>
      <c r="H153" s="103"/>
      <c r="I153" s="103"/>
      <c r="J153" s="103">
        <f t="shared" si="55"/>
        <v>0</v>
      </c>
      <c r="K153" s="103"/>
      <c r="L153" s="103"/>
      <c r="M153" s="103"/>
      <c r="N153" s="103"/>
      <c r="O153" s="103">
        <f>630000-630000</f>
        <v>0</v>
      </c>
      <c r="P153" s="103">
        <f t="shared" si="54"/>
        <v>0</v>
      </c>
      <c r="Q153" s="188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15.75" x14ac:dyDescent="0.25">
      <c r="A154" s="60" t="s">
        <v>435</v>
      </c>
      <c r="B154" s="97">
        <v>9770</v>
      </c>
      <c r="C154" s="60" t="s">
        <v>46</v>
      </c>
      <c r="D154" s="61" t="s">
        <v>436</v>
      </c>
      <c r="E154" s="103">
        <f t="shared" si="53"/>
        <v>0</v>
      </c>
      <c r="F154" s="103"/>
      <c r="G154" s="103"/>
      <c r="H154" s="103"/>
      <c r="I154" s="103"/>
      <c r="J154" s="103">
        <f t="shared" si="55"/>
        <v>18000111.600000001</v>
      </c>
      <c r="K154" s="103">
        <f>2000000+1000111.6+15000000</f>
        <v>18000111.600000001</v>
      </c>
      <c r="L154" s="103"/>
      <c r="M154" s="103"/>
      <c r="N154" s="103"/>
      <c r="O154" s="103">
        <f>2000000+1000111.6+15000000</f>
        <v>18000111.600000001</v>
      </c>
      <c r="P154" s="103">
        <f t="shared" si="54"/>
        <v>18000111.600000001</v>
      </c>
      <c r="Q154" s="188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7" customFormat="1" ht="36" customHeight="1" x14ac:dyDescent="0.25">
      <c r="A155" s="114" t="s">
        <v>180</v>
      </c>
      <c r="B155" s="116"/>
      <c r="C155" s="116"/>
      <c r="D155" s="111" t="s">
        <v>39</v>
      </c>
      <c r="E155" s="99">
        <f>E156</f>
        <v>201754752.35000002</v>
      </c>
      <c r="F155" s="99">
        <f t="shared" ref="F155:J155" si="56">F156</f>
        <v>201754752.35000002</v>
      </c>
      <c r="G155" s="99">
        <f t="shared" si="56"/>
        <v>60937100</v>
      </c>
      <c r="H155" s="99">
        <f t="shared" si="56"/>
        <v>1606689</v>
      </c>
      <c r="I155" s="99">
        <f t="shared" si="56"/>
        <v>0</v>
      </c>
      <c r="J155" s="99">
        <f t="shared" si="56"/>
        <v>2995024.05</v>
      </c>
      <c r="K155" s="99">
        <f t="shared" ref="K155" si="57">K156</f>
        <v>2898824.05</v>
      </c>
      <c r="L155" s="99">
        <f t="shared" ref="L155" si="58">L156</f>
        <v>96200</v>
      </c>
      <c r="M155" s="99">
        <f t="shared" ref="M155" si="59">M156</f>
        <v>75000</v>
      </c>
      <c r="N155" s="99">
        <f t="shared" ref="N155" si="60">N156</f>
        <v>0</v>
      </c>
      <c r="O155" s="99">
        <f t="shared" ref="O155:P155" si="61">O156</f>
        <v>2898824.05</v>
      </c>
      <c r="P155" s="99">
        <f t="shared" si="61"/>
        <v>204749776.40000004</v>
      </c>
      <c r="Q155" s="188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  <c r="IU155" s="32"/>
      <c r="IV155" s="32"/>
      <c r="IW155" s="32"/>
      <c r="IX155" s="32"/>
      <c r="IY155" s="32"/>
      <c r="IZ155" s="32"/>
      <c r="JA155" s="32"/>
      <c r="JB155" s="32"/>
      <c r="JC155" s="32"/>
      <c r="JD155" s="32"/>
      <c r="JE155" s="32"/>
      <c r="JF155" s="32"/>
      <c r="JG155" s="32"/>
      <c r="JH155" s="32"/>
      <c r="JI155" s="32"/>
      <c r="JJ155" s="32"/>
      <c r="JK155" s="32"/>
      <c r="JL155" s="32"/>
      <c r="JM155" s="32"/>
      <c r="JN155" s="32"/>
      <c r="JO155" s="32"/>
      <c r="JP155" s="32"/>
      <c r="JQ155" s="32"/>
      <c r="JR155" s="32"/>
      <c r="JS155" s="32"/>
      <c r="JT155" s="32"/>
      <c r="JU155" s="32"/>
      <c r="JV155" s="32"/>
      <c r="JW155" s="32"/>
      <c r="JX155" s="32"/>
      <c r="JY155" s="32"/>
      <c r="JZ155" s="32"/>
      <c r="KA155" s="32"/>
      <c r="KB155" s="32"/>
      <c r="KC155" s="32"/>
      <c r="KD155" s="32"/>
      <c r="KE155" s="32"/>
      <c r="KF155" s="32"/>
      <c r="KG155" s="32"/>
      <c r="KH155" s="32"/>
      <c r="KI155" s="32"/>
      <c r="KJ155" s="32"/>
      <c r="KK155" s="32"/>
      <c r="KL155" s="32"/>
      <c r="KM155" s="32"/>
      <c r="KN155" s="32"/>
      <c r="KO155" s="32"/>
      <c r="KP155" s="32"/>
      <c r="KQ155" s="32"/>
      <c r="KR155" s="32"/>
      <c r="KS155" s="32"/>
      <c r="KT155" s="32"/>
      <c r="KU155" s="32"/>
      <c r="KV155" s="32"/>
      <c r="KW155" s="32"/>
      <c r="KX155" s="32"/>
      <c r="KY155" s="32"/>
      <c r="KZ155" s="32"/>
      <c r="LA155" s="32"/>
      <c r="LB155" s="32"/>
      <c r="LC155" s="32"/>
      <c r="LD155" s="32"/>
      <c r="LE155" s="32"/>
      <c r="LF155" s="32"/>
      <c r="LG155" s="32"/>
      <c r="LH155" s="32"/>
      <c r="LI155" s="32"/>
      <c r="LJ155" s="32"/>
      <c r="LK155" s="32"/>
      <c r="LL155" s="32"/>
      <c r="LM155" s="32"/>
      <c r="LN155" s="32"/>
      <c r="LO155" s="32"/>
      <c r="LP155" s="32"/>
      <c r="LQ155" s="32"/>
      <c r="LR155" s="32"/>
      <c r="LS155" s="32"/>
      <c r="LT155" s="32"/>
      <c r="LU155" s="32"/>
      <c r="LV155" s="32"/>
      <c r="LW155" s="32"/>
      <c r="LX155" s="32"/>
      <c r="LY155" s="32"/>
      <c r="LZ155" s="32"/>
      <c r="MA155" s="32"/>
      <c r="MB155" s="32"/>
      <c r="MC155" s="32"/>
      <c r="MD155" s="32"/>
      <c r="ME155" s="32"/>
      <c r="MF155" s="32"/>
      <c r="MG155" s="32"/>
      <c r="MH155" s="32"/>
      <c r="MI155" s="32"/>
      <c r="MJ155" s="32"/>
      <c r="MK155" s="32"/>
      <c r="ML155" s="32"/>
      <c r="MM155" s="32"/>
      <c r="MN155" s="32"/>
      <c r="MO155" s="32"/>
      <c r="MP155" s="32"/>
      <c r="MQ155" s="32"/>
      <c r="MR155" s="32"/>
      <c r="MS155" s="32"/>
      <c r="MT155" s="32"/>
      <c r="MU155" s="32"/>
      <c r="MV155" s="32"/>
      <c r="MW155" s="32"/>
      <c r="MX155" s="32"/>
      <c r="MY155" s="32"/>
      <c r="MZ155" s="32"/>
      <c r="NA155" s="32"/>
      <c r="NB155" s="32"/>
      <c r="NC155" s="32"/>
      <c r="ND155" s="32"/>
      <c r="NE155" s="32"/>
      <c r="NF155" s="32"/>
      <c r="NG155" s="32"/>
      <c r="NH155" s="32"/>
      <c r="NI155" s="32"/>
      <c r="NJ155" s="32"/>
      <c r="NK155" s="32"/>
      <c r="NL155" s="32"/>
      <c r="NM155" s="32"/>
      <c r="NN155" s="32"/>
      <c r="NO155" s="32"/>
      <c r="NP155" s="32"/>
      <c r="NQ155" s="32"/>
      <c r="NR155" s="32"/>
      <c r="NS155" s="32"/>
      <c r="NT155" s="32"/>
      <c r="NU155" s="32"/>
      <c r="NV155" s="32"/>
      <c r="NW155" s="32"/>
      <c r="NX155" s="32"/>
      <c r="NY155" s="32"/>
      <c r="NZ155" s="32"/>
      <c r="OA155" s="32"/>
      <c r="OB155" s="32"/>
      <c r="OC155" s="32"/>
      <c r="OD155" s="32"/>
      <c r="OE155" s="32"/>
      <c r="OF155" s="32"/>
      <c r="OG155" s="32"/>
      <c r="OH155" s="32"/>
      <c r="OI155" s="32"/>
      <c r="OJ155" s="32"/>
      <c r="OK155" s="32"/>
      <c r="OL155" s="32"/>
      <c r="OM155" s="32"/>
      <c r="ON155" s="32"/>
      <c r="OO155" s="32"/>
      <c r="OP155" s="32"/>
      <c r="OQ155" s="32"/>
      <c r="OR155" s="32"/>
      <c r="OS155" s="32"/>
      <c r="OT155" s="32"/>
      <c r="OU155" s="32"/>
      <c r="OV155" s="32"/>
      <c r="OW155" s="32"/>
      <c r="OX155" s="32"/>
      <c r="OY155" s="32"/>
      <c r="OZ155" s="32"/>
      <c r="PA155" s="32"/>
      <c r="PB155" s="32"/>
      <c r="PC155" s="32"/>
      <c r="PD155" s="32"/>
      <c r="PE155" s="32"/>
      <c r="PF155" s="32"/>
      <c r="PG155" s="32"/>
      <c r="PH155" s="32"/>
      <c r="PI155" s="32"/>
      <c r="PJ155" s="32"/>
      <c r="PK155" s="32"/>
      <c r="PL155" s="32"/>
      <c r="PM155" s="32"/>
      <c r="PN155" s="32"/>
      <c r="PO155" s="32"/>
      <c r="PP155" s="32"/>
      <c r="PQ155" s="32"/>
      <c r="PR155" s="32"/>
      <c r="PS155" s="32"/>
      <c r="PT155" s="32"/>
      <c r="PU155" s="32"/>
      <c r="PV155" s="32"/>
      <c r="PW155" s="32"/>
      <c r="PX155" s="32"/>
      <c r="PY155" s="32"/>
      <c r="PZ155" s="32"/>
      <c r="QA155" s="32"/>
      <c r="QB155" s="32"/>
      <c r="QC155" s="32"/>
      <c r="QD155" s="32"/>
      <c r="QE155" s="32"/>
      <c r="QF155" s="32"/>
      <c r="QG155" s="32"/>
      <c r="QH155" s="32"/>
      <c r="QI155" s="32"/>
      <c r="QJ155" s="32"/>
      <c r="QK155" s="32"/>
      <c r="QL155" s="32"/>
      <c r="QM155" s="32"/>
      <c r="QN155" s="32"/>
      <c r="QO155" s="32"/>
      <c r="QP155" s="32"/>
      <c r="QQ155" s="32"/>
      <c r="QR155" s="32"/>
      <c r="QS155" s="32"/>
      <c r="QT155" s="32"/>
      <c r="QU155" s="32"/>
      <c r="QV155" s="32"/>
      <c r="QW155" s="32"/>
      <c r="QX155" s="32"/>
      <c r="QY155" s="32"/>
      <c r="QZ155" s="32"/>
      <c r="RA155" s="32"/>
      <c r="RB155" s="32"/>
      <c r="RC155" s="32"/>
      <c r="RD155" s="32"/>
      <c r="RE155" s="32"/>
      <c r="RF155" s="32"/>
      <c r="RG155" s="32"/>
      <c r="RH155" s="32"/>
      <c r="RI155" s="32"/>
      <c r="RJ155" s="32"/>
      <c r="RK155" s="32"/>
      <c r="RL155" s="32"/>
      <c r="RM155" s="32"/>
      <c r="RN155" s="32"/>
      <c r="RO155" s="32"/>
      <c r="RP155" s="32"/>
      <c r="RQ155" s="32"/>
      <c r="RR155" s="32"/>
      <c r="RS155" s="32"/>
      <c r="RT155" s="32"/>
      <c r="RU155" s="32"/>
      <c r="RV155" s="32"/>
      <c r="RW155" s="32"/>
      <c r="RX155" s="32"/>
      <c r="RY155" s="32"/>
      <c r="RZ155" s="32"/>
      <c r="SA155" s="32"/>
      <c r="SB155" s="32"/>
      <c r="SC155" s="32"/>
      <c r="SD155" s="32"/>
      <c r="SE155" s="32"/>
      <c r="SF155" s="32"/>
      <c r="SG155" s="32"/>
      <c r="SH155" s="32"/>
      <c r="SI155" s="32"/>
      <c r="SJ155" s="32"/>
      <c r="SK155" s="32"/>
      <c r="SL155" s="32"/>
      <c r="SM155" s="32"/>
      <c r="SN155" s="32"/>
      <c r="SO155" s="32"/>
      <c r="SP155" s="32"/>
      <c r="SQ155" s="32"/>
      <c r="SR155" s="32"/>
      <c r="SS155" s="32"/>
      <c r="ST155" s="32"/>
      <c r="SU155" s="32"/>
      <c r="SV155" s="32"/>
      <c r="SW155" s="32"/>
      <c r="SX155" s="32"/>
      <c r="SY155" s="32"/>
      <c r="SZ155" s="32"/>
      <c r="TA155" s="32"/>
      <c r="TB155" s="32"/>
      <c r="TC155" s="32"/>
      <c r="TD155" s="32"/>
      <c r="TE155" s="32"/>
      <c r="TF155" s="32"/>
      <c r="TG155" s="32"/>
    </row>
    <row r="156" spans="1:527" s="34" customFormat="1" ht="32.25" customHeight="1" x14ac:dyDescent="0.25">
      <c r="A156" s="100" t="s">
        <v>181</v>
      </c>
      <c r="B156" s="113"/>
      <c r="C156" s="113"/>
      <c r="D156" s="81" t="s">
        <v>396</v>
      </c>
      <c r="E156" s="102">
        <f>E162+E163+E164+E165+E166+E168+E169+E170+E172+E174+E175+E176+E178+E180+E181+E182+E183+E184+E185+E187+E189+E191+E192+E194+E195</f>
        <v>201754752.35000002</v>
      </c>
      <c r="F156" s="102">
        <f t="shared" ref="F156:P156" si="62">F162+F163+F164+F165+F166+F168+F169+F170+F172+F174+F175+F176+F178+F180+F181+F182+F183+F184+F185+F187+F189+F191+F192+F194+F195</f>
        <v>201754752.35000002</v>
      </c>
      <c r="G156" s="102">
        <f t="shared" si="62"/>
        <v>60937100</v>
      </c>
      <c r="H156" s="102">
        <f t="shared" si="62"/>
        <v>1606689</v>
      </c>
      <c r="I156" s="102">
        <f t="shared" si="62"/>
        <v>0</v>
      </c>
      <c r="J156" s="102">
        <f t="shared" si="62"/>
        <v>2995024.05</v>
      </c>
      <c r="K156" s="102">
        <f t="shared" si="62"/>
        <v>2898824.05</v>
      </c>
      <c r="L156" s="102">
        <f t="shared" si="62"/>
        <v>96200</v>
      </c>
      <c r="M156" s="102">
        <f t="shared" si="62"/>
        <v>75000</v>
      </c>
      <c r="N156" s="102">
        <f t="shared" si="62"/>
        <v>0</v>
      </c>
      <c r="O156" s="102">
        <f t="shared" si="62"/>
        <v>2898824.05</v>
      </c>
      <c r="P156" s="102">
        <f t="shared" si="62"/>
        <v>204749776.40000004</v>
      </c>
      <c r="Q156" s="188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  <c r="IW156" s="33"/>
      <c r="IX156" s="33"/>
      <c r="IY156" s="33"/>
      <c r="IZ156" s="33"/>
      <c r="JA156" s="33"/>
      <c r="JB156" s="33"/>
      <c r="JC156" s="33"/>
      <c r="JD156" s="33"/>
      <c r="JE156" s="33"/>
      <c r="JF156" s="33"/>
      <c r="JG156" s="33"/>
      <c r="JH156" s="33"/>
      <c r="JI156" s="33"/>
      <c r="JJ156" s="33"/>
      <c r="JK156" s="33"/>
      <c r="JL156" s="33"/>
      <c r="JM156" s="33"/>
      <c r="JN156" s="33"/>
      <c r="JO156" s="33"/>
      <c r="JP156" s="33"/>
      <c r="JQ156" s="33"/>
      <c r="JR156" s="33"/>
      <c r="JS156" s="33"/>
      <c r="JT156" s="33"/>
      <c r="JU156" s="33"/>
      <c r="JV156" s="33"/>
      <c r="JW156" s="33"/>
      <c r="JX156" s="33"/>
      <c r="JY156" s="33"/>
      <c r="JZ156" s="33"/>
      <c r="KA156" s="33"/>
      <c r="KB156" s="33"/>
      <c r="KC156" s="33"/>
      <c r="KD156" s="33"/>
      <c r="KE156" s="33"/>
      <c r="KF156" s="33"/>
      <c r="KG156" s="33"/>
      <c r="KH156" s="33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3"/>
      <c r="KY156" s="33"/>
      <c r="KZ156" s="33"/>
      <c r="LA156" s="33"/>
      <c r="LB156" s="33"/>
      <c r="LC156" s="33"/>
      <c r="LD156" s="33"/>
      <c r="LE156" s="33"/>
      <c r="LF156" s="33"/>
      <c r="LG156" s="33"/>
      <c r="LH156" s="33"/>
      <c r="LI156" s="33"/>
      <c r="LJ156" s="33"/>
      <c r="LK156" s="33"/>
      <c r="LL156" s="33"/>
      <c r="LM156" s="33"/>
      <c r="LN156" s="33"/>
      <c r="LO156" s="33"/>
      <c r="LP156" s="33"/>
      <c r="LQ156" s="33"/>
      <c r="LR156" s="33"/>
      <c r="LS156" s="33"/>
      <c r="LT156" s="33"/>
      <c r="LU156" s="33"/>
      <c r="LV156" s="33"/>
      <c r="LW156" s="33"/>
      <c r="LX156" s="33"/>
      <c r="LY156" s="33"/>
      <c r="LZ156" s="33"/>
      <c r="MA156" s="33"/>
      <c r="MB156" s="33"/>
      <c r="MC156" s="33"/>
      <c r="MD156" s="33"/>
      <c r="ME156" s="33"/>
      <c r="MF156" s="33"/>
      <c r="MG156" s="33"/>
      <c r="MH156" s="33"/>
      <c r="MI156" s="33"/>
      <c r="MJ156" s="33"/>
      <c r="MK156" s="33"/>
      <c r="ML156" s="33"/>
      <c r="MM156" s="33"/>
      <c r="MN156" s="33"/>
      <c r="MO156" s="33"/>
      <c r="MP156" s="33"/>
      <c r="MQ156" s="33"/>
      <c r="MR156" s="33"/>
      <c r="MS156" s="33"/>
      <c r="MT156" s="33"/>
      <c r="MU156" s="33"/>
      <c r="MV156" s="33"/>
      <c r="MW156" s="33"/>
      <c r="MX156" s="33"/>
      <c r="MY156" s="33"/>
      <c r="MZ156" s="33"/>
      <c r="NA156" s="33"/>
      <c r="NB156" s="33"/>
      <c r="NC156" s="33"/>
      <c r="ND156" s="33"/>
      <c r="NE156" s="33"/>
      <c r="NF156" s="33"/>
      <c r="NG156" s="33"/>
      <c r="NH156" s="33"/>
      <c r="NI156" s="33"/>
      <c r="NJ156" s="33"/>
      <c r="NK156" s="33"/>
      <c r="NL156" s="33"/>
      <c r="NM156" s="33"/>
      <c r="NN156" s="33"/>
      <c r="NO156" s="33"/>
      <c r="NP156" s="33"/>
      <c r="NQ156" s="33"/>
      <c r="NR156" s="33"/>
      <c r="NS156" s="33"/>
      <c r="NT156" s="33"/>
      <c r="NU156" s="33"/>
      <c r="NV156" s="33"/>
      <c r="NW156" s="33"/>
      <c r="NX156" s="33"/>
      <c r="NY156" s="33"/>
      <c r="NZ156" s="33"/>
      <c r="OA156" s="33"/>
      <c r="OB156" s="33"/>
      <c r="OC156" s="33"/>
      <c r="OD156" s="33"/>
      <c r="OE156" s="33"/>
      <c r="OF156" s="33"/>
      <c r="OG156" s="33"/>
      <c r="OH156" s="33"/>
      <c r="OI156" s="33"/>
      <c r="OJ156" s="33"/>
      <c r="OK156" s="33"/>
      <c r="OL156" s="33"/>
      <c r="OM156" s="33"/>
      <c r="ON156" s="33"/>
      <c r="OO156" s="33"/>
      <c r="OP156" s="33"/>
      <c r="OQ156" s="33"/>
      <c r="OR156" s="33"/>
      <c r="OS156" s="33"/>
      <c r="OT156" s="33"/>
      <c r="OU156" s="33"/>
      <c r="OV156" s="33"/>
      <c r="OW156" s="33"/>
      <c r="OX156" s="33"/>
      <c r="OY156" s="33"/>
      <c r="OZ156" s="33"/>
      <c r="PA156" s="33"/>
      <c r="PB156" s="33"/>
      <c r="PC156" s="33"/>
      <c r="PD156" s="33"/>
      <c r="PE156" s="33"/>
      <c r="PF156" s="33"/>
      <c r="PG156" s="33"/>
      <c r="PH156" s="33"/>
      <c r="PI156" s="33"/>
      <c r="PJ156" s="33"/>
      <c r="PK156" s="33"/>
      <c r="PL156" s="33"/>
      <c r="PM156" s="33"/>
      <c r="PN156" s="33"/>
      <c r="PO156" s="33"/>
      <c r="PP156" s="33"/>
      <c r="PQ156" s="33"/>
      <c r="PR156" s="33"/>
      <c r="PS156" s="33"/>
      <c r="PT156" s="33"/>
      <c r="PU156" s="33"/>
      <c r="PV156" s="33"/>
      <c r="PW156" s="33"/>
      <c r="PX156" s="33"/>
      <c r="PY156" s="33"/>
      <c r="PZ156" s="33"/>
      <c r="QA156" s="33"/>
      <c r="QB156" s="33"/>
      <c r="QC156" s="33"/>
      <c r="QD156" s="33"/>
      <c r="QE156" s="33"/>
      <c r="QF156" s="33"/>
      <c r="QG156" s="33"/>
      <c r="QH156" s="33"/>
      <c r="QI156" s="33"/>
      <c r="QJ156" s="33"/>
      <c r="QK156" s="33"/>
      <c r="QL156" s="33"/>
      <c r="QM156" s="33"/>
      <c r="QN156" s="33"/>
      <c r="QO156" s="33"/>
      <c r="QP156" s="33"/>
      <c r="QQ156" s="33"/>
      <c r="QR156" s="33"/>
      <c r="QS156" s="33"/>
      <c r="QT156" s="33"/>
      <c r="QU156" s="33"/>
      <c r="QV156" s="33"/>
      <c r="QW156" s="33"/>
      <c r="QX156" s="33"/>
      <c r="QY156" s="33"/>
      <c r="QZ156" s="33"/>
      <c r="RA156" s="33"/>
      <c r="RB156" s="33"/>
      <c r="RC156" s="33"/>
      <c r="RD156" s="33"/>
      <c r="RE156" s="33"/>
      <c r="RF156" s="33"/>
      <c r="RG156" s="33"/>
      <c r="RH156" s="33"/>
      <c r="RI156" s="33"/>
      <c r="RJ156" s="33"/>
      <c r="RK156" s="33"/>
      <c r="RL156" s="33"/>
      <c r="RM156" s="33"/>
      <c r="RN156" s="33"/>
      <c r="RO156" s="33"/>
      <c r="RP156" s="33"/>
      <c r="RQ156" s="33"/>
      <c r="RR156" s="33"/>
      <c r="RS156" s="33"/>
      <c r="RT156" s="33"/>
      <c r="RU156" s="33"/>
      <c r="RV156" s="33"/>
      <c r="RW156" s="33"/>
      <c r="RX156" s="33"/>
      <c r="RY156" s="33"/>
      <c r="RZ156" s="33"/>
      <c r="SA156" s="33"/>
      <c r="SB156" s="33"/>
      <c r="SC156" s="33"/>
      <c r="SD156" s="33"/>
      <c r="SE156" s="33"/>
      <c r="SF156" s="33"/>
      <c r="SG156" s="33"/>
      <c r="SH156" s="33"/>
      <c r="SI156" s="33"/>
      <c r="SJ156" s="33"/>
      <c r="SK156" s="33"/>
      <c r="SL156" s="33"/>
      <c r="SM156" s="33"/>
      <c r="SN156" s="33"/>
      <c r="SO156" s="33"/>
      <c r="SP156" s="33"/>
      <c r="SQ156" s="33"/>
      <c r="SR156" s="33"/>
      <c r="SS156" s="33"/>
      <c r="ST156" s="33"/>
      <c r="SU156" s="33"/>
      <c r="SV156" s="33"/>
      <c r="SW156" s="33"/>
      <c r="SX156" s="33"/>
      <c r="SY156" s="33"/>
      <c r="SZ156" s="33"/>
      <c r="TA156" s="33"/>
      <c r="TB156" s="33"/>
      <c r="TC156" s="33"/>
      <c r="TD156" s="33"/>
      <c r="TE156" s="33"/>
      <c r="TF156" s="33"/>
      <c r="TG156" s="33"/>
    </row>
    <row r="157" spans="1:527" s="34" customFormat="1" ht="275.25" hidden="1" customHeight="1" x14ac:dyDescent="0.25">
      <c r="A157" s="100"/>
      <c r="B157" s="113"/>
      <c r="C157" s="113"/>
      <c r="D157" s="81" t="str">
        <f>'дод 5'!C97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7" s="102">
        <f>E186</f>
        <v>0</v>
      </c>
      <c r="F157" s="102">
        <f>L186</f>
        <v>0</v>
      </c>
      <c r="G157" s="102">
        <f t="shared" ref="G157:P157" si="63">G186</f>
        <v>0</v>
      </c>
      <c r="H157" s="102">
        <f t="shared" si="63"/>
        <v>0</v>
      </c>
      <c r="I157" s="102">
        <f t="shared" si="63"/>
        <v>0</v>
      </c>
      <c r="J157" s="102">
        <f t="shared" si="63"/>
        <v>975480.06</v>
      </c>
      <c r="K157" s="102">
        <f t="shared" si="63"/>
        <v>975480.06</v>
      </c>
      <c r="L157" s="102">
        <f t="shared" si="63"/>
        <v>0</v>
      </c>
      <c r="M157" s="102">
        <f t="shared" si="63"/>
        <v>0</v>
      </c>
      <c r="N157" s="102">
        <f t="shared" si="63"/>
        <v>0</v>
      </c>
      <c r="O157" s="102">
        <f t="shared" si="63"/>
        <v>975480.06</v>
      </c>
      <c r="P157" s="102">
        <f t="shared" si="63"/>
        <v>975480.06</v>
      </c>
      <c r="Q157" s="188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</row>
    <row r="158" spans="1:527" s="34" customFormat="1" ht="255" hidden="1" customHeight="1" x14ac:dyDescent="0.25">
      <c r="A158" s="100"/>
      <c r="B158" s="113"/>
      <c r="C158" s="113"/>
      <c r="D158" s="81" t="str">
        <f>'дод 5'!C98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8" s="102">
        <f>E190</f>
        <v>0</v>
      </c>
      <c r="F158" s="102">
        <f t="shared" ref="F158:P158" si="64">F190</f>
        <v>0</v>
      </c>
      <c r="G158" s="102">
        <f t="shared" si="64"/>
        <v>0</v>
      </c>
      <c r="H158" s="102">
        <f t="shared" si="64"/>
        <v>0</v>
      </c>
      <c r="I158" s="102">
        <f t="shared" si="64"/>
        <v>0</v>
      </c>
      <c r="J158" s="102">
        <f t="shared" si="64"/>
        <v>0</v>
      </c>
      <c r="K158" s="102">
        <f t="shared" si="64"/>
        <v>0</v>
      </c>
      <c r="L158" s="102">
        <f t="shared" si="64"/>
        <v>0</v>
      </c>
      <c r="M158" s="102">
        <f t="shared" si="64"/>
        <v>0</v>
      </c>
      <c r="N158" s="102">
        <f t="shared" si="64"/>
        <v>0</v>
      </c>
      <c r="O158" s="102">
        <f t="shared" si="64"/>
        <v>0</v>
      </c>
      <c r="P158" s="102">
        <f t="shared" si="64"/>
        <v>0</v>
      </c>
      <c r="Q158" s="188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3"/>
      <c r="LZ158" s="33"/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3"/>
      <c r="MZ158" s="33"/>
      <c r="NA158" s="33"/>
      <c r="NB158" s="33"/>
      <c r="NC158" s="33"/>
      <c r="ND158" s="33"/>
      <c r="NE158" s="33"/>
      <c r="NF158" s="33"/>
      <c r="NG158" s="33"/>
      <c r="NH158" s="33"/>
      <c r="NI158" s="33"/>
      <c r="NJ158" s="33"/>
      <c r="NK158" s="33"/>
      <c r="NL158" s="33"/>
      <c r="NM158" s="33"/>
      <c r="NN158" s="33"/>
      <c r="NO158" s="33"/>
      <c r="NP158" s="33"/>
      <c r="NQ158" s="33"/>
      <c r="NR158" s="33"/>
      <c r="NS158" s="33"/>
      <c r="NT158" s="33"/>
      <c r="NU158" s="33"/>
      <c r="NV158" s="33"/>
      <c r="NW158" s="33"/>
      <c r="NX158" s="33"/>
      <c r="NY158" s="33"/>
      <c r="NZ158" s="33"/>
      <c r="OA158" s="33"/>
      <c r="OB158" s="33"/>
      <c r="OC158" s="33"/>
      <c r="OD158" s="33"/>
      <c r="OE158" s="33"/>
      <c r="OF158" s="33"/>
      <c r="OG158" s="33"/>
      <c r="OH158" s="33"/>
      <c r="OI158" s="33"/>
      <c r="OJ158" s="33"/>
      <c r="OK158" s="33"/>
      <c r="OL158" s="33"/>
      <c r="OM158" s="33"/>
      <c r="ON158" s="33"/>
      <c r="OO158" s="33"/>
      <c r="OP158" s="33"/>
      <c r="OQ158" s="33"/>
      <c r="OR158" s="33"/>
      <c r="OS158" s="33"/>
      <c r="OT158" s="33"/>
      <c r="OU158" s="33"/>
      <c r="OV158" s="33"/>
      <c r="OW158" s="33"/>
      <c r="OX158" s="33"/>
      <c r="OY158" s="33"/>
      <c r="OZ158" s="33"/>
      <c r="PA158" s="33"/>
      <c r="PB158" s="33"/>
      <c r="PC158" s="33"/>
      <c r="PD158" s="33"/>
      <c r="PE158" s="33"/>
      <c r="PF158" s="33"/>
      <c r="PG158" s="33"/>
      <c r="PH158" s="33"/>
      <c r="PI158" s="33"/>
      <c r="PJ158" s="33"/>
      <c r="PK158" s="33"/>
      <c r="PL158" s="33"/>
      <c r="PM158" s="33"/>
      <c r="PN158" s="33"/>
      <c r="PO158" s="33"/>
      <c r="PP158" s="33"/>
      <c r="PQ158" s="33"/>
      <c r="PR158" s="33"/>
      <c r="PS158" s="33"/>
      <c r="PT158" s="33"/>
      <c r="PU158" s="33"/>
      <c r="PV158" s="33"/>
      <c r="PW158" s="33"/>
      <c r="PX158" s="33"/>
      <c r="PY158" s="33"/>
      <c r="PZ158" s="33"/>
      <c r="QA158" s="33"/>
      <c r="QB158" s="33"/>
      <c r="QC158" s="33"/>
      <c r="QD158" s="33"/>
      <c r="QE158" s="33"/>
      <c r="QF158" s="33"/>
      <c r="QG158" s="33"/>
      <c r="QH158" s="33"/>
      <c r="QI158" s="33"/>
      <c r="QJ158" s="33"/>
      <c r="QK158" s="33"/>
      <c r="QL158" s="33"/>
      <c r="QM158" s="33"/>
      <c r="QN158" s="33"/>
      <c r="QO158" s="33"/>
      <c r="QP158" s="33"/>
      <c r="QQ158" s="33"/>
      <c r="QR158" s="33"/>
      <c r="QS158" s="33"/>
      <c r="QT158" s="33"/>
      <c r="QU158" s="33"/>
      <c r="QV158" s="33"/>
      <c r="QW158" s="33"/>
      <c r="QX158" s="33"/>
      <c r="QY158" s="33"/>
      <c r="QZ158" s="33"/>
      <c r="RA158" s="33"/>
      <c r="RB158" s="33"/>
      <c r="RC158" s="33"/>
      <c r="RD158" s="33"/>
      <c r="RE158" s="33"/>
      <c r="RF158" s="33"/>
      <c r="RG158" s="33"/>
      <c r="RH158" s="33"/>
      <c r="RI158" s="33"/>
      <c r="RJ158" s="33"/>
      <c r="RK158" s="33"/>
      <c r="RL158" s="33"/>
      <c r="RM158" s="33"/>
      <c r="RN158" s="33"/>
      <c r="RO158" s="33"/>
      <c r="RP158" s="33"/>
      <c r="RQ158" s="33"/>
      <c r="RR158" s="33"/>
      <c r="RS158" s="33"/>
      <c r="RT158" s="33"/>
      <c r="RU158" s="33"/>
      <c r="RV158" s="33"/>
      <c r="RW158" s="33"/>
      <c r="RX158" s="33"/>
      <c r="RY158" s="33"/>
      <c r="RZ158" s="33"/>
      <c r="SA158" s="33"/>
      <c r="SB158" s="33"/>
      <c r="SC158" s="33"/>
      <c r="SD158" s="33"/>
      <c r="SE158" s="33"/>
      <c r="SF158" s="33"/>
      <c r="SG158" s="33"/>
      <c r="SH158" s="33"/>
      <c r="SI158" s="33"/>
      <c r="SJ158" s="33"/>
      <c r="SK158" s="33"/>
      <c r="SL158" s="33"/>
      <c r="SM158" s="33"/>
      <c r="SN158" s="33"/>
      <c r="SO158" s="33"/>
      <c r="SP158" s="33"/>
      <c r="SQ158" s="33"/>
      <c r="SR158" s="33"/>
      <c r="SS158" s="33"/>
      <c r="ST158" s="33"/>
      <c r="SU158" s="33"/>
      <c r="SV158" s="33"/>
      <c r="SW158" s="33"/>
      <c r="SX158" s="33"/>
      <c r="SY158" s="33"/>
      <c r="SZ158" s="33"/>
      <c r="TA158" s="33"/>
      <c r="TB158" s="33"/>
      <c r="TC158" s="33"/>
      <c r="TD158" s="33"/>
      <c r="TE158" s="33"/>
      <c r="TF158" s="33"/>
      <c r="TG158" s="33"/>
    </row>
    <row r="159" spans="1:527" s="34" customFormat="1" ht="15.75" x14ac:dyDescent="0.25">
      <c r="A159" s="100"/>
      <c r="B159" s="113"/>
      <c r="C159" s="113"/>
      <c r="D159" s="81" t="s">
        <v>397</v>
      </c>
      <c r="E159" s="102">
        <f>E167+E171+E173+E177+E179+E193</f>
        <v>4858460.24</v>
      </c>
      <c r="F159" s="102">
        <f t="shared" ref="F159:P159" si="65">F167+F171+F173+F177+F179+F193</f>
        <v>4858460.24</v>
      </c>
      <c r="G159" s="102">
        <f t="shared" si="65"/>
        <v>0</v>
      </c>
      <c r="H159" s="102">
        <f t="shared" si="65"/>
        <v>0</v>
      </c>
      <c r="I159" s="102">
        <f t="shared" si="65"/>
        <v>0</v>
      </c>
      <c r="J159" s="102">
        <f t="shared" si="65"/>
        <v>0</v>
      </c>
      <c r="K159" s="102">
        <f t="shared" si="65"/>
        <v>0</v>
      </c>
      <c r="L159" s="102">
        <f t="shared" si="65"/>
        <v>0</v>
      </c>
      <c r="M159" s="102">
        <f t="shared" si="65"/>
        <v>0</v>
      </c>
      <c r="N159" s="102">
        <f t="shared" si="65"/>
        <v>0</v>
      </c>
      <c r="O159" s="102">
        <f t="shared" si="65"/>
        <v>0</v>
      </c>
      <c r="P159" s="102">
        <f t="shared" si="65"/>
        <v>4858460.24</v>
      </c>
      <c r="Q159" s="188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</row>
    <row r="160" spans="1:527" s="34" customFormat="1" ht="306.75" customHeight="1" x14ac:dyDescent="0.25">
      <c r="A160" s="100"/>
      <c r="B160" s="113"/>
      <c r="C160" s="113"/>
      <c r="D160" s="81" t="s">
        <v>603</v>
      </c>
      <c r="E160" s="102">
        <f>E186</f>
        <v>0</v>
      </c>
      <c r="F160" s="102">
        <f t="shared" ref="F160:P160" si="66">F186</f>
        <v>0</v>
      </c>
      <c r="G160" s="102">
        <f t="shared" si="66"/>
        <v>0</v>
      </c>
      <c r="H160" s="102">
        <f t="shared" si="66"/>
        <v>0</v>
      </c>
      <c r="I160" s="102">
        <f t="shared" si="66"/>
        <v>0</v>
      </c>
      <c r="J160" s="102">
        <f t="shared" si="66"/>
        <v>975480.06</v>
      </c>
      <c r="K160" s="102">
        <f t="shared" si="66"/>
        <v>975480.06</v>
      </c>
      <c r="L160" s="102">
        <f t="shared" si="66"/>
        <v>0</v>
      </c>
      <c r="M160" s="102">
        <f t="shared" si="66"/>
        <v>0</v>
      </c>
      <c r="N160" s="102">
        <f t="shared" si="66"/>
        <v>0</v>
      </c>
      <c r="O160" s="102">
        <f t="shared" si="66"/>
        <v>975480.06</v>
      </c>
      <c r="P160" s="102">
        <f t="shared" si="66"/>
        <v>975480.06</v>
      </c>
      <c r="Q160" s="188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</row>
    <row r="161" spans="1:527" s="34" customFormat="1" ht="369.75" customHeight="1" x14ac:dyDescent="0.25">
      <c r="A161" s="100"/>
      <c r="B161" s="113"/>
      <c r="C161" s="113"/>
      <c r="D161" s="81" t="s">
        <v>604</v>
      </c>
      <c r="E161" s="102">
        <f>E188</f>
        <v>0</v>
      </c>
      <c r="F161" s="102">
        <f t="shared" ref="F161:P161" si="67">F188</f>
        <v>0</v>
      </c>
      <c r="G161" s="102">
        <f t="shared" si="67"/>
        <v>0</v>
      </c>
      <c r="H161" s="102">
        <f t="shared" si="67"/>
        <v>0</v>
      </c>
      <c r="I161" s="102">
        <f t="shared" si="67"/>
        <v>0</v>
      </c>
      <c r="J161" s="102">
        <f t="shared" si="67"/>
        <v>1176130.99</v>
      </c>
      <c r="K161" s="102">
        <f t="shared" si="67"/>
        <v>1176130.99</v>
      </c>
      <c r="L161" s="102">
        <f t="shared" si="67"/>
        <v>0</v>
      </c>
      <c r="M161" s="102">
        <f t="shared" si="67"/>
        <v>0</v>
      </c>
      <c r="N161" s="102">
        <f t="shared" si="67"/>
        <v>0</v>
      </c>
      <c r="O161" s="102">
        <f t="shared" si="67"/>
        <v>1176130.99</v>
      </c>
      <c r="P161" s="102">
        <f t="shared" si="67"/>
        <v>1176130.99</v>
      </c>
      <c r="Q161" s="188">
        <v>11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  <c r="QA161" s="33"/>
      <c r="QB161" s="33"/>
      <c r="QC161" s="33"/>
      <c r="QD161" s="33"/>
      <c r="QE161" s="33"/>
      <c r="QF161" s="33"/>
      <c r="QG161" s="33"/>
      <c r="QH161" s="33"/>
      <c r="QI161" s="33"/>
      <c r="QJ161" s="33"/>
      <c r="QK161" s="33"/>
      <c r="QL161" s="33"/>
      <c r="QM161" s="33"/>
      <c r="QN161" s="33"/>
      <c r="QO161" s="33"/>
      <c r="QP161" s="33"/>
      <c r="QQ161" s="33"/>
      <c r="QR161" s="33"/>
      <c r="QS161" s="33"/>
      <c r="QT161" s="33"/>
      <c r="QU161" s="33"/>
      <c r="QV161" s="33"/>
      <c r="QW161" s="33"/>
      <c r="QX161" s="33"/>
      <c r="QY161" s="33"/>
      <c r="QZ161" s="33"/>
      <c r="RA161" s="33"/>
      <c r="RB161" s="33"/>
      <c r="RC161" s="33"/>
      <c r="RD161" s="33"/>
      <c r="RE161" s="33"/>
      <c r="RF161" s="33"/>
      <c r="RG161" s="33"/>
      <c r="RH161" s="33"/>
      <c r="RI161" s="33"/>
      <c r="RJ161" s="33"/>
      <c r="RK161" s="33"/>
      <c r="RL161" s="33"/>
      <c r="RM161" s="33"/>
      <c r="RN161" s="33"/>
      <c r="RO161" s="33"/>
      <c r="RP161" s="33"/>
      <c r="RQ161" s="33"/>
      <c r="RR161" s="33"/>
      <c r="RS161" s="33"/>
      <c r="RT161" s="33"/>
      <c r="RU161" s="33"/>
      <c r="RV161" s="33"/>
      <c r="RW161" s="33"/>
      <c r="RX161" s="33"/>
      <c r="RY161" s="33"/>
      <c r="RZ161" s="33"/>
      <c r="SA161" s="33"/>
      <c r="SB161" s="33"/>
      <c r="SC161" s="33"/>
      <c r="SD161" s="33"/>
      <c r="SE161" s="33"/>
      <c r="SF161" s="33"/>
      <c r="SG161" s="33"/>
      <c r="SH161" s="33"/>
      <c r="SI161" s="33"/>
      <c r="SJ161" s="33"/>
      <c r="SK161" s="33"/>
      <c r="SL161" s="33"/>
      <c r="SM161" s="33"/>
      <c r="SN161" s="33"/>
      <c r="SO161" s="33"/>
      <c r="SP161" s="33"/>
      <c r="SQ161" s="33"/>
      <c r="SR161" s="33"/>
      <c r="SS161" s="33"/>
      <c r="ST161" s="33"/>
      <c r="SU161" s="33"/>
      <c r="SV161" s="33"/>
      <c r="SW161" s="33"/>
      <c r="SX161" s="33"/>
      <c r="SY161" s="33"/>
      <c r="SZ161" s="33"/>
      <c r="TA161" s="33"/>
      <c r="TB161" s="33"/>
      <c r="TC161" s="33"/>
      <c r="TD161" s="33"/>
      <c r="TE161" s="33"/>
      <c r="TF161" s="33"/>
      <c r="TG161" s="33"/>
    </row>
    <row r="162" spans="1:527" s="22" customFormat="1" ht="45.75" customHeight="1" x14ac:dyDescent="0.25">
      <c r="A162" s="60" t="s">
        <v>182</v>
      </c>
      <c r="B162" s="97" t="str">
        <f>'дод 5'!A20</f>
        <v>0160</v>
      </c>
      <c r="C162" s="97" t="str">
        <f>'дод 5'!B20</f>
        <v>0111</v>
      </c>
      <c r="D162" s="36" t="s">
        <v>503</v>
      </c>
      <c r="E162" s="103">
        <f t="shared" ref="E162:E195" si="68">F162+I162</f>
        <v>55520560</v>
      </c>
      <c r="F162" s="103">
        <f>55404100-2500-39500+158460</f>
        <v>55520560</v>
      </c>
      <c r="G162" s="103">
        <v>43270200</v>
      </c>
      <c r="H162" s="103">
        <f>762000+158460</f>
        <v>920460</v>
      </c>
      <c r="I162" s="103"/>
      <c r="J162" s="103">
        <f>L162+O162</f>
        <v>68000</v>
      </c>
      <c r="K162" s="103">
        <v>68000</v>
      </c>
      <c r="L162" s="103"/>
      <c r="M162" s="103"/>
      <c r="N162" s="103"/>
      <c r="O162" s="103">
        <v>68000</v>
      </c>
      <c r="P162" s="103">
        <f t="shared" ref="P162:P195" si="69">E162+J162</f>
        <v>55588560</v>
      </c>
      <c r="Q162" s="188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</row>
    <row r="163" spans="1:527" s="22" customFormat="1" ht="23.25" customHeight="1" x14ac:dyDescent="0.25">
      <c r="A163" s="60" t="s">
        <v>547</v>
      </c>
      <c r="B163" s="60" t="s">
        <v>46</v>
      </c>
      <c r="C163" s="60" t="s">
        <v>95</v>
      </c>
      <c r="D163" s="36" t="s">
        <v>244</v>
      </c>
      <c r="E163" s="103">
        <f t="shared" si="68"/>
        <v>39500</v>
      </c>
      <c r="F163" s="103">
        <v>39500</v>
      </c>
      <c r="G163" s="103"/>
      <c r="H163" s="103"/>
      <c r="I163" s="103"/>
      <c r="J163" s="103">
        <f>L163+O163</f>
        <v>0</v>
      </c>
      <c r="K163" s="103"/>
      <c r="L163" s="103"/>
      <c r="M163" s="103"/>
      <c r="N163" s="103"/>
      <c r="O163" s="103"/>
      <c r="P163" s="103">
        <f t="shared" si="69"/>
        <v>39500</v>
      </c>
      <c r="Q163" s="188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</row>
    <row r="164" spans="1:527" s="23" customFormat="1" ht="36" customHeight="1" x14ac:dyDescent="0.25">
      <c r="A164" s="60" t="s">
        <v>183</v>
      </c>
      <c r="B164" s="97" t="str">
        <f>'дод 5'!A102</f>
        <v>3031</v>
      </c>
      <c r="C164" s="97" t="str">
        <f>'дод 5'!B102</f>
        <v>1030</v>
      </c>
      <c r="D164" s="61" t="str">
        <f>'дод 5'!C102</f>
        <v>Надання інших пільг окремим категоріям громадян відповідно до законодавства</v>
      </c>
      <c r="E164" s="103">
        <f t="shared" si="68"/>
        <v>604900</v>
      </c>
      <c r="F164" s="103">
        <v>604900</v>
      </c>
      <c r="G164" s="103"/>
      <c r="H164" s="103"/>
      <c r="I164" s="103"/>
      <c r="J164" s="103">
        <f t="shared" ref="J164:J190" si="70">L164+O164</f>
        <v>0</v>
      </c>
      <c r="K164" s="103"/>
      <c r="L164" s="103"/>
      <c r="M164" s="103"/>
      <c r="N164" s="103"/>
      <c r="O164" s="103"/>
      <c r="P164" s="103">
        <f t="shared" si="69"/>
        <v>604900</v>
      </c>
      <c r="Q164" s="188"/>
    </row>
    <row r="165" spans="1:527" s="23" customFormat="1" ht="33" customHeight="1" x14ac:dyDescent="0.25">
      <c r="A165" s="60" t="s">
        <v>184</v>
      </c>
      <c r="B165" s="97" t="str">
        <f>'дод 5'!A103</f>
        <v>3032</v>
      </c>
      <c r="C165" s="97" t="str">
        <f>'дод 5'!B103</f>
        <v>1070</v>
      </c>
      <c r="D165" s="61" t="str">
        <f>'дод 5'!C103</f>
        <v>Надання пільг окремим категоріям громадян з оплати послуг зв'язку</v>
      </c>
      <c r="E165" s="103">
        <f t="shared" si="68"/>
        <v>1129230</v>
      </c>
      <c r="F165" s="103">
        <f>1150000-20770</f>
        <v>1129230</v>
      </c>
      <c r="G165" s="103"/>
      <c r="H165" s="103"/>
      <c r="I165" s="103"/>
      <c r="J165" s="103">
        <f t="shared" si="70"/>
        <v>0</v>
      </c>
      <c r="K165" s="103"/>
      <c r="L165" s="103"/>
      <c r="M165" s="103"/>
      <c r="N165" s="103"/>
      <c r="O165" s="103"/>
      <c r="P165" s="103">
        <f t="shared" si="69"/>
        <v>1129230</v>
      </c>
      <c r="Q165" s="188"/>
    </row>
    <row r="166" spans="1:527" s="23" customFormat="1" ht="48.75" customHeight="1" x14ac:dyDescent="0.25">
      <c r="A166" s="60" t="s">
        <v>354</v>
      </c>
      <c r="B166" s="97" t="str">
        <f>'дод 5'!A104</f>
        <v>3033</v>
      </c>
      <c r="C166" s="97" t="str">
        <f>'дод 5'!B104</f>
        <v>1070</v>
      </c>
      <c r="D166" s="61" t="str">
        <f>'дод 5'!C104</f>
        <v>Компенсаційні виплати на пільговий проїзд автомобільним транспортом окремим категоріям громадян</v>
      </c>
      <c r="E166" s="103">
        <f t="shared" si="68"/>
        <v>24277961.240000002</v>
      </c>
      <c r="F166" s="103">
        <f>3342111.24+19700200+44220+1920+11410+500000+678100</f>
        <v>24277961.240000002</v>
      </c>
      <c r="G166" s="103"/>
      <c r="H166" s="103"/>
      <c r="I166" s="103"/>
      <c r="J166" s="103">
        <f t="shared" si="70"/>
        <v>0</v>
      </c>
      <c r="K166" s="103"/>
      <c r="L166" s="103"/>
      <c r="M166" s="103"/>
      <c r="N166" s="103"/>
      <c r="O166" s="103"/>
      <c r="P166" s="103">
        <f t="shared" si="69"/>
        <v>24277961.240000002</v>
      </c>
      <c r="Q166" s="188"/>
    </row>
    <row r="167" spans="1:527" s="30" customFormat="1" ht="20.25" customHeight="1" x14ac:dyDescent="0.25">
      <c r="A167" s="88"/>
      <c r="B167" s="115"/>
      <c r="C167" s="115"/>
      <c r="D167" s="89" t="s">
        <v>395</v>
      </c>
      <c r="E167" s="105">
        <f t="shared" si="68"/>
        <v>3399661.24</v>
      </c>
      <c r="F167" s="105">
        <f>3342111.24+44220+1920+11410</f>
        <v>3399661.24</v>
      </c>
      <c r="G167" s="105"/>
      <c r="H167" s="105"/>
      <c r="I167" s="105"/>
      <c r="J167" s="105">
        <f t="shared" si="70"/>
        <v>0</v>
      </c>
      <c r="K167" s="105"/>
      <c r="L167" s="105"/>
      <c r="M167" s="105"/>
      <c r="N167" s="105"/>
      <c r="O167" s="105"/>
      <c r="P167" s="105">
        <f t="shared" si="69"/>
        <v>3399661.24</v>
      </c>
      <c r="Q167" s="188"/>
    </row>
    <row r="168" spans="1:527" s="23" customFormat="1" ht="35.25" customHeight="1" x14ac:dyDescent="0.25">
      <c r="A168" s="60" t="s">
        <v>326</v>
      </c>
      <c r="B168" s="97" t="str">
        <f>'дод 5'!A106</f>
        <v>3035</v>
      </c>
      <c r="C168" s="97" t="str">
        <f>'дод 5'!B106</f>
        <v>1070</v>
      </c>
      <c r="D168" s="61" t="str">
        <f>'дод 5'!C106</f>
        <v>Компенсаційні виплати за пільговий проїзд окремих категорій громадян на залізничному транспорті</v>
      </c>
      <c r="E168" s="103">
        <f t="shared" si="68"/>
        <v>1500000</v>
      </c>
      <c r="F168" s="103">
        <v>1500000</v>
      </c>
      <c r="G168" s="103"/>
      <c r="H168" s="103"/>
      <c r="I168" s="103"/>
      <c r="J168" s="103">
        <f t="shared" si="70"/>
        <v>0</v>
      </c>
      <c r="K168" s="103"/>
      <c r="L168" s="103"/>
      <c r="M168" s="103"/>
      <c r="N168" s="103"/>
      <c r="O168" s="103"/>
      <c r="P168" s="103">
        <f t="shared" si="69"/>
        <v>1500000</v>
      </c>
      <c r="Q168" s="188"/>
    </row>
    <row r="169" spans="1:527" s="23" customFormat="1" ht="36" customHeight="1" x14ac:dyDescent="0.25">
      <c r="A169" s="60" t="s">
        <v>185</v>
      </c>
      <c r="B169" s="97" t="str">
        <f>'дод 5'!A107</f>
        <v>3036</v>
      </c>
      <c r="C169" s="97" t="str">
        <f>'дод 5'!B107</f>
        <v>1070</v>
      </c>
      <c r="D169" s="61" t="str">
        <f>'дод 5'!C107</f>
        <v>Компенсаційні виплати на пільговий проїзд електротранспортом окремим категоріям громадян</v>
      </c>
      <c r="E169" s="103">
        <f t="shared" si="68"/>
        <v>41093700</v>
      </c>
      <c r="F169" s="103">
        <f>37333000+3760700</f>
        <v>41093700</v>
      </c>
      <c r="G169" s="103"/>
      <c r="H169" s="103"/>
      <c r="I169" s="103"/>
      <c r="J169" s="103">
        <f t="shared" si="70"/>
        <v>0</v>
      </c>
      <c r="K169" s="103"/>
      <c r="L169" s="103"/>
      <c r="M169" s="103"/>
      <c r="N169" s="103"/>
      <c r="O169" s="103"/>
      <c r="P169" s="103">
        <f t="shared" si="69"/>
        <v>41093700</v>
      </c>
      <c r="Q169" s="188"/>
    </row>
    <row r="170" spans="1:527" s="22" customFormat="1" ht="47.25" x14ac:dyDescent="0.25">
      <c r="A170" s="60" t="s">
        <v>352</v>
      </c>
      <c r="B170" s="97" t="str">
        <f>'дод 5'!A108</f>
        <v>3050</v>
      </c>
      <c r="C170" s="97" t="str">
        <f>'дод 5'!B108</f>
        <v>1070</v>
      </c>
      <c r="D170" s="61" t="str">
        <f>'дод 5'!C108</f>
        <v>Пільгове медичне обслуговування осіб, які постраждали внаслідок Чорнобильської катастрофи, у т.ч. за рахунок:</v>
      </c>
      <c r="E170" s="103">
        <f t="shared" si="68"/>
        <v>667500</v>
      </c>
      <c r="F170" s="103">
        <v>667500</v>
      </c>
      <c r="G170" s="103"/>
      <c r="H170" s="103"/>
      <c r="I170" s="103"/>
      <c r="J170" s="103">
        <f t="shared" si="70"/>
        <v>0</v>
      </c>
      <c r="K170" s="103"/>
      <c r="L170" s="103"/>
      <c r="M170" s="103"/>
      <c r="N170" s="103"/>
      <c r="O170" s="103"/>
      <c r="P170" s="103">
        <f t="shared" si="69"/>
        <v>667500</v>
      </c>
      <c r="Q170" s="188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</row>
    <row r="171" spans="1:527" s="24" customFormat="1" ht="15.75" x14ac:dyDescent="0.25">
      <c r="A171" s="88"/>
      <c r="B171" s="115"/>
      <c r="C171" s="115"/>
      <c r="D171" s="89" t="s">
        <v>395</v>
      </c>
      <c r="E171" s="105">
        <f t="shared" si="68"/>
        <v>667500</v>
      </c>
      <c r="F171" s="105">
        <v>667500</v>
      </c>
      <c r="G171" s="105"/>
      <c r="H171" s="105"/>
      <c r="I171" s="105"/>
      <c r="J171" s="105">
        <f t="shared" si="70"/>
        <v>0</v>
      </c>
      <c r="K171" s="105"/>
      <c r="L171" s="105"/>
      <c r="M171" s="105"/>
      <c r="N171" s="105"/>
      <c r="O171" s="105"/>
      <c r="P171" s="105">
        <f t="shared" si="69"/>
        <v>667500</v>
      </c>
      <c r="Q171" s="188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30"/>
      <c r="KG171" s="30"/>
      <c r="KH171" s="30"/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/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  <c r="LU171" s="30"/>
      <c r="LV171" s="30"/>
      <c r="LW171" s="30"/>
      <c r="LX171" s="30"/>
      <c r="LY171" s="30"/>
      <c r="LZ171" s="30"/>
      <c r="MA171" s="30"/>
      <c r="MB171" s="30"/>
      <c r="MC171" s="30"/>
      <c r="MD171" s="30"/>
      <c r="ME171" s="30"/>
      <c r="MF171" s="30"/>
      <c r="MG171" s="30"/>
      <c r="MH171" s="30"/>
      <c r="MI171" s="30"/>
      <c r="MJ171" s="30"/>
      <c r="MK171" s="30"/>
      <c r="ML171" s="30"/>
      <c r="MM171" s="30"/>
      <c r="MN171" s="30"/>
      <c r="MO171" s="30"/>
      <c r="MP171" s="30"/>
      <c r="MQ171" s="30"/>
      <c r="MR171" s="30"/>
      <c r="MS171" s="30"/>
      <c r="MT171" s="30"/>
      <c r="MU171" s="30"/>
      <c r="MV171" s="30"/>
      <c r="MW171" s="30"/>
      <c r="MX171" s="30"/>
      <c r="MY171" s="30"/>
      <c r="MZ171" s="30"/>
      <c r="NA171" s="30"/>
      <c r="NB171" s="30"/>
      <c r="NC171" s="30"/>
      <c r="ND171" s="30"/>
      <c r="NE171" s="30"/>
      <c r="NF171" s="30"/>
      <c r="NG171" s="30"/>
      <c r="NH171" s="30"/>
      <c r="NI171" s="30"/>
      <c r="NJ171" s="30"/>
      <c r="NK171" s="30"/>
      <c r="NL171" s="30"/>
      <c r="NM171" s="30"/>
      <c r="NN171" s="30"/>
      <c r="NO171" s="30"/>
      <c r="NP171" s="30"/>
      <c r="NQ171" s="30"/>
      <c r="NR171" s="30"/>
      <c r="NS171" s="30"/>
      <c r="NT171" s="30"/>
      <c r="NU171" s="30"/>
      <c r="NV171" s="30"/>
      <c r="NW171" s="30"/>
      <c r="NX171" s="30"/>
      <c r="NY171" s="30"/>
      <c r="NZ171" s="30"/>
      <c r="OA171" s="30"/>
      <c r="OB171" s="30"/>
      <c r="OC171" s="30"/>
      <c r="OD171" s="30"/>
      <c r="OE171" s="30"/>
      <c r="OF171" s="30"/>
      <c r="OG171" s="30"/>
      <c r="OH171" s="30"/>
      <c r="OI171" s="30"/>
      <c r="OJ171" s="30"/>
      <c r="OK171" s="30"/>
      <c r="OL171" s="30"/>
      <c r="OM171" s="30"/>
      <c r="ON171" s="30"/>
      <c r="OO171" s="30"/>
      <c r="OP171" s="30"/>
      <c r="OQ171" s="30"/>
      <c r="OR171" s="30"/>
      <c r="OS171" s="30"/>
      <c r="OT171" s="30"/>
      <c r="OU171" s="30"/>
      <c r="OV171" s="30"/>
      <c r="OW171" s="30"/>
      <c r="OX171" s="30"/>
      <c r="OY171" s="30"/>
      <c r="OZ171" s="30"/>
      <c r="PA171" s="30"/>
      <c r="PB171" s="30"/>
      <c r="PC171" s="30"/>
      <c r="PD171" s="30"/>
      <c r="PE171" s="30"/>
      <c r="PF171" s="30"/>
      <c r="PG171" s="30"/>
      <c r="PH171" s="30"/>
      <c r="PI171" s="30"/>
      <c r="PJ171" s="30"/>
      <c r="PK171" s="30"/>
      <c r="PL171" s="30"/>
      <c r="PM171" s="30"/>
      <c r="PN171" s="30"/>
      <c r="PO171" s="30"/>
      <c r="PP171" s="30"/>
      <c r="PQ171" s="30"/>
      <c r="PR171" s="30"/>
      <c r="PS171" s="30"/>
      <c r="PT171" s="30"/>
      <c r="PU171" s="30"/>
      <c r="PV171" s="30"/>
      <c r="PW171" s="30"/>
      <c r="PX171" s="30"/>
      <c r="PY171" s="30"/>
      <c r="PZ171" s="30"/>
      <c r="QA171" s="30"/>
      <c r="QB171" s="30"/>
      <c r="QC171" s="30"/>
      <c r="QD171" s="30"/>
      <c r="QE171" s="30"/>
      <c r="QF171" s="30"/>
      <c r="QG171" s="30"/>
      <c r="QH171" s="30"/>
      <c r="QI171" s="30"/>
      <c r="QJ171" s="30"/>
      <c r="QK171" s="30"/>
      <c r="QL171" s="30"/>
      <c r="QM171" s="30"/>
      <c r="QN171" s="30"/>
      <c r="QO171" s="30"/>
      <c r="QP171" s="30"/>
      <c r="QQ171" s="30"/>
      <c r="QR171" s="30"/>
      <c r="QS171" s="30"/>
      <c r="QT171" s="30"/>
      <c r="QU171" s="30"/>
      <c r="QV171" s="30"/>
      <c r="QW171" s="30"/>
      <c r="QX171" s="30"/>
      <c r="QY171" s="30"/>
      <c r="QZ171" s="30"/>
      <c r="RA171" s="30"/>
      <c r="RB171" s="30"/>
      <c r="RC171" s="30"/>
      <c r="RD171" s="30"/>
      <c r="RE171" s="30"/>
      <c r="RF171" s="30"/>
      <c r="RG171" s="30"/>
      <c r="RH171" s="30"/>
      <c r="RI171" s="30"/>
      <c r="RJ171" s="30"/>
      <c r="RK171" s="30"/>
      <c r="RL171" s="30"/>
      <c r="RM171" s="30"/>
      <c r="RN171" s="30"/>
      <c r="RO171" s="30"/>
      <c r="RP171" s="30"/>
      <c r="RQ171" s="30"/>
      <c r="RR171" s="30"/>
      <c r="RS171" s="30"/>
      <c r="RT171" s="30"/>
      <c r="RU171" s="30"/>
      <c r="RV171" s="30"/>
      <c r="RW171" s="30"/>
      <c r="RX171" s="30"/>
      <c r="RY171" s="30"/>
      <c r="RZ171" s="30"/>
      <c r="SA171" s="30"/>
      <c r="SB171" s="30"/>
      <c r="SC171" s="30"/>
      <c r="SD171" s="30"/>
      <c r="SE171" s="30"/>
      <c r="SF171" s="30"/>
      <c r="SG171" s="30"/>
      <c r="SH171" s="30"/>
      <c r="SI171" s="30"/>
      <c r="SJ171" s="30"/>
      <c r="SK171" s="30"/>
      <c r="SL171" s="30"/>
      <c r="SM171" s="30"/>
      <c r="SN171" s="30"/>
      <c r="SO171" s="30"/>
      <c r="SP171" s="30"/>
      <c r="SQ171" s="30"/>
      <c r="SR171" s="30"/>
      <c r="SS171" s="30"/>
      <c r="ST171" s="30"/>
      <c r="SU171" s="30"/>
      <c r="SV171" s="30"/>
      <c r="SW171" s="30"/>
      <c r="SX171" s="30"/>
      <c r="SY171" s="30"/>
      <c r="SZ171" s="30"/>
      <c r="TA171" s="30"/>
      <c r="TB171" s="30"/>
      <c r="TC171" s="30"/>
      <c r="TD171" s="30"/>
      <c r="TE171" s="30"/>
      <c r="TF171" s="30"/>
      <c r="TG171" s="30"/>
    </row>
    <row r="172" spans="1:527" s="22" customFormat="1" ht="47.25" x14ac:dyDescent="0.25">
      <c r="A172" s="60" t="s">
        <v>353</v>
      </c>
      <c r="B172" s="97" t="str">
        <f>'дод 5'!A110</f>
        <v>3090</v>
      </c>
      <c r="C172" s="97" t="str">
        <f>'дод 5'!B110</f>
        <v>1030</v>
      </c>
      <c r="D172" s="61" t="str">
        <f>'дод 5'!C110</f>
        <v>Видатки на поховання учасників бойових дій та осіб з інвалідністю внаслідок війни, у т.ч. за рахунок:</v>
      </c>
      <c r="E172" s="103">
        <f t="shared" si="68"/>
        <v>245000</v>
      </c>
      <c r="F172" s="103">
        <v>245000</v>
      </c>
      <c r="G172" s="103"/>
      <c r="H172" s="103"/>
      <c r="I172" s="103"/>
      <c r="J172" s="103">
        <f t="shared" si="70"/>
        <v>0</v>
      </c>
      <c r="K172" s="103"/>
      <c r="L172" s="103"/>
      <c r="M172" s="103"/>
      <c r="N172" s="103"/>
      <c r="O172" s="103"/>
      <c r="P172" s="103">
        <f t="shared" si="69"/>
        <v>245000</v>
      </c>
      <c r="Q172" s="188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</row>
    <row r="173" spans="1:527" s="24" customFormat="1" ht="15.75" x14ac:dyDescent="0.25">
      <c r="A173" s="88"/>
      <c r="B173" s="115"/>
      <c r="C173" s="115"/>
      <c r="D173" s="89" t="s">
        <v>395</v>
      </c>
      <c r="E173" s="105">
        <f t="shared" si="68"/>
        <v>245000</v>
      </c>
      <c r="F173" s="105">
        <v>245000</v>
      </c>
      <c r="G173" s="105"/>
      <c r="H173" s="105"/>
      <c r="I173" s="105"/>
      <c r="J173" s="105">
        <f t="shared" si="70"/>
        <v>0</v>
      </c>
      <c r="K173" s="105"/>
      <c r="L173" s="105"/>
      <c r="M173" s="105"/>
      <c r="N173" s="105"/>
      <c r="O173" s="105"/>
      <c r="P173" s="105">
        <f t="shared" si="69"/>
        <v>245000</v>
      </c>
      <c r="Q173" s="188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/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30"/>
      <c r="MW173" s="30"/>
      <c r="MX173" s="30"/>
      <c r="MY173" s="30"/>
      <c r="MZ173" s="30"/>
      <c r="NA173" s="30"/>
      <c r="NB173" s="30"/>
      <c r="NC173" s="30"/>
      <c r="ND173" s="30"/>
      <c r="NE173" s="30"/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0"/>
      <c r="NR173" s="30"/>
      <c r="NS173" s="30"/>
      <c r="NT173" s="30"/>
      <c r="NU173" s="30"/>
      <c r="NV173" s="30"/>
      <c r="NW173" s="30"/>
      <c r="NX173" s="30"/>
      <c r="NY173" s="30"/>
      <c r="NZ173" s="30"/>
      <c r="OA173" s="30"/>
      <c r="OB173" s="30"/>
      <c r="OC173" s="30"/>
      <c r="OD173" s="30"/>
      <c r="OE173" s="30"/>
      <c r="OF173" s="30"/>
      <c r="OG173" s="30"/>
      <c r="OH173" s="30"/>
      <c r="OI173" s="30"/>
      <c r="OJ173" s="30"/>
      <c r="OK173" s="30"/>
      <c r="OL173" s="30"/>
      <c r="OM173" s="30"/>
      <c r="ON173" s="30"/>
      <c r="OO173" s="30"/>
      <c r="OP173" s="30"/>
      <c r="OQ173" s="30"/>
      <c r="OR173" s="30"/>
      <c r="OS173" s="30"/>
      <c r="OT173" s="30"/>
      <c r="OU173" s="30"/>
      <c r="OV173" s="30"/>
      <c r="OW173" s="30"/>
      <c r="OX173" s="30"/>
      <c r="OY173" s="30"/>
      <c r="OZ173" s="30"/>
      <c r="PA173" s="30"/>
      <c r="PB173" s="30"/>
      <c r="PC173" s="30"/>
      <c r="PD173" s="30"/>
      <c r="PE173" s="30"/>
      <c r="PF173" s="30"/>
      <c r="PG173" s="30"/>
      <c r="PH173" s="30"/>
      <c r="PI173" s="30"/>
      <c r="PJ173" s="30"/>
      <c r="PK173" s="30"/>
      <c r="PL173" s="30"/>
      <c r="PM173" s="30"/>
      <c r="PN173" s="30"/>
      <c r="PO173" s="30"/>
      <c r="PP173" s="30"/>
      <c r="PQ173" s="30"/>
      <c r="PR173" s="30"/>
      <c r="PS173" s="30"/>
      <c r="PT173" s="30"/>
      <c r="PU173" s="30"/>
      <c r="PV173" s="30"/>
      <c r="PW173" s="30"/>
      <c r="PX173" s="30"/>
      <c r="PY173" s="30"/>
      <c r="PZ173" s="30"/>
      <c r="QA173" s="30"/>
      <c r="QB173" s="30"/>
      <c r="QC173" s="30"/>
      <c r="QD173" s="30"/>
      <c r="QE173" s="30"/>
      <c r="QF173" s="30"/>
      <c r="QG173" s="30"/>
      <c r="QH173" s="30"/>
      <c r="QI173" s="30"/>
      <c r="QJ173" s="30"/>
      <c r="QK173" s="30"/>
      <c r="QL173" s="30"/>
      <c r="QM173" s="30"/>
      <c r="QN173" s="30"/>
      <c r="QO173" s="30"/>
      <c r="QP173" s="30"/>
      <c r="QQ173" s="30"/>
      <c r="QR173" s="30"/>
      <c r="QS173" s="30"/>
      <c r="QT173" s="30"/>
      <c r="QU173" s="30"/>
      <c r="QV173" s="30"/>
      <c r="QW173" s="30"/>
      <c r="QX173" s="30"/>
      <c r="QY173" s="30"/>
      <c r="QZ173" s="30"/>
      <c r="RA173" s="30"/>
      <c r="RB173" s="30"/>
      <c r="RC173" s="30"/>
      <c r="RD173" s="30"/>
      <c r="RE173" s="30"/>
      <c r="RF173" s="30"/>
      <c r="RG173" s="30"/>
      <c r="RH173" s="30"/>
      <c r="RI173" s="30"/>
      <c r="RJ173" s="30"/>
      <c r="RK173" s="30"/>
      <c r="RL173" s="30"/>
      <c r="RM173" s="30"/>
      <c r="RN173" s="30"/>
      <c r="RO173" s="30"/>
      <c r="RP173" s="30"/>
      <c r="RQ173" s="30"/>
      <c r="RR173" s="30"/>
      <c r="RS173" s="30"/>
      <c r="RT173" s="30"/>
      <c r="RU173" s="30"/>
      <c r="RV173" s="30"/>
      <c r="RW173" s="30"/>
      <c r="RX173" s="30"/>
      <c r="RY173" s="30"/>
      <c r="RZ173" s="30"/>
      <c r="SA173" s="30"/>
      <c r="SB173" s="30"/>
      <c r="SC173" s="30"/>
      <c r="SD173" s="30"/>
      <c r="SE173" s="30"/>
      <c r="SF173" s="30"/>
      <c r="SG173" s="30"/>
      <c r="SH173" s="30"/>
      <c r="SI173" s="30"/>
      <c r="SJ173" s="30"/>
      <c r="SK173" s="30"/>
      <c r="SL173" s="30"/>
      <c r="SM173" s="30"/>
      <c r="SN173" s="30"/>
      <c r="SO173" s="30"/>
      <c r="SP173" s="30"/>
      <c r="SQ173" s="30"/>
      <c r="SR173" s="30"/>
      <c r="SS173" s="30"/>
      <c r="ST173" s="30"/>
      <c r="SU173" s="30"/>
      <c r="SV173" s="30"/>
      <c r="SW173" s="30"/>
      <c r="SX173" s="30"/>
      <c r="SY173" s="30"/>
      <c r="SZ173" s="30"/>
      <c r="TA173" s="30"/>
      <c r="TB173" s="30"/>
      <c r="TC173" s="30"/>
      <c r="TD173" s="30"/>
      <c r="TE173" s="30"/>
      <c r="TF173" s="30"/>
      <c r="TG173" s="30"/>
    </row>
    <row r="174" spans="1:527" s="22" customFormat="1" ht="64.5" customHeight="1" x14ac:dyDescent="0.25">
      <c r="A174" s="60" t="s">
        <v>186</v>
      </c>
      <c r="B174" s="97" t="str">
        <f>'дод 5'!A112</f>
        <v>3104</v>
      </c>
      <c r="C174" s="97" t="str">
        <f>'дод 5'!B112</f>
        <v>1020</v>
      </c>
      <c r="D174" s="61" t="str">
        <f>'дод 5'!C112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74" s="103">
        <f t="shared" si="68"/>
        <v>17521965</v>
      </c>
      <c r="F174" s="103">
        <f>17394450+20000+20000-20000+65000+42515</f>
        <v>17521965</v>
      </c>
      <c r="G174" s="103">
        <v>13551350</v>
      </c>
      <c r="H174" s="103">
        <f>208050+26750+42515</f>
        <v>277315</v>
      </c>
      <c r="I174" s="103"/>
      <c r="J174" s="103">
        <f t="shared" si="70"/>
        <v>96200</v>
      </c>
      <c r="K174" s="103"/>
      <c r="L174" s="103">
        <v>96200</v>
      </c>
      <c r="M174" s="103">
        <v>75000</v>
      </c>
      <c r="N174" s="103"/>
      <c r="O174" s="103"/>
      <c r="P174" s="103">
        <f t="shared" si="69"/>
        <v>17618165</v>
      </c>
      <c r="Q174" s="188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</row>
    <row r="175" spans="1:527" s="22" customFormat="1" ht="81.75" customHeight="1" x14ac:dyDescent="0.25">
      <c r="A175" s="60" t="s">
        <v>187</v>
      </c>
      <c r="B175" s="97" t="str">
        <f>'дод 5'!A118</f>
        <v>3160</v>
      </c>
      <c r="C175" s="97">
        <f>'дод 5'!B118</f>
        <v>1010</v>
      </c>
      <c r="D175" s="61" t="str">
        <f>'дод 5'!C118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75" s="103">
        <f t="shared" si="68"/>
        <v>3000000</v>
      </c>
      <c r="F175" s="103">
        <f>2500000+500000</f>
        <v>3000000</v>
      </c>
      <c r="G175" s="103"/>
      <c r="H175" s="103"/>
      <c r="I175" s="103"/>
      <c r="J175" s="103">
        <f t="shared" si="70"/>
        <v>0</v>
      </c>
      <c r="K175" s="103"/>
      <c r="L175" s="103"/>
      <c r="M175" s="103"/>
      <c r="N175" s="103"/>
      <c r="O175" s="103"/>
      <c r="P175" s="103">
        <f t="shared" si="69"/>
        <v>3000000</v>
      </c>
      <c r="Q175" s="188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</row>
    <row r="176" spans="1:527" s="22" customFormat="1" ht="63" x14ac:dyDescent="0.25">
      <c r="A176" s="60" t="s">
        <v>355</v>
      </c>
      <c r="B176" s="97" t="str">
        <f>'дод 5'!A119</f>
        <v>3171</v>
      </c>
      <c r="C176" s="97">
        <f>'дод 5'!B119</f>
        <v>1010</v>
      </c>
      <c r="D176" s="61" t="str">
        <f>'дод 5'!C119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76" s="103">
        <f t="shared" si="68"/>
        <v>198209</v>
      </c>
      <c r="F176" s="103">
        <v>198209</v>
      </c>
      <c r="G176" s="103"/>
      <c r="H176" s="103"/>
      <c r="I176" s="103"/>
      <c r="J176" s="103">
        <f t="shared" si="70"/>
        <v>0</v>
      </c>
      <c r="K176" s="103"/>
      <c r="L176" s="103"/>
      <c r="M176" s="103"/>
      <c r="N176" s="103"/>
      <c r="O176" s="103"/>
      <c r="P176" s="103">
        <f t="shared" si="69"/>
        <v>198209</v>
      </c>
      <c r="Q176" s="188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  <c r="TF176" s="23"/>
      <c r="TG176" s="23"/>
    </row>
    <row r="177" spans="1:527" s="24" customFormat="1" ht="18" customHeight="1" x14ac:dyDescent="0.25">
      <c r="A177" s="88"/>
      <c r="B177" s="115"/>
      <c r="C177" s="115"/>
      <c r="D177" s="89" t="s">
        <v>395</v>
      </c>
      <c r="E177" s="105">
        <f t="shared" si="68"/>
        <v>198209</v>
      </c>
      <c r="F177" s="105">
        <v>198209</v>
      </c>
      <c r="G177" s="105"/>
      <c r="H177" s="105"/>
      <c r="I177" s="105"/>
      <c r="J177" s="105">
        <f t="shared" si="70"/>
        <v>0</v>
      </c>
      <c r="K177" s="105"/>
      <c r="L177" s="105"/>
      <c r="M177" s="105"/>
      <c r="N177" s="105"/>
      <c r="O177" s="105"/>
      <c r="P177" s="105">
        <f t="shared" si="69"/>
        <v>198209</v>
      </c>
      <c r="Q177" s="188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  <c r="SO177" s="30"/>
      <c r="SP177" s="30"/>
      <c r="SQ177" s="30"/>
      <c r="SR177" s="30"/>
      <c r="SS177" s="30"/>
      <c r="ST177" s="30"/>
      <c r="SU177" s="30"/>
      <c r="SV177" s="30"/>
      <c r="SW177" s="30"/>
      <c r="SX177" s="30"/>
      <c r="SY177" s="30"/>
      <c r="SZ177" s="30"/>
      <c r="TA177" s="30"/>
      <c r="TB177" s="30"/>
      <c r="TC177" s="30"/>
      <c r="TD177" s="30"/>
      <c r="TE177" s="30"/>
      <c r="TF177" s="30"/>
      <c r="TG177" s="30"/>
    </row>
    <row r="178" spans="1:527" s="22" customFormat="1" ht="31.5" x14ac:dyDescent="0.25">
      <c r="A178" s="60" t="s">
        <v>356</v>
      </c>
      <c r="B178" s="97" t="str">
        <f>'дод 5'!A121</f>
        <v>3172</v>
      </c>
      <c r="C178" s="97">
        <f>'дод 5'!B121</f>
        <v>1010</v>
      </c>
      <c r="D178" s="61" t="s">
        <v>408</v>
      </c>
      <c r="E178" s="103">
        <f t="shared" si="68"/>
        <v>90</v>
      </c>
      <c r="F178" s="103">
        <v>90</v>
      </c>
      <c r="G178" s="103"/>
      <c r="H178" s="103"/>
      <c r="I178" s="103"/>
      <c r="J178" s="103">
        <f t="shared" si="70"/>
        <v>0</v>
      </c>
      <c r="K178" s="103"/>
      <c r="L178" s="103"/>
      <c r="M178" s="103"/>
      <c r="N178" s="103"/>
      <c r="O178" s="103"/>
      <c r="P178" s="103">
        <f t="shared" si="69"/>
        <v>90</v>
      </c>
      <c r="Q178" s="188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</row>
    <row r="179" spans="1:527" s="24" customFormat="1" ht="15.75" x14ac:dyDescent="0.25">
      <c r="A179" s="88"/>
      <c r="B179" s="115"/>
      <c r="C179" s="115"/>
      <c r="D179" s="89" t="s">
        <v>395</v>
      </c>
      <c r="E179" s="105">
        <f t="shared" si="68"/>
        <v>90</v>
      </c>
      <c r="F179" s="105">
        <v>90</v>
      </c>
      <c r="G179" s="105"/>
      <c r="H179" s="105"/>
      <c r="I179" s="105"/>
      <c r="J179" s="105">
        <f t="shared" si="70"/>
        <v>0</v>
      </c>
      <c r="K179" s="105"/>
      <c r="L179" s="105"/>
      <c r="M179" s="105"/>
      <c r="N179" s="105"/>
      <c r="O179" s="105"/>
      <c r="P179" s="105">
        <f t="shared" si="69"/>
        <v>90</v>
      </c>
      <c r="Q179" s="188">
        <v>12</v>
      </c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</row>
    <row r="180" spans="1:527" s="22" customFormat="1" ht="78.75" x14ac:dyDescent="0.25">
      <c r="A180" s="60" t="s">
        <v>188</v>
      </c>
      <c r="B180" s="97" t="str">
        <f>'дод 5'!A123</f>
        <v>3180</v>
      </c>
      <c r="C180" s="97" t="str">
        <f>'дод 5'!B123</f>
        <v>1060</v>
      </c>
      <c r="D180" s="61" t="str">
        <f>'дод 5'!C123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0" s="103">
        <f t="shared" si="68"/>
        <v>2213520</v>
      </c>
      <c r="F180" s="103">
        <v>2213520</v>
      </c>
      <c r="G180" s="103"/>
      <c r="H180" s="103"/>
      <c r="I180" s="103"/>
      <c r="J180" s="103">
        <f t="shared" si="70"/>
        <v>0</v>
      </c>
      <c r="K180" s="103"/>
      <c r="L180" s="103"/>
      <c r="M180" s="103"/>
      <c r="N180" s="103"/>
      <c r="O180" s="103"/>
      <c r="P180" s="103">
        <f t="shared" si="69"/>
        <v>2213520</v>
      </c>
      <c r="Q180" s="188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</row>
    <row r="181" spans="1:527" s="22" customFormat="1" ht="31.5" customHeight="1" x14ac:dyDescent="0.25">
      <c r="A181" s="60" t="s">
        <v>310</v>
      </c>
      <c r="B181" s="97" t="str">
        <f>'дод 5'!A124</f>
        <v>3191</v>
      </c>
      <c r="C181" s="97" t="str">
        <f>'дод 5'!B124</f>
        <v>1030</v>
      </c>
      <c r="D181" s="61" t="str">
        <f>'дод 5'!C124</f>
        <v>Інші видатки на соціальний захист ветеранів війни та праці</v>
      </c>
      <c r="E181" s="103">
        <f t="shared" si="68"/>
        <v>2042960</v>
      </c>
      <c r="F181" s="103">
        <f>2089960-47000</f>
        <v>2042960</v>
      </c>
      <c r="G181" s="103"/>
      <c r="H181" s="103"/>
      <c r="I181" s="103"/>
      <c r="J181" s="103">
        <f t="shared" si="70"/>
        <v>0</v>
      </c>
      <c r="K181" s="103"/>
      <c r="L181" s="103"/>
      <c r="M181" s="103"/>
      <c r="N181" s="103"/>
      <c r="O181" s="103"/>
      <c r="P181" s="103">
        <f t="shared" si="69"/>
        <v>2042960</v>
      </c>
      <c r="Q181" s="188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2" customFormat="1" ht="47.25" x14ac:dyDescent="0.25">
      <c r="A182" s="60" t="s">
        <v>311</v>
      </c>
      <c r="B182" s="97" t="str">
        <f>'дод 5'!A125</f>
        <v>3192</v>
      </c>
      <c r="C182" s="97" t="str">
        <f>'дод 5'!B125</f>
        <v>1030</v>
      </c>
      <c r="D182" s="61" t="s">
        <v>511</v>
      </c>
      <c r="E182" s="103">
        <f t="shared" si="68"/>
        <v>2250688</v>
      </c>
      <c r="F182" s="103">
        <v>2250688</v>
      </c>
      <c r="G182" s="103"/>
      <c r="H182" s="103"/>
      <c r="I182" s="103"/>
      <c r="J182" s="103">
        <f t="shared" si="70"/>
        <v>0</v>
      </c>
      <c r="K182" s="103"/>
      <c r="L182" s="103"/>
      <c r="M182" s="103"/>
      <c r="N182" s="103"/>
      <c r="O182" s="103"/>
      <c r="P182" s="103">
        <f t="shared" si="69"/>
        <v>2250688</v>
      </c>
      <c r="Q182" s="188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</row>
    <row r="183" spans="1:527" s="22" customFormat="1" ht="34.5" customHeight="1" x14ac:dyDescent="0.25">
      <c r="A183" s="60" t="s">
        <v>189</v>
      </c>
      <c r="B183" s="97" t="str">
        <f>'дод 5'!A126</f>
        <v>3200</v>
      </c>
      <c r="C183" s="97" t="str">
        <f>'дод 5'!B126</f>
        <v>1090</v>
      </c>
      <c r="D183" s="61" t="str">
        <f>'дод 5'!C126</f>
        <v>Забезпечення обробки інформації з нарахування та виплати допомог і компенсацій</v>
      </c>
      <c r="E183" s="103">
        <f t="shared" si="68"/>
        <v>92000</v>
      </c>
      <c r="F183" s="103">
        <v>92000</v>
      </c>
      <c r="G183" s="103"/>
      <c r="H183" s="103"/>
      <c r="I183" s="103"/>
      <c r="J183" s="103">
        <f t="shared" si="70"/>
        <v>0</v>
      </c>
      <c r="K183" s="103"/>
      <c r="L183" s="103"/>
      <c r="M183" s="103"/>
      <c r="N183" s="103"/>
      <c r="O183" s="103"/>
      <c r="P183" s="103">
        <f t="shared" si="69"/>
        <v>92000</v>
      </c>
      <c r="Q183" s="188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2" customFormat="1" ht="19.5" customHeight="1" x14ac:dyDescent="0.25">
      <c r="A184" s="107" t="s">
        <v>312</v>
      </c>
      <c r="B184" s="42" t="str">
        <f>'дод 5'!A127</f>
        <v>3210</v>
      </c>
      <c r="C184" s="42" t="str">
        <f>'дод 5'!B127</f>
        <v>1050</v>
      </c>
      <c r="D184" s="36" t="str">
        <f>'дод 5'!C127</f>
        <v>Організація та проведення громадських робіт</v>
      </c>
      <c r="E184" s="103">
        <f t="shared" si="68"/>
        <v>50000</v>
      </c>
      <c r="F184" s="103">
        <v>50000</v>
      </c>
      <c r="G184" s="103">
        <v>40900</v>
      </c>
      <c r="H184" s="103"/>
      <c r="I184" s="103"/>
      <c r="J184" s="103">
        <f t="shared" si="70"/>
        <v>0</v>
      </c>
      <c r="K184" s="103"/>
      <c r="L184" s="103"/>
      <c r="M184" s="103"/>
      <c r="N184" s="103"/>
      <c r="O184" s="103"/>
      <c r="P184" s="103">
        <f t="shared" si="69"/>
        <v>50000</v>
      </c>
      <c r="Q184" s="188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2" customFormat="1" ht="261" customHeight="1" x14ac:dyDescent="0.25">
      <c r="A185" s="107" t="s">
        <v>444</v>
      </c>
      <c r="B185" s="42">
        <v>3221</v>
      </c>
      <c r="C185" s="107" t="s">
        <v>54</v>
      </c>
      <c r="D185" s="36" t="s">
        <v>607</v>
      </c>
      <c r="E185" s="103">
        <f t="shared" si="68"/>
        <v>0</v>
      </c>
      <c r="F185" s="120"/>
      <c r="G185" s="103"/>
      <c r="H185" s="103"/>
      <c r="I185" s="103"/>
      <c r="J185" s="103">
        <f t="shared" si="70"/>
        <v>975480.06</v>
      </c>
      <c r="K185" s="103">
        <v>975480.06</v>
      </c>
      <c r="L185" s="103"/>
      <c r="M185" s="103"/>
      <c r="N185" s="103"/>
      <c r="O185" s="103">
        <v>975480.06</v>
      </c>
      <c r="P185" s="103">
        <f t="shared" si="69"/>
        <v>975480.06</v>
      </c>
      <c r="Q185" s="188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</row>
    <row r="186" spans="1:527" s="24" customFormat="1" ht="306.75" customHeight="1" x14ac:dyDescent="0.25">
      <c r="A186" s="109"/>
      <c r="B186" s="92"/>
      <c r="C186" s="109"/>
      <c r="D186" s="91" t="s">
        <v>447</v>
      </c>
      <c r="E186" s="103">
        <f t="shared" si="68"/>
        <v>0</v>
      </c>
      <c r="F186" s="155"/>
      <c r="G186" s="105"/>
      <c r="H186" s="105"/>
      <c r="I186" s="105"/>
      <c r="J186" s="103">
        <f t="shared" si="70"/>
        <v>975480.06</v>
      </c>
      <c r="K186" s="105">
        <v>975480.06</v>
      </c>
      <c r="L186" s="105"/>
      <c r="M186" s="105"/>
      <c r="N186" s="105"/>
      <c r="O186" s="105">
        <v>975480.06</v>
      </c>
      <c r="P186" s="105">
        <f t="shared" si="69"/>
        <v>975480.06</v>
      </c>
      <c r="Q186" s="188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</row>
    <row r="187" spans="1:527" s="22" customFormat="1" ht="330.75" x14ac:dyDescent="0.25">
      <c r="A187" s="107" t="s">
        <v>580</v>
      </c>
      <c r="B187" s="42">
        <v>3222</v>
      </c>
      <c r="C187" s="107" t="s">
        <v>54</v>
      </c>
      <c r="D187" s="36" t="s">
        <v>608</v>
      </c>
      <c r="E187" s="103">
        <f t="shared" ref="E187:E188" si="71">F187+I187</f>
        <v>0</v>
      </c>
      <c r="F187" s="156"/>
      <c r="G187" s="103"/>
      <c r="H187" s="103"/>
      <c r="I187" s="103"/>
      <c r="J187" s="103">
        <f t="shared" ref="J187:J188" si="72">L187+O187</f>
        <v>1176130.99</v>
      </c>
      <c r="K187" s="103">
        <v>1176130.99</v>
      </c>
      <c r="L187" s="103"/>
      <c r="M187" s="103"/>
      <c r="N187" s="103"/>
      <c r="O187" s="103">
        <v>1176130.99</v>
      </c>
      <c r="P187" s="103">
        <f t="shared" si="69"/>
        <v>1176130.99</v>
      </c>
      <c r="Q187" s="188">
        <v>13</v>
      </c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4" customFormat="1" ht="332.25" customHeight="1" x14ac:dyDescent="0.25">
      <c r="A188" s="109"/>
      <c r="B188" s="92"/>
      <c r="C188" s="109"/>
      <c r="D188" s="91" t="s">
        <v>605</v>
      </c>
      <c r="E188" s="105">
        <f t="shared" si="71"/>
        <v>0</v>
      </c>
      <c r="F188" s="155"/>
      <c r="G188" s="105"/>
      <c r="H188" s="105"/>
      <c r="I188" s="105"/>
      <c r="J188" s="105">
        <f t="shared" si="72"/>
        <v>1176130.99</v>
      </c>
      <c r="K188" s="105">
        <v>1176130.99</v>
      </c>
      <c r="L188" s="105"/>
      <c r="M188" s="105"/>
      <c r="N188" s="105"/>
      <c r="O188" s="105">
        <v>1176130.99</v>
      </c>
      <c r="P188" s="105">
        <f t="shared" si="69"/>
        <v>1176130.99</v>
      </c>
      <c r="Q188" s="188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  <c r="TF188" s="30"/>
      <c r="TG188" s="30"/>
    </row>
    <row r="189" spans="1:527" s="22" customFormat="1" ht="220.5" hidden="1" customHeight="1" x14ac:dyDescent="0.25">
      <c r="A189" s="107" t="s">
        <v>443</v>
      </c>
      <c r="B189" s="42">
        <v>3223</v>
      </c>
      <c r="C189" s="107" t="s">
        <v>54</v>
      </c>
      <c r="D189" s="36" t="str">
        <f>'дод 5'!C132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89" s="103">
        <f t="shared" si="68"/>
        <v>0</v>
      </c>
      <c r="F189" s="103"/>
      <c r="G189" s="103"/>
      <c r="H189" s="103"/>
      <c r="I189" s="103"/>
      <c r="J189" s="103">
        <f t="shared" si="70"/>
        <v>0</v>
      </c>
      <c r="K189" s="103"/>
      <c r="L189" s="103"/>
      <c r="M189" s="103"/>
      <c r="N189" s="103"/>
      <c r="O189" s="103"/>
      <c r="P189" s="103">
        <f t="shared" si="69"/>
        <v>0</v>
      </c>
      <c r="Q189" s="188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4" customFormat="1" ht="267.75" hidden="1" customHeight="1" x14ac:dyDescent="0.25">
      <c r="A190" s="109"/>
      <c r="B190" s="92"/>
      <c r="C190" s="109"/>
      <c r="D190" s="91" t="str">
        <f>'дод 5'!C133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0" s="105">
        <f t="shared" si="68"/>
        <v>0</v>
      </c>
      <c r="F190" s="105"/>
      <c r="G190" s="105"/>
      <c r="H190" s="105"/>
      <c r="I190" s="105"/>
      <c r="J190" s="105">
        <f t="shared" si="70"/>
        <v>0</v>
      </c>
      <c r="K190" s="105"/>
      <c r="L190" s="105"/>
      <c r="M190" s="105"/>
      <c r="N190" s="105"/>
      <c r="O190" s="105"/>
      <c r="P190" s="105">
        <f t="shared" si="69"/>
        <v>0</v>
      </c>
      <c r="Q190" s="188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  <c r="LU190" s="30"/>
      <c r="LV190" s="30"/>
      <c r="LW190" s="30"/>
      <c r="LX190" s="30"/>
      <c r="LY190" s="30"/>
      <c r="LZ190" s="30"/>
      <c r="MA190" s="30"/>
      <c r="MB190" s="30"/>
      <c r="MC190" s="30"/>
      <c r="MD190" s="30"/>
      <c r="ME190" s="30"/>
      <c r="MF190" s="30"/>
      <c r="MG190" s="30"/>
      <c r="MH190" s="30"/>
      <c r="MI190" s="30"/>
      <c r="MJ190" s="30"/>
      <c r="MK190" s="30"/>
      <c r="ML190" s="30"/>
      <c r="MM190" s="30"/>
      <c r="MN190" s="30"/>
      <c r="MO190" s="30"/>
      <c r="MP190" s="30"/>
      <c r="MQ190" s="30"/>
      <c r="MR190" s="30"/>
      <c r="MS190" s="30"/>
      <c r="MT190" s="30"/>
      <c r="MU190" s="30"/>
      <c r="MV190" s="30"/>
      <c r="MW190" s="30"/>
      <c r="MX190" s="30"/>
      <c r="MY190" s="30"/>
      <c r="MZ190" s="30"/>
      <c r="NA190" s="30"/>
      <c r="NB190" s="30"/>
      <c r="NC190" s="30"/>
      <c r="ND190" s="30"/>
      <c r="NE190" s="30"/>
      <c r="NF190" s="30"/>
      <c r="NG190" s="30"/>
      <c r="NH190" s="30"/>
      <c r="NI190" s="30"/>
      <c r="NJ190" s="30"/>
      <c r="NK190" s="30"/>
      <c r="NL190" s="30"/>
      <c r="NM190" s="30"/>
      <c r="NN190" s="30"/>
      <c r="NO190" s="30"/>
      <c r="NP190" s="30"/>
      <c r="NQ190" s="30"/>
      <c r="NR190" s="30"/>
      <c r="NS190" s="30"/>
      <c r="NT190" s="30"/>
      <c r="NU190" s="30"/>
      <c r="NV190" s="30"/>
      <c r="NW190" s="30"/>
      <c r="NX190" s="30"/>
      <c r="NY190" s="30"/>
      <c r="NZ190" s="30"/>
      <c r="OA190" s="30"/>
      <c r="OB190" s="30"/>
      <c r="OC190" s="30"/>
      <c r="OD190" s="30"/>
      <c r="OE190" s="30"/>
      <c r="OF190" s="30"/>
      <c r="OG190" s="30"/>
      <c r="OH190" s="30"/>
      <c r="OI190" s="30"/>
      <c r="OJ190" s="30"/>
      <c r="OK190" s="30"/>
      <c r="OL190" s="30"/>
      <c r="OM190" s="30"/>
      <c r="ON190" s="30"/>
      <c r="OO190" s="30"/>
      <c r="OP190" s="30"/>
      <c r="OQ190" s="30"/>
      <c r="OR190" s="30"/>
      <c r="OS190" s="30"/>
      <c r="OT190" s="30"/>
      <c r="OU190" s="30"/>
      <c r="OV190" s="30"/>
      <c r="OW190" s="30"/>
      <c r="OX190" s="30"/>
      <c r="OY190" s="30"/>
      <c r="OZ190" s="30"/>
      <c r="PA190" s="30"/>
      <c r="PB190" s="30"/>
      <c r="PC190" s="30"/>
      <c r="PD190" s="30"/>
      <c r="PE190" s="30"/>
      <c r="PF190" s="30"/>
      <c r="PG190" s="30"/>
      <c r="PH190" s="30"/>
      <c r="PI190" s="30"/>
      <c r="PJ190" s="30"/>
      <c r="PK190" s="30"/>
      <c r="PL190" s="30"/>
      <c r="PM190" s="30"/>
      <c r="PN190" s="30"/>
      <c r="PO190" s="30"/>
      <c r="PP190" s="30"/>
      <c r="PQ190" s="30"/>
      <c r="PR190" s="30"/>
      <c r="PS190" s="30"/>
      <c r="PT190" s="30"/>
      <c r="PU190" s="30"/>
      <c r="PV190" s="30"/>
      <c r="PW190" s="30"/>
      <c r="PX190" s="30"/>
      <c r="PY190" s="30"/>
      <c r="PZ190" s="30"/>
      <c r="QA190" s="30"/>
      <c r="QB190" s="30"/>
      <c r="QC190" s="30"/>
      <c r="QD190" s="30"/>
      <c r="QE190" s="30"/>
      <c r="QF190" s="30"/>
      <c r="QG190" s="30"/>
      <c r="QH190" s="30"/>
      <c r="QI190" s="30"/>
      <c r="QJ190" s="30"/>
      <c r="QK190" s="30"/>
      <c r="QL190" s="30"/>
      <c r="QM190" s="30"/>
      <c r="QN190" s="30"/>
      <c r="QO190" s="30"/>
      <c r="QP190" s="30"/>
      <c r="QQ190" s="30"/>
      <c r="QR190" s="30"/>
      <c r="QS190" s="30"/>
      <c r="QT190" s="30"/>
      <c r="QU190" s="30"/>
      <c r="QV190" s="30"/>
      <c r="QW190" s="30"/>
      <c r="QX190" s="30"/>
      <c r="QY190" s="30"/>
      <c r="QZ190" s="30"/>
      <c r="RA190" s="30"/>
      <c r="RB190" s="30"/>
      <c r="RC190" s="30"/>
      <c r="RD190" s="30"/>
      <c r="RE190" s="30"/>
      <c r="RF190" s="30"/>
      <c r="RG190" s="30"/>
      <c r="RH190" s="30"/>
      <c r="RI190" s="30"/>
      <c r="RJ190" s="30"/>
      <c r="RK190" s="30"/>
      <c r="RL190" s="30"/>
      <c r="RM190" s="30"/>
      <c r="RN190" s="30"/>
      <c r="RO190" s="30"/>
      <c r="RP190" s="30"/>
      <c r="RQ190" s="30"/>
      <c r="RR190" s="30"/>
      <c r="RS190" s="30"/>
      <c r="RT190" s="30"/>
      <c r="RU190" s="30"/>
      <c r="RV190" s="30"/>
      <c r="RW190" s="30"/>
      <c r="RX190" s="30"/>
      <c r="RY190" s="30"/>
      <c r="RZ190" s="30"/>
      <c r="SA190" s="30"/>
      <c r="SB190" s="30"/>
      <c r="SC190" s="30"/>
      <c r="SD190" s="30"/>
      <c r="SE190" s="30"/>
      <c r="SF190" s="30"/>
      <c r="SG190" s="30"/>
      <c r="SH190" s="30"/>
      <c r="SI190" s="30"/>
      <c r="SJ190" s="30"/>
      <c r="SK190" s="30"/>
      <c r="SL190" s="30"/>
      <c r="SM190" s="30"/>
      <c r="SN190" s="30"/>
      <c r="SO190" s="30"/>
      <c r="SP190" s="30"/>
      <c r="SQ190" s="30"/>
      <c r="SR190" s="30"/>
      <c r="SS190" s="30"/>
      <c r="ST190" s="30"/>
      <c r="SU190" s="30"/>
      <c r="SV190" s="30"/>
      <c r="SW190" s="30"/>
      <c r="SX190" s="30"/>
      <c r="SY190" s="30"/>
      <c r="SZ190" s="30"/>
      <c r="TA190" s="30"/>
      <c r="TB190" s="30"/>
      <c r="TC190" s="30"/>
      <c r="TD190" s="30"/>
      <c r="TE190" s="30"/>
      <c r="TF190" s="30"/>
      <c r="TG190" s="30"/>
    </row>
    <row r="191" spans="1:527" s="22" customFormat="1" ht="31.5" customHeight="1" x14ac:dyDescent="0.25">
      <c r="A191" s="60" t="s">
        <v>309</v>
      </c>
      <c r="B191" s="97" t="str">
        <f>'дод 5'!A134</f>
        <v>3241</v>
      </c>
      <c r="C191" s="97" t="str">
        <f>'дод 5'!B134</f>
        <v>1090</v>
      </c>
      <c r="D191" s="61" t="str">
        <f>'дод 5'!C134</f>
        <v>Забезпечення діяльності інших закладів у сфері соціального захисту і соціального забезпечення</v>
      </c>
      <c r="E191" s="103">
        <f t="shared" si="68"/>
        <v>6928322.5599999996</v>
      </c>
      <c r="F191" s="103">
        <f>6615708.56+38000+199000+75614</f>
        <v>6928322.5599999996</v>
      </c>
      <c r="G191" s="103">
        <v>4074650</v>
      </c>
      <c r="H191" s="103">
        <f>333300+75614</f>
        <v>408914</v>
      </c>
      <c r="I191" s="103"/>
      <c r="J191" s="103">
        <f t="shared" ref="J191:J195" si="73">L191+O191</f>
        <v>161000</v>
      </c>
      <c r="K191" s="103">
        <f>360000-199000</f>
        <v>161000</v>
      </c>
      <c r="L191" s="103"/>
      <c r="M191" s="103"/>
      <c r="N191" s="103"/>
      <c r="O191" s="103">
        <f>360000-199000</f>
        <v>161000</v>
      </c>
      <c r="P191" s="103">
        <f t="shared" si="69"/>
        <v>7089322.5599999996</v>
      </c>
      <c r="Q191" s="188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2" customFormat="1" ht="33" customHeight="1" x14ac:dyDescent="0.25">
      <c r="A192" s="60" t="s">
        <v>357</v>
      </c>
      <c r="B192" s="97" t="str">
        <f>'дод 5'!A135</f>
        <v>3242</v>
      </c>
      <c r="C192" s="97" t="str">
        <f>'дод 5'!B135</f>
        <v>1090</v>
      </c>
      <c r="D192" s="61" t="s">
        <v>525</v>
      </c>
      <c r="E192" s="103">
        <f t="shared" si="68"/>
        <v>38733302.549999997</v>
      </c>
      <c r="F192" s="103">
        <f>34325670+76000+12000+250000+1652252.55+881000+791200+57000+20770+189500+106000+5000+5000+10000+25000+47000+1000+45000+69500+38800+125610</f>
        <v>38733302.549999997</v>
      </c>
      <c r="G192" s="103"/>
      <c r="H192" s="103"/>
      <c r="I192" s="103"/>
      <c r="J192" s="103">
        <f t="shared" si="73"/>
        <v>45000</v>
      </c>
      <c r="K192" s="103">
        <v>45000</v>
      </c>
      <c r="L192" s="103"/>
      <c r="M192" s="103"/>
      <c r="N192" s="103"/>
      <c r="O192" s="103">
        <v>45000</v>
      </c>
      <c r="P192" s="103">
        <f t="shared" si="69"/>
        <v>38778302.549999997</v>
      </c>
      <c r="Q192" s="188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4" customFormat="1" ht="15" customHeight="1" x14ac:dyDescent="0.25">
      <c r="A193" s="88"/>
      <c r="B193" s="115"/>
      <c r="C193" s="115"/>
      <c r="D193" s="89" t="s">
        <v>395</v>
      </c>
      <c r="E193" s="105">
        <f t="shared" si="68"/>
        <v>348000</v>
      </c>
      <c r="F193" s="105">
        <f>336000+12000</f>
        <v>348000</v>
      </c>
      <c r="G193" s="105"/>
      <c r="H193" s="105"/>
      <c r="I193" s="105"/>
      <c r="J193" s="105">
        <f t="shared" si="73"/>
        <v>0</v>
      </c>
      <c r="K193" s="105"/>
      <c r="L193" s="105"/>
      <c r="M193" s="105"/>
      <c r="N193" s="105"/>
      <c r="O193" s="105"/>
      <c r="P193" s="105">
        <f t="shared" si="69"/>
        <v>348000</v>
      </c>
      <c r="Q193" s="188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  <c r="TF193" s="30"/>
      <c r="TG193" s="30"/>
    </row>
    <row r="194" spans="1:527" s="22" customFormat="1" ht="18.75" x14ac:dyDescent="0.25">
      <c r="A194" s="60" t="s">
        <v>419</v>
      </c>
      <c r="B194" s="97">
        <v>7323</v>
      </c>
      <c r="C194" s="60" t="s">
        <v>113</v>
      </c>
      <c r="D194" s="146" t="s">
        <v>564</v>
      </c>
      <c r="E194" s="103">
        <f t="shared" si="68"/>
        <v>0</v>
      </c>
      <c r="F194" s="103"/>
      <c r="G194" s="103"/>
      <c r="H194" s="103"/>
      <c r="I194" s="103"/>
      <c r="J194" s="103">
        <f t="shared" si="73"/>
        <v>473213</v>
      </c>
      <c r="K194" s="103">
        <f>400000+73213</f>
        <v>473213</v>
      </c>
      <c r="L194" s="103"/>
      <c r="M194" s="103"/>
      <c r="N194" s="103"/>
      <c r="O194" s="103">
        <f>400000+73213</f>
        <v>473213</v>
      </c>
      <c r="P194" s="103">
        <f t="shared" si="69"/>
        <v>473213</v>
      </c>
      <c r="Q194" s="188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</row>
    <row r="195" spans="1:527" s="22" customFormat="1" ht="22.5" customHeight="1" x14ac:dyDescent="0.25">
      <c r="A195" s="60" t="s">
        <v>267</v>
      </c>
      <c r="B195" s="97" t="str">
        <f>'дод 5'!A241</f>
        <v>9770</v>
      </c>
      <c r="C195" s="97" t="str">
        <f>'дод 5'!B241</f>
        <v>0180</v>
      </c>
      <c r="D195" s="61" t="str">
        <f>'дод 5'!C241</f>
        <v>Інші субвенції з місцевого бюджету</v>
      </c>
      <c r="E195" s="103">
        <f t="shared" si="68"/>
        <v>3645344</v>
      </c>
      <c r="F195" s="103">
        <f>2500000+1145344</f>
        <v>3645344</v>
      </c>
      <c r="G195" s="103"/>
      <c r="H195" s="103"/>
      <c r="I195" s="103"/>
      <c r="J195" s="103">
        <f t="shared" si="73"/>
        <v>0</v>
      </c>
      <c r="K195" s="103"/>
      <c r="L195" s="103"/>
      <c r="M195" s="103"/>
      <c r="N195" s="103"/>
      <c r="O195" s="103"/>
      <c r="P195" s="103">
        <f t="shared" si="69"/>
        <v>3645344</v>
      </c>
      <c r="Q195" s="188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</row>
    <row r="196" spans="1:527" s="27" customFormat="1" ht="31.5" x14ac:dyDescent="0.25">
      <c r="A196" s="110" t="s">
        <v>190</v>
      </c>
      <c r="B196" s="39"/>
      <c r="C196" s="39"/>
      <c r="D196" s="111" t="s">
        <v>365</v>
      </c>
      <c r="E196" s="99">
        <f>E197</f>
        <v>5890161</v>
      </c>
      <c r="F196" s="99">
        <f t="shared" ref="F196:J196" si="74">F197</f>
        <v>5890161</v>
      </c>
      <c r="G196" s="99">
        <f t="shared" si="74"/>
        <v>4491300</v>
      </c>
      <c r="H196" s="99">
        <f t="shared" si="74"/>
        <v>55881</v>
      </c>
      <c r="I196" s="99">
        <f t="shared" si="74"/>
        <v>0</v>
      </c>
      <c r="J196" s="99">
        <f t="shared" si="74"/>
        <v>33200</v>
      </c>
      <c r="K196" s="99">
        <f t="shared" ref="K196" si="75">K197</f>
        <v>33200</v>
      </c>
      <c r="L196" s="99">
        <f t="shared" ref="L196" si="76">L197</f>
        <v>0</v>
      </c>
      <c r="M196" s="99">
        <f t="shared" ref="M196" si="77">M197</f>
        <v>0</v>
      </c>
      <c r="N196" s="99">
        <f t="shared" ref="N196" si="78">N197</f>
        <v>0</v>
      </c>
      <c r="O196" s="99">
        <f t="shared" ref="O196:P196" si="79">O197</f>
        <v>33200</v>
      </c>
      <c r="P196" s="99">
        <f t="shared" si="79"/>
        <v>5923361</v>
      </c>
      <c r="Q196" s="188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  <c r="IT196" s="32"/>
      <c r="IU196" s="32"/>
      <c r="IV196" s="32"/>
      <c r="IW196" s="32"/>
      <c r="IX196" s="32"/>
      <c r="IY196" s="32"/>
      <c r="IZ196" s="32"/>
      <c r="JA196" s="32"/>
      <c r="JB196" s="32"/>
      <c r="JC196" s="32"/>
      <c r="JD196" s="32"/>
      <c r="JE196" s="32"/>
      <c r="JF196" s="32"/>
      <c r="JG196" s="32"/>
      <c r="JH196" s="32"/>
      <c r="JI196" s="32"/>
      <c r="JJ196" s="32"/>
      <c r="JK196" s="32"/>
      <c r="JL196" s="32"/>
      <c r="JM196" s="32"/>
      <c r="JN196" s="32"/>
      <c r="JO196" s="32"/>
      <c r="JP196" s="32"/>
      <c r="JQ196" s="32"/>
      <c r="JR196" s="32"/>
      <c r="JS196" s="32"/>
      <c r="JT196" s="32"/>
      <c r="JU196" s="32"/>
      <c r="JV196" s="32"/>
      <c r="JW196" s="32"/>
      <c r="JX196" s="32"/>
      <c r="JY196" s="32"/>
      <c r="JZ196" s="32"/>
      <c r="KA196" s="32"/>
      <c r="KB196" s="32"/>
      <c r="KC196" s="32"/>
      <c r="KD196" s="32"/>
      <c r="KE196" s="32"/>
      <c r="KF196" s="32"/>
      <c r="KG196" s="32"/>
      <c r="KH196" s="32"/>
      <c r="KI196" s="32"/>
      <c r="KJ196" s="32"/>
      <c r="KK196" s="32"/>
      <c r="KL196" s="32"/>
      <c r="KM196" s="32"/>
      <c r="KN196" s="32"/>
      <c r="KO196" s="32"/>
      <c r="KP196" s="32"/>
      <c r="KQ196" s="32"/>
      <c r="KR196" s="32"/>
      <c r="KS196" s="32"/>
      <c r="KT196" s="32"/>
      <c r="KU196" s="32"/>
      <c r="KV196" s="32"/>
      <c r="KW196" s="32"/>
      <c r="KX196" s="32"/>
      <c r="KY196" s="32"/>
      <c r="KZ196" s="32"/>
      <c r="LA196" s="32"/>
      <c r="LB196" s="32"/>
      <c r="LC196" s="32"/>
      <c r="LD196" s="32"/>
      <c r="LE196" s="32"/>
      <c r="LF196" s="32"/>
      <c r="LG196" s="32"/>
      <c r="LH196" s="32"/>
      <c r="LI196" s="32"/>
      <c r="LJ196" s="32"/>
      <c r="LK196" s="32"/>
      <c r="LL196" s="32"/>
      <c r="LM196" s="32"/>
      <c r="LN196" s="32"/>
      <c r="LO196" s="32"/>
      <c r="LP196" s="32"/>
      <c r="LQ196" s="32"/>
      <c r="LR196" s="32"/>
      <c r="LS196" s="32"/>
      <c r="LT196" s="32"/>
      <c r="LU196" s="32"/>
      <c r="LV196" s="32"/>
      <c r="LW196" s="32"/>
      <c r="LX196" s="32"/>
      <c r="LY196" s="32"/>
      <c r="LZ196" s="32"/>
      <c r="MA196" s="32"/>
      <c r="MB196" s="32"/>
      <c r="MC196" s="32"/>
      <c r="MD196" s="32"/>
      <c r="ME196" s="32"/>
      <c r="MF196" s="32"/>
      <c r="MG196" s="32"/>
      <c r="MH196" s="32"/>
      <c r="MI196" s="32"/>
      <c r="MJ196" s="32"/>
      <c r="MK196" s="32"/>
      <c r="ML196" s="32"/>
      <c r="MM196" s="32"/>
      <c r="MN196" s="32"/>
      <c r="MO196" s="32"/>
      <c r="MP196" s="32"/>
      <c r="MQ196" s="32"/>
      <c r="MR196" s="32"/>
      <c r="MS196" s="32"/>
      <c r="MT196" s="32"/>
      <c r="MU196" s="32"/>
      <c r="MV196" s="32"/>
      <c r="MW196" s="32"/>
      <c r="MX196" s="32"/>
      <c r="MY196" s="32"/>
      <c r="MZ196" s="32"/>
      <c r="NA196" s="32"/>
      <c r="NB196" s="32"/>
      <c r="NC196" s="32"/>
      <c r="ND196" s="32"/>
      <c r="NE196" s="32"/>
      <c r="NF196" s="32"/>
      <c r="NG196" s="32"/>
      <c r="NH196" s="32"/>
      <c r="NI196" s="32"/>
      <c r="NJ196" s="32"/>
      <c r="NK196" s="32"/>
      <c r="NL196" s="32"/>
      <c r="NM196" s="32"/>
      <c r="NN196" s="32"/>
      <c r="NO196" s="32"/>
      <c r="NP196" s="32"/>
      <c r="NQ196" s="32"/>
      <c r="NR196" s="32"/>
      <c r="NS196" s="32"/>
      <c r="NT196" s="32"/>
      <c r="NU196" s="32"/>
      <c r="NV196" s="32"/>
      <c r="NW196" s="32"/>
      <c r="NX196" s="32"/>
      <c r="NY196" s="32"/>
      <c r="NZ196" s="32"/>
      <c r="OA196" s="32"/>
      <c r="OB196" s="32"/>
      <c r="OC196" s="32"/>
      <c r="OD196" s="32"/>
      <c r="OE196" s="32"/>
      <c r="OF196" s="32"/>
      <c r="OG196" s="32"/>
      <c r="OH196" s="32"/>
      <c r="OI196" s="32"/>
      <c r="OJ196" s="32"/>
      <c r="OK196" s="32"/>
      <c r="OL196" s="32"/>
      <c r="OM196" s="32"/>
      <c r="ON196" s="32"/>
      <c r="OO196" s="32"/>
      <c r="OP196" s="32"/>
      <c r="OQ196" s="32"/>
      <c r="OR196" s="32"/>
      <c r="OS196" s="32"/>
      <c r="OT196" s="32"/>
      <c r="OU196" s="32"/>
      <c r="OV196" s="32"/>
      <c r="OW196" s="32"/>
      <c r="OX196" s="32"/>
      <c r="OY196" s="32"/>
      <c r="OZ196" s="32"/>
      <c r="PA196" s="32"/>
      <c r="PB196" s="32"/>
      <c r="PC196" s="32"/>
      <c r="PD196" s="32"/>
      <c r="PE196" s="32"/>
      <c r="PF196" s="32"/>
      <c r="PG196" s="32"/>
      <c r="PH196" s="32"/>
      <c r="PI196" s="32"/>
      <c r="PJ196" s="32"/>
      <c r="PK196" s="32"/>
      <c r="PL196" s="32"/>
      <c r="PM196" s="32"/>
      <c r="PN196" s="32"/>
      <c r="PO196" s="32"/>
      <c r="PP196" s="32"/>
      <c r="PQ196" s="32"/>
      <c r="PR196" s="32"/>
      <c r="PS196" s="32"/>
      <c r="PT196" s="32"/>
      <c r="PU196" s="32"/>
      <c r="PV196" s="32"/>
      <c r="PW196" s="32"/>
      <c r="PX196" s="32"/>
      <c r="PY196" s="32"/>
      <c r="PZ196" s="32"/>
      <c r="QA196" s="32"/>
      <c r="QB196" s="32"/>
      <c r="QC196" s="32"/>
      <c r="QD196" s="32"/>
      <c r="QE196" s="32"/>
      <c r="QF196" s="32"/>
      <c r="QG196" s="32"/>
      <c r="QH196" s="32"/>
      <c r="QI196" s="32"/>
      <c r="QJ196" s="32"/>
      <c r="QK196" s="32"/>
      <c r="QL196" s="32"/>
      <c r="QM196" s="32"/>
      <c r="QN196" s="32"/>
      <c r="QO196" s="32"/>
      <c r="QP196" s="32"/>
      <c r="QQ196" s="32"/>
      <c r="QR196" s="32"/>
      <c r="QS196" s="32"/>
      <c r="QT196" s="32"/>
      <c r="QU196" s="32"/>
      <c r="QV196" s="32"/>
      <c r="QW196" s="32"/>
      <c r="QX196" s="32"/>
      <c r="QY196" s="32"/>
      <c r="QZ196" s="32"/>
      <c r="RA196" s="32"/>
      <c r="RB196" s="32"/>
      <c r="RC196" s="32"/>
      <c r="RD196" s="32"/>
      <c r="RE196" s="32"/>
      <c r="RF196" s="32"/>
      <c r="RG196" s="32"/>
      <c r="RH196" s="32"/>
      <c r="RI196" s="32"/>
      <c r="RJ196" s="32"/>
      <c r="RK196" s="32"/>
      <c r="RL196" s="32"/>
      <c r="RM196" s="32"/>
      <c r="RN196" s="32"/>
      <c r="RO196" s="32"/>
      <c r="RP196" s="32"/>
      <c r="RQ196" s="32"/>
      <c r="RR196" s="32"/>
      <c r="RS196" s="32"/>
      <c r="RT196" s="32"/>
      <c r="RU196" s="32"/>
      <c r="RV196" s="32"/>
      <c r="RW196" s="32"/>
      <c r="RX196" s="32"/>
      <c r="RY196" s="32"/>
      <c r="RZ196" s="32"/>
      <c r="SA196" s="32"/>
      <c r="SB196" s="32"/>
      <c r="SC196" s="32"/>
      <c r="SD196" s="32"/>
      <c r="SE196" s="32"/>
      <c r="SF196" s="32"/>
      <c r="SG196" s="32"/>
      <c r="SH196" s="32"/>
      <c r="SI196" s="32"/>
      <c r="SJ196" s="32"/>
      <c r="SK196" s="32"/>
      <c r="SL196" s="32"/>
      <c r="SM196" s="32"/>
      <c r="SN196" s="32"/>
      <c r="SO196" s="32"/>
      <c r="SP196" s="32"/>
      <c r="SQ196" s="32"/>
      <c r="SR196" s="32"/>
      <c r="SS196" s="32"/>
      <c r="ST196" s="32"/>
      <c r="SU196" s="32"/>
      <c r="SV196" s="32"/>
      <c r="SW196" s="32"/>
      <c r="SX196" s="32"/>
      <c r="SY196" s="32"/>
      <c r="SZ196" s="32"/>
      <c r="TA196" s="32"/>
      <c r="TB196" s="32"/>
      <c r="TC196" s="32"/>
      <c r="TD196" s="32"/>
      <c r="TE196" s="32"/>
      <c r="TF196" s="32"/>
      <c r="TG196" s="32"/>
    </row>
    <row r="197" spans="1:527" s="34" customFormat="1" ht="31.5" x14ac:dyDescent="0.25">
      <c r="A197" s="112" t="s">
        <v>191</v>
      </c>
      <c r="B197" s="78"/>
      <c r="C197" s="78"/>
      <c r="D197" s="81" t="s">
        <v>365</v>
      </c>
      <c r="E197" s="102">
        <f>E199+E200+E201+E202</f>
        <v>5890161</v>
      </c>
      <c r="F197" s="102">
        <f t="shared" ref="F197:P197" si="80">F199+F200+F201+F202</f>
        <v>5890161</v>
      </c>
      <c r="G197" s="102">
        <f t="shared" si="80"/>
        <v>4491300</v>
      </c>
      <c r="H197" s="102">
        <f t="shared" si="80"/>
        <v>55881</v>
      </c>
      <c r="I197" s="102">
        <f t="shared" si="80"/>
        <v>0</v>
      </c>
      <c r="J197" s="102">
        <f t="shared" si="80"/>
        <v>33200</v>
      </c>
      <c r="K197" s="102">
        <f>K199+K200+K201+K202</f>
        <v>33200</v>
      </c>
      <c r="L197" s="102">
        <f t="shared" si="80"/>
        <v>0</v>
      </c>
      <c r="M197" s="102">
        <f t="shared" si="80"/>
        <v>0</v>
      </c>
      <c r="N197" s="102">
        <f t="shared" si="80"/>
        <v>0</v>
      </c>
      <c r="O197" s="102">
        <f t="shared" si="80"/>
        <v>33200</v>
      </c>
      <c r="P197" s="102">
        <f t="shared" si="80"/>
        <v>5923361</v>
      </c>
      <c r="Q197" s="188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  <c r="IW197" s="33"/>
      <c r="IX197" s="33"/>
      <c r="IY197" s="33"/>
      <c r="IZ197" s="33"/>
      <c r="JA197" s="33"/>
      <c r="JB197" s="33"/>
      <c r="JC197" s="33"/>
      <c r="JD197" s="33"/>
      <c r="JE197" s="33"/>
      <c r="JF197" s="33"/>
      <c r="JG197" s="33"/>
      <c r="JH197" s="33"/>
      <c r="JI197" s="33"/>
      <c r="JJ197" s="33"/>
      <c r="JK197" s="33"/>
      <c r="JL197" s="33"/>
      <c r="JM197" s="33"/>
      <c r="JN197" s="33"/>
      <c r="JO197" s="33"/>
      <c r="JP197" s="33"/>
      <c r="JQ197" s="33"/>
      <c r="JR197" s="33"/>
      <c r="JS197" s="33"/>
      <c r="JT197" s="33"/>
      <c r="JU197" s="33"/>
      <c r="JV197" s="33"/>
      <c r="JW197" s="33"/>
      <c r="JX197" s="33"/>
      <c r="JY197" s="33"/>
      <c r="JZ197" s="33"/>
      <c r="KA197" s="33"/>
      <c r="KB197" s="33"/>
      <c r="KC197" s="33"/>
      <c r="KD197" s="33"/>
      <c r="KE197" s="33"/>
      <c r="KF197" s="33"/>
      <c r="KG197" s="33"/>
      <c r="KH197" s="33"/>
      <c r="KI197" s="33"/>
      <c r="KJ197" s="33"/>
      <c r="KK197" s="33"/>
      <c r="KL197" s="33"/>
      <c r="KM197" s="33"/>
      <c r="KN197" s="33"/>
      <c r="KO197" s="33"/>
      <c r="KP197" s="33"/>
      <c r="KQ197" s="33"/>
      <c r="KR197" s="33"/>
      <c r="KS197" s="33"/>
      <c r="KT197" s="33"/>
      <c r="KU197" s="33"/>
      <c r="KV197" s="33"/>
      <c r="KW197" s="33"/>
      <c r="KX197" s="33"/>
      <c r="KY197" s="33"/>
      <c r="KZ197" s="33"/>
      <c r="LA197" s="33"/>
      <c r="LB197" s="33"/>
      <c r="LC197" s="33"/>
      <c r="LD197" s="33"/>
      <c r="LE197" s="33"/>
      <c r="LF197" s="33"/>
      <c r="LG197" s="33"/>
      <c r="LH197" s="33"/>
      <c r="LI197" s="33"/>
      <c r="LJ197" s="33"/>
      <c r="LK197" s="33"/>
      <c r="LL197" s="33"/>
      <c r="LM197" s="33"/>
      <c r="LN197" s="33"/>
      <c r="LO197" s="33"/>
      <c r="LP197" s="33"/>
      <c r="LQ197" s="33"/>
      <c r="LR197" s="33"/>
      <c r="LS197" s="33"/>
      <c r="LT197" s="33"/>
      <c r="LU197" s="33"/>
      <c r="LV197" s="33"/>
      <c r="LW197" s="33"/>
      <c r="LX197" s="33"/>
      <c r="LY197" s="33"/>
      <c r="LZ197" s="33"/>
      <c r="MA197" s="33"/>
      <c r="MB197" s="33"/>
      <c r="MC197" s="33"/>
      <c r="MD197" s="33"/>
      <c r="ME197" s="33"/>
      <c r="MF197" s="33"/>
      <c r="MG197" s="33"/>
      <c r="MH197" s="33"/>
      <c r="MI197" s="33"/>
      <c r="MJ197" s="33"/>
      <c r="MK197" s="33"/>
      <c r="ML197" s="33"/>
      <c r="MM197" s="33"/>
      <c r="MN197" s="33"/>
      <c r="MO197" s="33"/>
      <c r="MP197" s="33"/>
      <c r="MQ197" s="33"/>
      <c r="MR197" s="33"/>
      <c r="MS197" s="33"/>
      <c r="MT197" s="33"/>
      <c r="MU197" s="33"/>
      <c r="MV197" s="33"/>
      <c r="MW197" s="33"/>
      <c r="MX197" s="33"/>
      <c r="MY197" s="33"/>
      <c r="MZ197" s="33"/>
      <c r="NA197" s="33"/>
      <c r="NB197" s="33"/>
      <c r="NC197" s="33"/>
      <c r="ND197" s="33"/>
      <c r="NE197" s="33"/>
      <c r="NF197" s="33"/>
      <c r="NG197" s="33"/>
      <c r="NH197" s="33"/>
      <c r="NI197" s="33"/>
      <c r="NJ197" s="33"/>
      <c r="NK197" s="33"/>
      <c r="NL197" s="33"/>
      <c r="NM197" s="33"/>
      <c r="NN197" s="33"/>
      <c r="NO197" s="33"/>
      <c r="NP197" s="33"/>
      <c r="NQ197" s="33"/>
      <c r="NR197" s="33"/>
      <c r="NS197" s="33"/>
      <c r="NT197" s="33"/>
      <c r="NU197" s="33"/>
      <c r="NV197" s="33"/>
      <c r="NW197" s="33"/>
      <c r="NX197" s="33"/>
      <c r="NY197" s="33"/>
      <c r="NZ197" s="33"/>
      <c r="OA197" s="33"/>
      <c r="OB197" s="33"/>
      <c r="OC197" s="33"/>
      <c r="OD197" s="33"/>
      <c r="OE197" s="33"/>
      <c r="OF197" s="33"/>
      <c r="OG197" s="33"/>
      <c r="OH197" s="33"/>
      <c r="OI197" s="33"/>
      <c r="OJ197" s="33"/>
      <c r="OK197" s="33"/>
      <c r="OL197" s="33"/>
      <c r="OM197" s="33"/>
      <c r="ON197" s="33"/>
      <c r="OO197" s="33"/>
      <c r="OP197" s="33"/>
      <c r="OQ197" s="33"/>
      <c r="OR197" s="33"/>
      <c r="OS197" s="33"/>
      <c r="OT197" s="33"/>
      <c r="OU197" s="33"/>
      <c r="OV197" s="33"/>
      <c r="OW197" s="33"/>
      <c r="OX197" s="33"/>
      <c r="OY197" s="33"/>
      <c r="OZ197" s="33"/>
      <c r="PA197" s="33"/>
      <c r="PB197" s="33"/>
      <c r="PC197" s="33"/>
      <c r="PD197" s="33"/>
      <c r="PE197" s="33"/>
      <c r="PF197" s="33"/>
      <c r="PG197" s="33"/>
      <c r="PH197" s="33"/>
      <c r="PI197" s="33"/>
      <c r="PJ197" s="33"/>
      <c r="PK197" s="33"/>
      <c r="PL197" s="33"/>
      <c r="PM197" s="33"/>
      <c r="PN197" s="33"/>
      <c r="PO197" s="33"/>
      <c r="PP197" s="33"/>
      <c r="PQ197" s="33"/>
      <c r="PR197" s="33"/>
      <c r="PS197" s="33"/>
      <c r="PT197" s="33"/>
      <c r="PU197" s="33"/>
      <c r="PV197" s="33"/>
      <c r="PW197" s="33"/>
      <c r="PX197" s="33"/>
      <c r="PY197" s="33"/>
      <c r="PZ197" s="33"/>
      <c r="QA197" s="33"/>
      <c r="QB197" s="33"/>
      <c r="QC197" s="33"/>
      <c r="QD197" s="33"/>
      <c r="QE197" s="33"/>
      <c r="QF197" s="33"/>
      <c r="QG197" s="33"/>
      <c r="QH197" s="33"/>
      <c r="QI197" s="33"/>
      <c r="QJ197" s="33"/>
      <c r="QK197" s="33"/>
      <c r="QL197" s="33"/>
      <c r="QM197" s="33"/>
      <c r="QN197" s="33"/>
      <c r="QO197" s="33"/>
      <c r="QP197" s="33"/>
      <c r="QQ197" s="33"/>
      <c r="QR197" s="33"/>
      <c r="QS197" s="33"/>
      <c r="QT197" s="33"/>
      <c r="QU197" s="33"/>
      <c r="QV197" s="33"/>
      <c r="QW197" s="33"/>
      <c r="QX197" s="33"/>
      <c r="QY197" s="33"/>
      <c r="QZ197" s="33"/>
      <c r="RA197" s="33"/>
      <c r="RB197" s="33"/>
      <c r="RC197" s="33"/>
      <c r="RD197" s="33"/>
      <c r="RE197" s="33"/>
      <c r="RF197" s="33"/>
      <c r="RG197" s="33"/>
      <c r="RH197" s="33"/>
      <c r="RI197" s="33"/>
      <c r="RJ197" s="33"/>
      <c r="RK197" s="33"/>
      <c r="RL197" s="33"/>
      <c r="RM197" s="33"/>
      <c r="RN197" s="33"/>
      <c r="RO197" s="33"/>
      <c r="RP197" s="33"/>
      <c r="RQ197" s="33"/>
      <c r="RR197" s="33"/>
      <c r="RS197" s="33"/>
      <c r="RT197" s="33"/>
      <c r="RU197" s="33"/>
      <c r="RV197" s="33"/>
      <c r="RW197" s="33"/>
      <c r="RX197" s="33"/>
      <c r="RY197" s="33"/>
      <c r="RZ197" s="33"/>
      <c r="SA197" s="33"/>
      <c r="SB197" s="33"/>
      <c r="SC197" s="33"/>
      <c r="SD197" s="33"/>
      <c r="SE197" s="33"/>
      <c r="SF197" s="33"/>
      <c r="SG197" s="33"/>
      <c r="SH197" s="33"/>
      <c r="SI197" s="33"/>
      <c r="SJ197" s="33"/>
      <c r="SK197" s="33"/>
      <c r="SL197" s="33"/>
      <c r="SM197" s="33"/>
      <c r="SN197" s="33"/>
      <c r="SO197" s="33"/>
      <c r="SP197" s="33"/>
      <c r="SQ197" s="33"/>
      <c r="SR197" s="33"/>
      <c r="SS197" s="33"/>
      <c r="ST197" s="33"/>
      <c r="SU197" s="33"/>
      <c r="SV197" s="33"/>
      <c r="SW197" s="33"/>
      <c r="SX197" s="33"/>
      <c r="SY197" s="33"/>
      <c r="SZ197" s="33"/>
      <c r="TA197" s="33"/>
      <c r="TB197" s="33"/>
      <c r="TC197" s="33"/>
      <c r="TD197" s="33"/>
      <c r="TE197" s="33"/>
      <c r="TF197" s="33"/>
      <c r="TG197" s="33"/>
    </row>
    <row r="198" spans="1:527" s="34" customFormat="1" ht="120" hidden="1" customHeight="1" x14ac:dyDescent="0.25">
      <c r="A198" s="112"/>
      <c r="B198" s="78"/>
      <c r="C198" s="78"/>
      <c r="D198" s="81" t="s">
        <v>448</v>
      </c>
      <c r="E198" s="102">
        <f>E203</f>
        <v>0</v>
      </c>
      <c r="F198" s="102">
        <f t="shared" ref="F198:P198" si="81">F203</f>
        <v>0</v>
      </c>
      <c r="G198" s="102">
        <f t="shared" si="81"/>
        <v>0</v>
      </c>
      <c r="H198" s="102">
        <f t="shared" si="81"/>
        <v>0</v>
      </c>
      <c r="I198" s="102">
        <f t="shared" si="81"/>
        <v>0</v>
      </c>
      <c r="J198" s="102">
        <f t="shared" si="81"/>
        <v>0</v>
      </c>
      <c r="K198" s="102">
        <f t="shared" si="81"/>
        <v>0</v>
      </c>
      <c r="L198" s="102">
        <f t="shared" si="81"/>
        <v>0</v>
      </c>
      <c r="M198" s="102">
        <f t="shared" si="81"/>
        <v>0</v>
      </c>
      <c r="N198" s="102">
        <f t="shared" si="81"/>
        <v>0</v>
      </c>
      <c r="O198" s="102">
        <f t="shared" si="81"/>
        <v>0</v>
      </c>
      <c r="P198" s="102">
        <f t="shared" si="81"/>
        <v>0</v>
      </c>
      <c r="Q198" s="188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  <c r="IW198" s="33"/>
      <c r="IX198" s="33"/>
      <c r="IY198" s="33"/>
      <c r="IZ198" s="33"/>
      <c r="JA198" s="33"/>
      <c r="JB198" s="33"/>
      <c r="JC198" s="33"/>
      <c r="JD198" s="33"/>
      <c r="JE198" s="33"/>
      <c r="JF198" s="33"/>
      <c r="JG198" s="33"/>
      <c r="JH198" s="33"/>
      <c r="JI198" s="33"/>
      <c r="JJ198" s="33"/>
      <c r="JK198" s="33"/>
      <c r="JL198" s="33"/>
      <c r="JM198" s="33"/>
      <c r="JN198" s="33"/>
      <c r="JO198" s="33"/>
      <c r="JP198" s="33"/>
      <c r="JQ198" s="33"/>
      <c r="JR198" s="33"/>
      <c r="JS198" s="33"/>
      <c r="JT198" s="33"/>
      <c r="JU198" s="33"/>
      <c r="JV198" s="33"/>
      <c r="JW198" s="33"/>
      <c r="JX198" s="33"/>
      <c r="JY198" s="33"/>
      <c r="JZ198" s="33"/>
      <c r="KA198" s="33"/>
      <c r="KB198" s="33"/>
      <c r="KC198" s="33"/>
      <c r="KD198" s="33"/>
      <c r="KE198" s="33"/>
      <c r="KF198" s="33"/>
      <c r="KG198" s="33"/>
      <c r="KH198" s="33"/>
      <c r="KI198" s="33"/>
      <c r="KJ198" s="33"/>
      <c r="KK198" s="33"/>
      <c r="KL198" s="33"/>
      <c r="KM198" s="33"/>
      <c r="KN198" s="33"/>
      <c r="KO198" s="33"/>
      <c r="KP198" s="33"/>
      <c r="KQ198" s="33"/>
      <c r="KR198" s="33"/>
      <c r="KS198" s="33"/>
      <c r="KT198" s="33"/>
      <c r="KU198" s="33"/>
      <c r="KV198" s="33"/>
      <c r="KW198" s="33"/>
      <c r="KX198" s="33"/>
      <c r="KY198" s="33"/>
      <c r="KZ198" s="33"/>
      <c r="LA198" s="33"/>
      <c r="LB198" s="33"/>
      <c r="LC198" s="33"/>
      <c r="LD198" s="33"/>
      <c r="LE198" s="33"/>
      <c r="LF198" s="33"/>
      <c r="LG198" s="33"/>
      <c r="LH198" s="33"/>
      <c r="LI198" s="33"/>
      <c r="LJ198" s="33"/>
      <c r="LK198" s="33"/>
      <c r="LL198" s="33"/>
      <c r="LM198" s="33"/>
      <c r="LN198" s="33"/>
      <c r="LO198" s="33"/>
      <c r="LP198" s="33"/>
      <c r="LQ198" s="33"/>
      <c r="LR198" s="33"/>
      <c r="LS198" s="33"/>
      <c r="LT198" s="33"/>
      <c r="LU198" s="33"/>
      <c r="LV198" s="33"/>
      <c r="LW198" s="33"/>
      <c r="LX198" s="33"/>
      <c r="LY198" s="33"/>
      <c r="LZ198" s="33"/>
      <c r="MA198" s="33"/>
      <c r="MB198" s="33"/>
      <c r="MC198" s="33"/>
      <c r="MD198" s="33"/>
      <c r="ME198" s="33"/>
      <c r="MF198" s="33"/>
      <c r="MG198" s="33"/>
      <c r="MH198" s="33"/>
      <c r="MI198" s="33"/>
      <c r="MJ198" s="33"/>
      <c r="MK198" s="33"/>
      <c r="ML198" s="33"/>
      <c r="MM198" s="33"/>
      <c r="MN198" s="33"/>
      <c r="MO198" s="33"/>
      <c r="MP198" s="33"/>
      <c r="MQ198" s="33"/>
      <c r="MR198" s="33"/>
      <c r="MS198" s="33"/>
      <c r="MT198" s="33"/>
      <c r="MU198" s="33"/>
      <c r="MV198" s="33"/>
      <c r="MW198" s="33"/>
      <c r="MX198" s="33"/>
      <c r="MY198" s="33"/>
      <c r="MZ198" s="33"/>
      <c r="NA198" s="33"/>
      <c r="NB198" s="33"/>
      <c r="NC198" s="33"/>
      <c r="ND198" s="33"/>
      <c r="NE198" s="33"/>
      <c r="NF198" s="33"/>
      <c r="NG198" s="33"/>
      <c r="NH198" s="33"/>
      <c r="NI198" s="33"/>
      <c r="NJ198" s="33"/>
      <c r="NK198" s="33"/>
      <c r="NL198" s="33"/>
      <c r="NM198" s="33"/>
      <c r="NN198" s="33"/>
      <c r="NO198" s="33"/>
      <c r="NP198" s="33"/>
      <c r="NQ198" s="33"/>
      <c r="NR198" s="33"/>
      <c r="NS198" s="33"/>
      <c r="NT198" s="33"/>
      <c r="NU198" s="33"/>
      <c r="NV198" s="33"/>
      <c r="NW198" s="33"/>
      <c r="NX198" s="33"/>
      <c r="NY198" s="33"/>
      <c r="NZ198" s="33"/>
      <c r="OA198" s="33"/>
      <c r="OB198" s="33"/>
      <c r="OC198" s="33"/>
      <c r="OD198" s="33"/>
      <c r="OE198" s="33"/>
      <c r="OF198" s="33"/>
      <c r="OG198" s="33"/>
      <c r="OH198" s="33"/>
      <c r="OI198" s="33"/>
      <c r="OJ198" s="33"/>
      <c r="OK198" s="33"/>
      <c r="OL198" s="33"/>
      <c r="OM198" s="33"/>
      <c r="ON198" s="33"/>
      <c r="OO198" s="33"/>
      <c r="OP198" s="33"/>
      <c r="OQ198" s="33"/>
      <c r="OR198" s="33"/>
      <c r="OS198" s="33"/>
      <c r="OT198" s="33"/>
      <c r="OU198" s="33"/>
      <c r="OV198" s="33"/>
      <c r="OW198" s="33"/>
      <c r="OX198" s="33"/>
      <c r="OY198" s="33"/>
      <c r="OZ198" s="33"/>
      <c r="PA198" s="33"/>
      <c r="PB198" s="33"/>
      <c r="PC198" s="33"/>
      <c r="PD198" s="33"/>
      <c r="PE198" s="33"/>
      <c r="PF198" s="33"/>
      <c r="PG198" s="33"/>
      <c r="PH198" s="33"/>
      <c r="PI198" s="33"/>
      <c r="PJ198" s="33"/>
      <c r="PK198" s="33"/>
      <c r="PL198" s="33"/>
      <c r="PM198" s="33"/>
      <c r="PN198" s="33"/>
      <c r="PO198" s="33"/>
      <c r="PP198" s="33"/>
      <c r="PQ198" s="33"/>
      <c r="PR198" s="33"/>
      <c r="PS198" s="33"/>
      <c r="PT198" s="33"/>
      <c r="PU198" s="33"/>
      <c r="PV198" s="33"/>
      <c r="PW198" s="33"/>
      <c r="PX198" s="33"/>
      <c r="PY198" s="33"/>
      <c r="PZ198" s="33"/>
      <c r="QA198" s="33"/>
      <c r="QB198" s="33"/>
      <c r="QC198" s="33"/>
      <c r="QD198" s="33"/>
      <c r="QE198" s="33"/>
      <c r="QF198" s="33"/>
      <c r="QG198" s="33"/>
      <c r="QH198" s="33"/>
      <c r="QI198" s="33"/>
      <c r="QJ198" s="33"/>
      <c r="QK198" s="33"/>
      <c r="QL198" s="33"/>
      <c r="QM198" s="33"/>
      <c r="QN198" s="33"/>
      <c r="QO198" s="33"/>
      <c r="QP198" s="33"/>
      <c r="QQ198" s="33"/>
      <c r="QR198" s="33"/>
      <c r="QS198" s="33"/>
      <c r="QT198" s="33"/>
      <c r="QU198" s="33"/>
      <c r="QV198" s="33"/>
      <c r="QW198" s="33"/>
      <c r="QX198" s="33"/>
      <c r="QY198" s="33"/>
      <c r="QZ198" s="33"/>
      <c r="RA198" s="33"/>
      <c r="RB198" s="33"/>
      <c r="RC198" s="33"/>
      <c r="RD198" s="33"/>
      <c r="RE198" s="33"/>
      <c r="RF198" s="33"/>
      <c r="RG198" s="33"/>
      <c r="RH198" s="33"/>
      <c r="RI198" s="33"/>
      <c r="RJ198" s="33"/>
      <c r="RK198" s="33"/>
      <c r="RL198" s="33"/>
      <c r="RM198" s="33"/>
      <c r="RN198" s="33"/>
      <c r="RO198" s="33"/>
      <c r="RP198" s="33"/>
      <c r="RQ198" s="33"/>
      <c r="RR198" s="33"/>
      <c r="RS198" s="33"/>
      <c r="RT198" s="33"/>
      <c r="RU198" s="33"/>
      <c r="RV198" s="33"/>
      <c r="RW198" s="33"/>
      <c r="RX198" s="33"/>
      <c r="RY198" s="33"/>
      <c r="RZ198" s="33"/>
      <c r="SA198" s="33"/>
      <c r="SB198" s="33"/>
      <c r="SC198" s="33"/>
      <c r="SD198" s="33"/>
      <c r="SE198" s="33"/>
      <c r="SF198" s="33"/>
      <c r="SG198" s="33"/>
      <c r="SH198" s="33"/>
      <c r="SI198" s="33"/>
      <c r="SJ198" s="33"/>
      <c r="SK198" s="33"/>
      <c r="SL198" s="33"/>
      <c r="SM198" s="33"/>
      <c r="SN198" s="33"/>
      <c r="SO198" s="33"/>
      <c r="SP198" s="33"/>
      <c r="SQ198" s="33"/>
      <c r="SR198" s="33"/>
      <c r="SS198" s="33"/>
      <c r="ST198" s="33"/>
      <c r="SU198" s="33"/>
      <c r="SV198" s="33"/>
      <c r="SW198" s="33"/>
      <c r="SX198" s="33"/>
      <c r="SY198" s="33"/>
      <c r="SZ198" s="33"/>
      <c r="TA198" s="33"/>
      <c r="TB198" s="33"/>
      <c r="TC198" s="33"/>
      <c r="TD198" s="33"/>
      <c r="TE198" s="33"/>
      <c r="TF198" s="33"/>
      <c r="TG198" s="33"/>
    </row>
    <row r="199" spans="1:527" s="22" customFormat="1" ht="47.25" x14ac:dyDescent="0.25">
      <c r="A199" s="60" t="s">
        <v>192</v>
      </c>
      <c r="B199" s="97" t="str">
        <f>'дод 5'!A20</f>
        <v>0160</v>
      </c>
      <c r="C199" s="97" t="str">
        <f>'дод 5'!B20</f>
        <v>0111</v>
      </c>
      <c r="D199" s="36" t="s">
        <v>503</v>
      </c>
      <c r="E199" s="103">
        <f>F199+I199</f>
        <v>5705981</v>
      </c>
      <c r="F199" s="103">
        <f>5689700+12000+4281</f>
        <v>5705981</v>
      </c>
      <c r="G199" s="103">
        <v>4491300</v>
      </c>
      <c r="H199" s="103">
        <f>51600+4281</f>
        <v>55881</v>
      </c>
      <c r="I199" s="103"/>
      <c r="J199" s="103">
        <f>L199+O199</f>
        <v>0</v>
      </c>
      <c r="K199" s="103">
        <f>12000-12000</f>
        <v>0</v>
      </c>
      <c r="L199" s="103"/>
      <c r="M199" s="103"/>
      <c r="N199" s="103"/>
      <c r="O199" s="103">
        <f>12000-12000</f>
        <v>0</v>
      </c>
      <c r="P199" s="103">
        <f>E199+J199</f>
        <v>5705981</v>
      </c>
      <c r="Q199" s="188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</row>
    <row r="200" spans="1:527" s="22" customFormat="1" ht="63" x14ac:dyDescent="0.25">
      <c r="A200" s="60" t="s">
        <v>336</v>
      </c>
      <c r="B200" s="97">
        <v>3111</v>
      </c>
      <c r="C200" s="97">
        <v>1040</v>
      </c>
      <c r="D200" s="36" t="str">
        <f>'дод 5'!C113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0" s="103">
        <f>F200+I200</f>
        <v>91140</v>
      </c>
      <c r="F200" s="103">
        <f>50000+21140+20000</f>
        <v>91140</v>
      </c>
      <c r="G200" s="103"/>
      <c r="H200" s="103"/>
      <c r="I200" s="103"/>
      <c r="J200" s="103">
        <f t="shared" ref="J200:J203" si="82">L200+O200</f>
        <v>0</v>
      </c>
      <c r="K200" s="103">
        <f>21140-21140</f>
        <v>0</v>
      </c>
      <c r="L200" s="103"/>
      <c r="M200" s="103"/>
      <c r="N200" s="103"/>
      <c r="O200" s="103">
        <f>21140-21140</f>
        <v>0</v>
      </c>
      <c r="P200" s="103">
        <f>E200+J200</f>
        <v>91140</v>
      </c>
      <c r="Q200" s="188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2" customFormat="1" ht="31.5" customHeight="1" x14ac:dyDescent="0.25">
      <c r="A201" s="60" t="s">
        <v>193</v>
      </c>
      <c r="B201" s="97" t="str">
        <f>'дод 5'!A114</f>
        <v>3112</v>
      </c>
      <c r="C201" s="97" t="str">
        <f>'дод 5'!B114</f>
        <v>1040</v>
      </c>
      <c r="D201" s="61" t="str">
        <f>'дод 5'!C114</f>
        <v>Заходи державної політики з питань дітей та їх соціального захисту</v>
      </c>
      <c r="E201" s="103">
        <f>F201+I201</f>
        <v>93040</v>
      </c>
      <c r="F201" s="103">
        <f>96240-3200</f>
        <v>93040</v>
      </c>
      <c r="G201" s="103"/>
      <c r="H201" s="103"/>
      <c r="I201" s="103"/>
      <c r="J201" s="103">
        <f t="shared" si="82"/>
        <v>0</v>
      </c>
      <c r="K201" s="103"/>
      <c r="L201" s="103"/>
      <c r="M201" s="103"/>
      <c r="N201" s="103"/>
      <c r="O201" s="103"/>
      <c r="P201" s="103">
        <f>E201+J201</f>
        <v>93040</v>
      </c>
      <c r="Q201" s="188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</row>
    <row r="202" spans="1:527" s="22" customFormat="1" ht="94.5" x14ac:dyDescent="0.25">
      <c r="A202" s="60" t="s">
        <v>440</v>
      </c>
      <c r="B202" s="97">
        <v>6083</v>
      </c>
      <c r="C202" s="60" t="s">
        <v>69</v>
      </c>
      <c r="D202" s="11" t="s">
        <v>441</v>
      </c>
      <c r="E202" s="103">
        <f>F202+I202</f>
        <v>0</v>
      </c>
      <c r="F202" s="103"/>
      <c r="G202" s="103"/>
      <c r="H202" s="103"/>
      <c r="I202" s="103"/>
      <c r="J202" s="103">
        <f t="shared" si="82"/>
        <v>33200</v>
      </c>
      <c r="K202" s="103">
        <f>30000+3200</f>
        <v>33200</v>
      </c>
      <c r="L202" s="103"/>
      <c r="M202" s="103"/>
      <c r="N202" s="103"/>
      <c r="O202" s="103">
        <f>30000+3200</f>
        <v>33200</v>
      </c>
      <c r="P202" s="103">
        <f>E202+J202</f>
        <v>33200</v>
      </c>
      <c r="Q202" s="188">
        <v>14</v>
      </c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</row>
    <row r="203" spans="1:527" s="24" customFormat="1" ht="126" hidden="1" customHeight="1" x14ac:dyDescent="0.25">
      <c r="A203" s="88"/>
      <c r="B203" s="115"/>
      <c r="C203" s="88"/>
      <c r="D203" s="94" t="s">
        <v>448</v>
      </c>
      <c r="E203" s="103">
        <f>F203+I203</f>
        <v>0</v>
      </c>
      <c r="F203" s="105"/>
      <c r="G203" s="105"/>
      <c r="H203" s="105"/>
      <c r="I203" s="105"/>
      <c r="J203" s="103">
        <f t="shared" si="82"/>
        <v>0</v>
      </c>
      <c r="K203" s="105"/>
      <c r="L203" s="105"/>
      <c r="M203" s="105"/>
      <c r="N203" s="105"/>
      <c r="O203" s="105"/>
      <c r="P203" s="103">
        <f>E203+J203</f>
        <v>0</v>
      </c>
      <c r="Q203" s="188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  <c r="TF203" s="30"/>
      <c r="TG203" s="30"/>
    </row>
    <row r="204" spans="1:527" s="27" customFormat="1" ht="22.5" customHeight="1" x14ac:dyDescent="0.25">
      <c r="A204" s="114" t="s">
        <v>27</v>
      </c>
      <c r="B204" s="116"/>
      <c r="C204" s="116"/>
      <c r="D204" s="111" t="s">
        <v>337</v>
      </c>
      <c r="E204" s="99">
        <f>E205</f>
        <v>81903057</v>
      </c>
      <c r="F204" s="99">
        <f t="shared" ref="F204:J204" si="83">F205</f>
        <v>81903057</v>
      </c>
      <c r="G204" s="99">
        <f t="shared" si="83"/>
        <v>62366800</v>
      </c>
      <c r="H204" s="99">
        <f t="shared" si="83"/>
        <v>2305157</v>
      </c>
      <c r="I204" s="99">
        <f t="shared" si="83"/>
        <v>0</v>
      </c>
      <c r="J204" s="99">
        <f t="shared" si="83"/>
        <v>5080600</v>
      </c>
      <c r="K204" s="99">
        <f t="shared" ref="K204" si="84">K205</f>
        <v>2320500</v>
      </c>
      <c r="L204" s="99">
        <f t="shared" ref="L204" si="85">L205</f>
        <v>2756970</v>
      </c>
      <c r="M204" s="99">
        <f t="shared" ref="M204" si="86">M205</f>
        <v>2239004</v>
      </c>
      <c r="N204" s="99">
        <f t="shared" ref="N204" si="87">N205</f>
        <v>3300</v>
      </c>
      <c r="O204" s="99">
        <f t="shared" ref="O204:P204" si="88">O205</f>
        <v>2323630</v>
      </c>
      <c r="P204" s="99">
        <f t="shared" si="88"/>
        <v>86983657</v>
      </c>
      <c r="Q204" s="188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  <c r="IT204" s="32"/>
      <c r="IU204" s="32"/>
      <c r="IV204" s="32"/>
      <c r="IW204" s="32"/>
      <c r="IX204" s="32"/>
      <c r="IY204" s="32"/>
      <c r="IZ204" s="32"/>
      <c r="JA204" s="32"/>
      <c r="JB204" s="32"/>
      <c r="JC204" s="32"/>
      <c r="JD204" s="32"/>
      <c r="JE204" s="32"/>
      <c r="JF204" s="32"/>
      <c r="JG204" s="32"/>
      <c r="JH204" s="32"/>
      <c r="JI204" s="32"/>
      <c r="JJ204" s="32"/>
      <c r="JK204" s="32"/>
      <c r="JL204" s="32"/>
      <c r="JM204" s="32"/>
      <c r="JN204" s="32"/>
      <c r="JO204" s="32"/>
      <c r="JP204" s="32"/>
      <c r="JQ204" s="32"/>
      <c r="JR204" s="32"/>
      <c r="JS204" s="32"/>
      <c r="JT204" s="32"/>
      <c r="JU204" s="32"/>
      <c r="JV204" s="32"/>
      <c r="JW204" s="32"/>
      <c r="JX204" s="32"/>
      <c r="JY204" s="32"/>
      <c r="JZ204" s="32"/>
      <c r="KA204" s="32"/>
      <c r="KB204" s="32"/>
      <c r="KC204" s="32"/>
      <c r="KD204" s="32"/>
      <c r="KE204" s="32"/>
      <c r="KF204" s="32"/>
      <c r="KG204" s="32"/>
      <c r="KH204" s="32"/>
      <c r="KI204" s="32"/>
      <c r="KJ204" s="32"/>
      <c r="KK204" s="32"/>
      <c r="KL204" s="32"/>
      <c r="KM204" s="32"/>
      <c r="KN204" s="32"/>
      <c r="KO204" s="32"/>
      <c r="KP204" s="32"/>
      <c r="KQ204" s="32"/>
      <c r="KR204" s="32"/>
      <c r="KS204" s="32"/>
      <c r="KT204" s="32"/>
      <c r="KU204" s="32"/>
      <c r="KV204" s="32"/>
      <c r="KW204" s="32"/>
      <c r="KX204" s="32"/>
      <c r="KY204" s="32"/>
      <c r="KZ204" s="32"/>
      <c r="LA204" s="32"/>
      <c r="LB204" s="32"/>
      <c r="LC204" s="32"/>
      <c r="LD204" s="32"/>
      <c r="LE204" s="32"/>
      <c r="LF204" s="32"/>
      <c r="LG204" s="32"/>
      <c r="LH204" s="32"/>
      <c r="LI204" s="32"/>
      <c r="LJ204" s="32"/>
      <c r="LK204" s="32"/>
      <c r="LL204" s="32"/>
      <c r="LM204" s="32"/>
      <c r="LN204" s="32"/>
      <c r="LO204" s="32"/>
      <c r="LP204" s="32"/>
      <c r="LQ204" s="32"/>
      <c r="LR204" s="32"/>
      <c r="LS204" s="32"/>
      <c r="LT204" s="32"/>
      <c r="LU204" s="32"/>
      <c r="LV204" s="32"/>
      <c r="LW204" s="32"/>
      <c r="LX204" s="32"/>
      <c r="LY204" s="32"/>
      <c r="LZ204" s="32"/>
      <c r="MA204" s="32"/>
      <c r="MB204" s="32"/>
      <c r="MC204" s="32"/>
      <c r="MD204" s="32"/>
      <c r="ME204" s="32"/>
      <c r="MF204" s="32"/>
      <c r="MG204" s="32"/>
      <c r="MH204" s="32"/>
      <c r="MI204" s="32"/>
      <c r="MJ204" s="32"/>
      <c r="MK204" s="32"/>
      <c r="ML204" s="32"/>
      <c r="MM204" s="32"/>
      <c r="MN204" s="32"/>
      <c r="MO204" s="32"/>
      <c r="MP204" s="32"/>
      <c r="MQ204" s="32"/>
      <c r="MR204" s="32"/>
      <c r="MS204" s="32"/>
      <c r="MT204" s="32"/>
      <c r="MU204" s="32"/>
      <c r="MV204" s="32"/>
      <c r="MW204" s="32"/>
      <c r="MX204" s="32"/>
      <c r="MY204" s="32"/>
      <c r="MZ204" s="32"/>
      <c r="NA204" s="32"/>
      <c r="NB204" s="32"/>
      <c r="NC204" s="32"/>
      <c r="ND204" s="32"/>
      <c r="NE204" s="32"/>
      <c r="NF204" s="32"/>
      <c r="NG204" s="32"/>
      <c r="NH204" s="32"/>
      <c r="NI204" s="32"/>
      <c r="NJ204" s="32"/>
      <c r="NK204" s="32"/>
      <c r="NL204" s="32"/>
      <c r="NM204" s="32"/>
      <c r="NN204" s="32"/>
      <c r="NO204" s="32"/>
      <c r="NP204" s="32"/>
      <c r="NQ204" s="32"/>
      <c r="NR204" s="32"/>
      <c r="NS204" s="32"/>
      <c r="NT204" s="32"/>
      <c r="NU204" s="32"/>
      <c r="NV204" s="32"/>
      <c r="NW204" s="32"/>
      <c r="NX204" s="32"/>
      <c r="NY204" s="32"/>
      <c r="NZ204" s="32"/>
      <c r="OA204" s="32"/>
      <c r="OB204" s="32"/>
      <c r="OC204" s="32"/>
      <c r="OD204" s="32"/>
      <c r="OE204" s="32"/>
      <c r="OF204" s="32"/>
      <c r="OG204" s="32"/>
      <c r="OH204" s="32"/>
      <c r="OI204" s="32"/>
      <c r="OJ204" s="32"/>
      <c r="OK204" s="32"/>
      <c r="OL204" s="32"/>
      <c r="OM204" s="32"/>
      <c r="ON204" s="32"/>
      <c r="OO204" s="32"/>
      <c r="OP204" s="32"/>
      <c r="OQ204" s="32"/>
      <c r="OR204" s="32"/>
      <c r="OS204" s="32"/>
      <c r="OT204" s="32"/>
      <c r="OU204" s="32"/>
      <c r="OV204" s="32"/>
      <c r="OW204" s="32"/>
      <c r="OX204" s="32"/>
      <c r="OY204" s="32"/>
      <c r="OZ204" s="32"/>
      <c r="PA204" s="32"/>
      <c r="PB204" s="32"/>
      <c r="PC204" s="32"/>
      <c r="PD204" s="32"/>
      <c r="PE204" s="32"/>
      <c r="PF204" s="32"/>
      <c r="PG204" s="32"/>
      <c r="PH204" s="32"/>
      <c r="PI204" s="32"/>
      <c r="PJ204" s="32"/>
      <c r="PK204" s="32"/>
      <c r="PL204" s="32"/>
      <c r="PM204" s="32"/>
      <c r="PN204" s="32"/>
      <c r="PO204" s="32"/>
      <c r="PP204" s="32"/>
      <c r="PQ204" s="32"/>
      <c r="PR204" s="32"/>
      <c r="PS204" s="32"/>
      <c r="PT204" s="32"/>
      <c r="PU204" s="32"/>
      <c r="PV204" s="32"/>
      <c r="PW204" s="32"/>
      <c r="PX204" s="32"/>
      <c r="PY204" s="32"/>
      <c r="PZ204" s="32"/>
      <c r="QA204" s="32"/>
      <c r="QB204" s="32"/>
      <c r="QC204" s="32"/>
      <c r="QD204" s="32"/>
      <c r="QE204" s="32"/>
      <c r="QF204" s="32"/>
      <c r="QG204" s="32"/>
      <c r="QH204" s="32"/>
      <c r="QI204" s="32"/>
      <c r="QJ204" s="32"/>
      <c r="QK204" s="32"/>
      <c r="QL204" s="32"/>
      <c r="QM204" s="32"/>
      <c r="QN204" s="32"/>
      <c r="QO204" s="32"/>
      <c r="QP204" s="32"/>
      <c r="QQ204" s="32"/>
      <c r="QR204" s="32"/>
      <c r="QS204" s="32"/>
      <c r="QT204" s="32"/>
      <c r="QU204" s="32"/>
      <c r="QV204" s="32"/>
      <c r="QW204" s="32"/>
      <c r="QX204" s="32"/>
      <c r="QY204" s="32"/>
      <c r="QZ204" s="32"/>
      <c r="RA204" s="32"/>
      <c r="RB204" s="32"/>
      <c r="RC204" s="32"/>
      <c r="RD204" s="32"/>
      <c r="RE204" s="32"/>
      <c r="RF204" s="32"/>
      <c r="RG204" s="32"/>
      <c r="RH204" s="32"/>
      <c r="RI204" s="32"/>
      <c r="RJ204" s="32"/>
      <c r="RK204" s="32"/>
      <c r="RL204" s="32"/>
      <c r="RM204" s="32"/>
      <c r="RN204" s="32"/>
      <c r="RO204" s="32"/>
      <c r="RP204" s="32"/>
      <c r="RQ204" s="32"/>
      <c r="RR204" s="32"/>
      <c r="RS204" s="32"/>
      <c r="RT204" s="32"/>
      <c r="RU204" s="32"/>
      <c r="RV204" s="32"/>
      <c r="RW204" s="32"/>
      <c r="RX204" s="32"/>
      <c r="RY204" s="32"/>
      <c r="RZ204" s="32"/>
      <c r="SA204" s="32"/>
      <c r="SB204" s="32"/>
      <c r="SC204" s="32"/>
      <c r="SD204" s="32"/>
      <c r="SE204" s="32"/>
      <c r="SF204" s="32"/>
      <c r="SG204" s="32"/>
      <c r="SH204" s="32"/>
      <c r="SI204" s="32"/>
      <c r="SJ204" s="32"/>
      <c r="SK204" s="32"/>
      <c r="SL204" s="32"/>
      <c r="SM204" s="32"/>
      <c r="SN204" s="32"/>
      <c r="SO204" s="32"/>
      <c r="SP204" s="32"/>
      <c r="SQ204" s="32"/>
      <c r="SR204" s="32"/>
      <c r="SS204" s="32"/>
      <c r="ST204" s="32"/>
      <c r="SU204" s="32"/>
      <c r="SV204" s="32"/>
      <c r="SW204" s="32"/>
      <c r="SX204" s="32"/>
      <c r="SY204" s="32"/>
      <c r="SZ204" s="32"/>
      <c r="TA204" s="32"/>
      <c r="TB204" s="32"/>
      <c r="TC204" s="32"/>
      <c r="TD204" s="32"/>
      <c r="TE204" s="32"/>
      <c r="TF204" s="32"/>
      <c r="TG204" s="32"/>
    </row>
    <row r="205" spans="1:527" s="34" customFormat="1" ht="21.75" customHeight="1" x14ac:dyDescent="0.25">
      <c r="A205" s="100" t="s">
        <v>194</v>
      </c>
      <c r="B205" s="113"/>
      <c r="C205" s="113"/>
      <c r="D205" s="81" t="s">
        <v>337</v>
      </c>
      <c r="E205" s="102">
        <f>E206+E207+E208+E210+E211++E213+E209+E212+E214</f>
        <v>81903057</v>
      </c>
      <c r="F205" s="102">
        <f t="shared" ref="F205:P205" si="89">F206+F207+F208+F210+F211++F213+F209+F212+F214</f>
        <v>81903057</v>
      </c>
      <c r="G205" s="102">
        <f t="shared" si="89"/>
        <v>62366800</v>
      </c>
      <c r="H205" s="102">
        <f t="shared" si="89"/>
        <v>2305157</v>
      </c>
      <c r="I205" s="102">
        <f t="shared" si="89"/>
        <v>0</v>
      </c>
      <c r="J205" s="102">
        <f t="shared" si="89"/>
        <v>5080600</v>
      </c>
      <c r="K205" s="102">
        <f t="shared" si="89"/>
        <v>2320500</v>
      </c>
      <c r="L205" s="102">
        <f t="shared" si="89"/>
        <v>2756970</v>
      </c>
      <c r="M205" s="102">
        <f t="shared" si="89"/>
        <v>2239004</v>
      </c>
      <c r="N205" s="102">
        <f t="shared" si="89"/>
        <v>3300</v>
      </c>
      <c r="O205" s="102">
        <f t="shared" si="89"/>
        <v>2323630</v>
      </c>
      <c r="P205" s="102">
        <f t="shared" si="89"/>
        <v>86983657</v>
      </c>
      <c r="Q205" s="188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</row>
    <row r="206" spans="1:527" s="22" customFormat="1" ht="47.25" x14ac:dyDescent="0.25">
      <c r="A206" s="60" t="s">
        <v>141</v>
      </c>
      <c r="B206" s="97" t="str">
        <f>'дод 5'!A20</f>
        <v>0160</v>
      </c>
      <c r="C206" s="97" t="str">
        <f>'дод 5'!B20</f>
        <v>0111</v>
      </c>
      <c r="D206" s="36" t="s">
        <v>503</v>
      </c>
      <c r="E206" s="103">
        <f t="shared" ref="E206:E214" si="90">F206+I206</f>
        <v>2167035</v>
      </c>
      <c r="F206" s="103">
        <f>2163700+3335</f>
        <v>2167035</v>
      </c>
      <c r="G206" s="103">
        <v>1695500</v>
      </c>
      <c r="H206" s="103">
        <f>18000+3335</f>
        <v>21335</v>
      </c>
      <c r="I206" s="103"/>
      <c r="J206" s="103">
        <f>L206+O206</f>
        <v>0</v>
      </c>
      <c r="K206" s="103"/>
      <c r="L206" s="103"/>
      <c r="M206" s="103"/>
      <c r="N206" s="103"/>
      <c r="O206" s="103"/>
      <c r="P206" s="103">
        <f t="shared" ref="P206:P214" si="91">E206+J206</f>
        <v>2167035</v>
      </c>
      <c r="Q206" s="188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</row>
    <row r="207" spans="1:527" s="22" customFormat="1" ht="19.5" customHeight="1" x14ac:dyDescent="0.25">
      <c r="A207" s="60" t="s">
        <v>518</v>
      </c>
      <c r="B207" s="97">
        <v>1080</v>
      </c>
      <c r="C207" s="60" t="s">
        <v>58</v>
      </c>
      <c r="D207" s="61" t="s">
        <v>519</v>
      </c>
      <c r="E207" s="103">
        <f t="shared" si="90"/>
        <v>50948015</v>
      </c>
      <c r="F207" s="103">
        <f>50652500+65000+20000+30000+15000+165515</f>
        <v>50948015</v>
      </c>
      <c r="G207" s="103">
        <v>40594000</v>
      </c>
      <c r="H207" s="103">
        <f>612300+165515</f>
        <v>777815</v>
      </c>
      <c r="I207" s="103"/>
      <c r="J207" s="103">
        <f t="shared" ref="J207:J214" si="92">L207+O207</f>
        <v>2729100</v>
      </c>
      <c r="K207" s="103"/>
      <c r="L207" s="103">
        <v>2725970</v>
      </c>
      <c r="M207" s="103">
        <v>2226904</v>
      </c>
      <c r="N207" s="103"/>
      <c r="O207" s="103">
        <v>3130</v>
      </c>
      <c r="P207" s="103">
        <f t="shared" si="91"/>
        <v>53677115</v>
      </c>
      <c r="Q207" s="188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</row>
    <row r="208" spans="1:527" s="22" customFormat="1" ht="21" customHeight="1" x14ac:dyDescent="0.25">
      <c r="A208" s="60" t="s">
        <v>195</v>
      </c>
      <c r="B208" s="97" t="str">
        <f>'дод 5'!A138</f>
        <v>4030</v>
      </c>
      <c r="C208" s="97" t="str">
        <f>'дод 5'!B138</f>
        <v>0824</v>
      </c>
      <c r="D208" s="61" t="str">
        <f>'дод 5'!C138</f>
        <v>Забезпечення діяльності бібліотек</v>
      </c>
      <c r="E208" s="103">
        <f t="shared" si="90"/>
        <v>23024164</v>
      </c>
      <c r="F208" s="103">
        <f>22627900+77000+112000+10000+2500+194764</f>
        <v>23024164</v>
      </c>
      <c r="G208" s="103">
        <v>16852700</v>
      </c>
      <c r="H208" s="103">
        <f>1133500+194764</f>
        <v>1328264</v>
      </c>
      <c r="I208" s="103"/>
      <c r="J208" s="103">
        <f t="shared" si="92"/>
        <v>252500</v>
      </c>
      <c r="K208" s="103">
        <f>195000+20000+5000+7500</f>
        <v>227500</v>
      </c>
      <c r="L208" s="103">
        <v>25000</v>
      </c>
      <c r="M208" s="103">
        <v>12100</v>
      </c>
      <c r="N208" s="103"/>
      <c r="O208" s="103">
        <f>195000+20000+5000+7500</f>
        <v>227500</v>
      </c>
      <c r="P208" s="103">
        <f t="shared" si="91"/>
        <v>23276664</v>
      </c>
      <c r="Q208" s="188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2" customFormat="1" ht="48.75" customHeight="1" x14ac:dyDescent="0.25">
      <c r="A209" s="60">
        <v>1014060</v>
      </c>
      <c r="B209" s="97" t="str">
        <f>'дод 5'!A139</f>
        <v>4060</v>
      </c>
      <c r="C209" s="97" t="str">
        <f>'дод 5'!B139</f>
        <v>0828</v>
      </c>
      <c r="D209" s="61" t="str">
        <f>'дод 5'!C139</f>
        <v>Забезпечення діяльності палаців i будинків культури, клубів, центрів дозвілля та iнших клубних закладів</v>
      </c>
      <c r="E209" s="103">
        <f t="shared" si="90"/>
        <v>2270616</v>
      </c>
      <c r="F209" s="103">
        <f>2160300+15160+20000+25000+40000+10156</f>
        <v>2270616</v>
      </c>
      <c r="G209" s="103">
        <v>1531600</v>
      </c>
      <c r="H209" s="103">
        <f>115700+15160+10156</f>
        <v>141016</v>
      </c>
      <c r="I209" s="103"/>
      <c r="J209" s="103">
        <f t="shared" si="92"/>
        <v>6000</v>
      </c>
      <c r="K209" s="103">
        <f>40000-40000</f>
        <v>0</v>
      </c>
      <c r="L209" s="103">
        <v>6000</v>
      </c>
      <c r="M209" s="103"/>
      <c r="N209" s="103">
        <v>3300</v>
      </c>
      <c r="O209" s="103">
        <f>40000-40000</f>
        <v>0</v>
      </c>
      <c r="P209" s="103">
        <f t="shared" si="91"/>
        <v>2276616</v>
      </c>
      <c r="Q209" s="188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4" customFormat="1" ht="33.75" customHeight="1" x14ac:dyDescent="0.25">
      <c r="A210" s="60">
        <v>1014081</v>
      </c>
      <c r="B210" s="97" t="str">
        <f>'дод 5'!A140</f>
        <v>4081</v>
      </c>
      <c r="C210" s="97" t="str">
        <f>'дод 5'!B140</f>
        <v>0829</v>
      </c>
      <c r="D210" s="61" t="str">
        <f>'дод 5'!C140</f>
        <v>Забезпечення діяльності інших закладів в галузі культури і мистецтва</v>
      </c>
      <c r="E210" s="103">
        <f t="shared" si="90"/>
        <v>2208227</v>
      </c>
      <c r="F210" s="103">
        <f>2206400+1827</f>
        <v>2208227</v>
      </c>
      <c r="G210" s="103">
        <v>1693000</v>
      </c>
      <c r="H210" s="103">
        <f>34900+1827</f>
        <v>36727</v>
      </c>
      <c r="I210" s="103"/>
      <c r="J210" s="103">
        <f t="shared" si="92"/>
        <v>23000</v>
      </c>
      <c r="K210" s="103">
        <v>23000</v>
      </c>
      <c r="L210" s="103"/>
      <c r="M210" s="103"/>
      <c r="N210" s="103"/>
      <c r="O210" s="103">
        <v>23000</v>
      </c>
      <c r="P210" s="103">
        <f t="shared" si="91"/>
        <v>2231227</v>
      </c>
      <c r="Q210" s="188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30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30"/>
      <c r="NY210" s="30"/>
      <c r="NZ210" s="30"/>
      <c r="OA210" s="30"/>
      <c r="OB210" s="30"/>
      <c r="OC210" s="30"/>
      <c r="OD210" s="30"/>
      <c r="OE210" s="30"/>
      <c r="OF210" s="30"/>
      <c r="OG210" s="30"/>
      <c r="OH210" s="30"/>
      <c r="OI210" s="30"/>
      <c r="OJ210" s="30"/>
      <c r="OK210" s="30"/>
      <c r="OL210" s="30"/>
      <c r="OM210" s="30"/>
      <c r="ON210" s="30"/>
      <c r="OO210" s="30"/>
      <c r="OP210" s="30"/>
      <c r="OQ210" s="30"/>
      <c r="OR210" s="30"/>
      <c r="OS210" s="30"/>
      <c r="OT210" s="30"/>
      <c r="OU210" s="30"/>
      <c r="OV210" s="30"/>
      <c r="OW210" s="30"/>
      <c r="OX210" s="30"/>
      <c r="OY210" s="30"/>
      <c r="OZ210" s="30"/>
      <c r="PA210" s="30"/>
      <c r="PB210" s="30"/>
      <c r="PC210" s="30"/>
      <c r="PD210" s="30"/>
      <c r="PE210" s="30"/>
      <c r="PF210" s="30"/>
      <c r="PG210" s="30"/>
      <c r="PH210" s="30"/>
      <c r="PI210" s="30"/>
      <c r="PJ210" s="30"/>
      <c r="PK210" s="30"/>
      <c r="PL210" s="30"/>
      <c r="PM210" s="30"/>
      <c r="PN210" s="30"/>
      <c r="PO210" s="30"/>
      <c r="PP210" s="30"/>
      <c r="PQ210" s="30"/>
      <c r="PR210" s="30"/>
      <c r="PS210" s="30"/>
      <c r="PT210" s="30"/>
      <c r="PU210" s="30"/>
      <c r="PV210" s="30"/>
      <c r="PW210" s="30"/>
      <c r="PX210" s="30"/>
      <c r="PY210" s="30"/>
      <c r="PZ210" s="30"/>
      <c r="QA210" s="30"/>
      <c r="QB210" s="30"/>
      <c r="QC210" s="30"/>
      <c r="QD210" s="30"/>
      <c r="QE210" s="30"/>
      <c r="QF210" s="30"/>
      <c r="QG210" s="30"/>
      <c r="QH210" s="30"/>
      <c r="QI210" s="30"/>
      <c r="QJ210" s="30"/>
      <c r="QK210" s="30"/>
      <c r="QL210" s="30"/>
      <c r="QM210" s="30"/>
      <c r="QN210" s="30"/>
      <c r="QO210" s="30"/>
      <c r="QP210" s="30"/>
      <c r="QQ210" s="30"/>
      <c r="QR210" s="30"/>
      <c r="QS210" s="30"/>
      <c r="QT210" s="30"/>
      <c r="QU210" s="30"/>
      <c r="QV210" s="30"/>
      <c r="QW210" s="30"/>
      <c r="QX210" s="30"/>
      <c r="QY210" s="30"/>
      <c r="QZ210" s="30"/>
      <c r="RA210" s="30"/>
      <c r="RB210" s="30"/>
      <c r="RC210" s="30"/>
      <c r="RD210" s="30"/>
      <c r="RE210" s="30"/>
      <c r="RF210" s="30"/>
      <c r="RG210" s="30"/>
      <c r="RH210" s="30"/>
      <c r="RI210" s="30"/>
      <c r="RJ210" s="30"/>
      <c r="RK210" s="30"/>
      <c r="RL210" s="30"/>
      <c r="RM210" s="30"/>
      <c r="RN210" s="30"/>
      <c r="RO210" s="30"/>
      <c r="RP210" s="30"/>
      <c r="RQ210" s="30"/>
      <c r="RR210" s="30"/>
      <c r="RS210" s="30"/>
      <c r="RT210" s="30"/>
      <c r="RU210" s="30"/>
      <c r="RV210" s="30"/>
      <c r="RW210" s="30"/>
      <c r="RX210" s="30"/>
      <c r="RY210" s="30"/>
      <c r="RZ210" s="30"/>
      <c r="SA210" s="30"/>
      <c r="SB210" s="30"/>
      <c r="SC210" s="30"/>
      <c r="SD210" s="30"/>
      <c r="SE210" s="30"/>
      <c r="SF210" s="30"/>
      <c r="SG210" s="30"/>
      <c r="SH210" s="30"/>
      <c r="SI210" s="30"/>
      <c r="SJ210" s="30"/>
      <c r="SK210" s="30"/>
      <c r="SL210" s="30"/>
      <c r="SM210" s="30"/>
      <c r="SN210" s="30"/>
      <c r="SO210" s="30"/>
      <c r="SP210" s="30"/>
      <c r="SQ210" s="30"/>
      <c r="SR210" s="30"/>
      <c r="SS210" s="30"/>
      <c r="ST210" s="30"/>
      <c r="SU210" s="30"/>
      <c r="SV210" s="30"/>
      <c r="SW210" s="30"/>
      <c r="SX210" s="30"/>
      <c r="SY210" s="30"/>
      <c r="SZ210" s="30"/>
      <c r="TA210" s="30"/>
      <c r="TB210" s="30"/>
      <c r="TC210" s="30"/>
      <c r="TD210" s="30"/>
      <c r="TE210" s="30"/>
      <c r="TF210" s="30"/>
      <c r="TG210" s="30"/>
    </row>
    <row r="211" spans="1:527" s="24" customFormat="1" ht="25.5" customHeight="1" x14ac:dyDescent="0.25">
      <c r="A211" s="60">
        <v>1014082</v>
      </c>
      <c r="B211" s="97" t="str">
        <f>'дод 5'!A141</f>
        <v>4082</v>
      </c>
      <c r="C211" s="97" t="str">
        <f>'дод 5'!B141</f>
        <v>0829</v>
      </c>
      <c r="D211" s="61" t="str">
        <f>'дод 5'!C141</f>
        <v>Інші заходи в галузі культури і мистецтва</v>
      </c>
      <c r="E211" s="103">
        <f t="shared" si="90"/>
        <v>1285000</v>
      </c>
      <c r="F211" s="103">
        <f>1100000+100000+85000</f>
        <v>1285000</v>
      </c>
      <c r="G211" s="103"/>
      <c r="H211" s="103"/>
      <c r="I211" s="103"/>
      <c r="J211" s="103">
        <f t="shared" si="92"/>
        <v>0</v>
      </c>
      <c r="K211" s="103"/>
      <c r="L211" s="103"/>
      <c r="M211" s="103"/>
      <c r="N211" s="103"/>
      <c r="O211" s="103"/>
      <c r="P211" s="103">
        <f t="shared" si="91"/>
        <v>1285000</v>
      </c>
      <c r="Q211" s="188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/>
      <c r="MG211" s="30"/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30"/>
      <c r="MW211" s="30"/>
      <c r="MX211" s="30"/>
      <c r="MY211" s="30"/>
      <c r="MZ211" s="30"/>
      <c r="NA211" s="30"/>
      <c r="NB211" s="30"/>
      <c r="NC211" s="30"/>
      <c r="ND211" s="30"/>
      <c r="NE211" s="30"/>
      <c r="NF211" s="30"/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30"/>
      <c r="NY211" s="30"/>
      <c r="NZ211" s="30"/>
      <c r="OA211" s="30"/>
      <c r="OB211" s="30"/>
      <c r="OC211" s="30"/>
      <c r="OD211" s="30"/>
      <c r="OE211" s="30"/>
      <c r="OF211" s="30"/>
      <c r="OG211" s="30"/>
      <c r="OH211" s="30"/>
      <c r="OI211" s="30"/>
      <c r="OJ211" s="30"/>
      <c r="OK211" s="30"/>
      <c r="OL211" s="30"/>
      <c r="OM211" s="30"/>
      <c r="ON211" s="30"/>
      <c r="OO211" s="30"/>
      <c r="OP211" s="30"/>
      <c r="OQ211" s="30"/>
      <c r="OR211" s="30"/>
      <c r="OS211" s="30"/>
      <c r="OT211" s="30"/>
      <c r="OU211" s="30"/>
      <c r="OV211" s="30"/>
      <c r="OW211" s="30"/>
      <c r="OX211" s="30"/>
      <c r="OY211" s="30"/>
      <c r="OZ211" s="30"/>
      <c r="PA211" s="30"/>
      <c r="PB211" s="30"/>
      <c r="PC211" s="30"/>
      <c r="PD211" s="30"/>
      <c r="PE211" s="30"/>
      <c r="PF211" s="30"/>
      <c r="PG211" s="30"/>
      <c r="PH211" s="30"/>
      <c r="PI211" s="30"/>
      <c r="PJ211" s="30"/>
      <c r="PK211" s="30"/>
      <c r="PL211" s="30"/>
      <c r="PM211" s="30"/>
      <c r="PN211" s="30"/>
      <c r="PO211" s="30"/>
      <c r="PP211" s="30"/>
      <c r="PQ211" s="30"/>
      <c r="PR211" s="30"/>
      <c r="PS211" s="30"/>
      <c r="PT211" s="30"/>
      <c r="PU211" s="30"/>
      <c r="PV211" s="30"/>
      <c r="PW211" s="30"/>
      <c r="PX211" s="30"/>
      <c r="PY211" s="30"/>
      <c r="PZ211" s="30"/>
      <c r="QA211" s="30"/>
      <c r="QB211" s="30"/>
      <c r="QC211" s="30"/>
      <c r="QD211" s="30"/>
      <c r="QE211" s="30"/>
      <c r="QF211" s="30"/>
      <c r="QG211" s="30"/>
      <c r="QH211" s="30"/>
      <c r="QI211" s="30"/>
      <c r="QJ211" s="30"/>
      <c r="QK211" s="30"/>
      <c r="QL211" s="30"/>
      <c r="QM211" s="30"/>
      <c r="QN211" s="30"/>
      <c r="QO211" s="30"/>
      <c r="QP211" s="30"/>
      <c r="QQ211" s="30"/>
      <c r="QR211" s="30"/>
      <c r="QS211" s="30"/>
      <c r="QT211" s="30"/>
      <c r="QU211" s="30"/>
      <c r="QV211" s="30"/>
      <c r="QW211" s="30"/>
      <c r="QX211" s="30"/>
      <c r="QY211" s="30"/>
      <c r="QZ211" s="30"/>
      <c r="RA211" s="30"/>
      <c r="RB211" s="30"/>
      <c r="RC211" s="30"/>
      <c r="RD211" s="30"/>
      <c r="RE211" s="30"/>
      <c r="RF211" s="30"/>
      <c r="RG211" s="30"/>
      <c r="RH211" s="30"/>
      <c r="RI211" s="30"/>
      <c r="RJ211" s="30"/>
      <c r="RK211" s="30"/>
      <c r="RL211" s="30"/>
      <c r="RM211" s="30"/>
      <c r="RN211" s="30"/>
      <c r="RO211" s="30"/>
      <c r="RP211" s="30"/>
      <c r="RQ211" s="30"/>
      <c r="RR211" s="30"/>
      <c r="RS211" s="30"/>
      <c r="RT211" s="30"/>
      <c r="RU211" s="30"/>
      <c r="RV211" s="30"/>
      <c r="RW211" s="30"/>
      <c r="RX211" s="30"/>
      <c r="RY211" s="30"/>
      <c r="RZ211" s="30"/>
      <c r="SA211" s="30"/>
      <c r="SB211" s="30"/>
      <c r="SC211" s="30"/>
      <c r="SD211" s="30"/>
      <c r="SE211" s="30"/>
      <c r="SF211" s="30"/>
      <c r="SG211" s="30"/>
      <c r="SH211" s="30"/>
      <c r="SI211" s="30"/>
      <c r="SJ211" s="30"/>
      <c r="SK211" s="30"/>
      <c r="SL211" s="30"/>
      <c r="SM211" s="30"/>
      <c r="SN211" s="30"/>
      <c r="SO211" s="30"/>
      <c r="SP211" s="30"/>
      <c r="SQ211" s="30"/>
      <c r="SR211" s="30"/>
      <c r="SS211" s="30"/>
      <c r="ST211" s="30"/>
      <c r="SU211" s="30"/>
      <c r="SV211" s="30"/>
      <c r="SW211" s="30"/>
      <c r="SX211" s="30"/>
      <c r="SY211" s="30"/>
      <c r="SZ211" s="30"/>
      <c r="TA211" s="30"/>
      <c r="TB211" s="30"/>
      <c r="TC211" s="30"/>
      <c r="TD211" s="30"/>
      <c r="TE211" s="30"/>
      <c r="TF211" s="30"/>
      <c r="TG211" s="30"/>
    </row>
    <row r="212" spans="1:527" s="24" customFormat="1" ht="21.75" customHeight="1" x14ac:dyDescent="0.25">
      <c r="A212" s="60" t="s">
        <v>459</v>
      </c>
      <c r="B212" s="60" t="s">
        <v>460</v>
      </c>
      <c r="C212" s="60" t="s">
        <v>113</v>
      </c>
      <c r="D212" s="6" t="s">
        <v>565</v>
      </c>
      <c r="E212" s="103">
        <f t="shared" si="90"/>
        <v>0</v>
      </c>
      <c r="F212" s="103"/>
      <c r="G212" s="103"/>
      <c r="H212" s="103"/>
      <c r="I212" s="103"/>
      <c r="J212" s="103">
        <f t="shared" si="92"/>
        <v>570000</v>
      </c>
      <c r="K212" s="103">
        <f>950000+20000-400000</f>
        <v>570000</v>
      </c>
      <c r="L212" s="103"/>
      <c r="M212" s="103"/>
      <c r="N212" s="103"/>
      <c r="O212" s="103">
        <f>950000+20000-400000</f>
        <v>570000</v>
      </c>
      <c r="P212" s="103">
        <f t="shared" si="91"/>
        <v>570000</v>
      </c>
      <c r="Q212" s="188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</row>
    <row r="213" spans="1:527" s="22" customFormat="1" ht="22.5" customHeight="1" x14ac:dyDescent="0.25">
      <c r="A213" s="60" t="s">
        <v>147</v>
      </c>
      <c r="B213" s="97" t="str">
        <f>'дод 5'!A203</f>
        <v>7640</v>
      </c>
      <c r="C213" s="97" t="str">
        <f>'дод 5'!B203</f>
        <v>0470</v>
      </c>
      <c r="D213" s="61" t="s">
        <v>424</v>
      </c>
      <c r="E213" s="103">
        <f t="shared" si="90"/>
        <v>0</v>
      </c>
      <c r="F213" s="103"/>
      <c r="G213" s="103"/>
      <c r="H213" s="103"/>
      <c r="I213" s="103"/>
      <c r="J213" s="103">
        <f t="shared" si="92"/>
        <v>1500000</v>
      </c>
      <c r="K213" s="103">
        <v>1500000</v>
      </c>
      <c r="L213" s="103"/>
      <c r="M213" s="103"/>
      <c r="N213" s="103"/>
      <c r="O213" s="103">
        <v>1500000</v>
      </c>
      <c r="P213" s="103">
        <f t="shared" si="91"/>
        <v>1500000</v>
      </c>
      <c r="Q213" s="188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</row>
    <row r="214" spans="1:527" s="22" customFormat="1" ht="22.5" hidden="1" customHeight="1" x14ac:dyDescent="0.25">
      <c r="A214" s="60">
        <v>1018340</v>
      </c>
      <c r="B214" s="97" t="str">
        <f>'дод 5'!A225</f>
        <v>8340</v>
      </c>
      <c r="C214" s="97" t="str">
        <f>'дод 5'!B225</f>
        <v>0540</v>
      </c>
      <c r="D214" s="121" t="str">
        <f>'дод 5'!C225</f>
        <v>Природоохоронні заходи за рахунок цільових фондів</v>
      </c>
      <c r="E214" s="103">
        <f t="shared" si="90"/>
        <v>0</v>
      </c>
      <c r="F214" s="103"/>
      <c r="G214" s="103"/>
      <c r="H214" s="103"/>
      <c r="I214" s="103"/>
      <c r="J214" s="103">
        <f t="shared" si="92"/>
        <v>0</v>
      </c>
      <c r="K214" s="103"/>
      <c r="L214" s="103"/>
      <c r="M214" s="103"/>
      <c r="N214" s="103"/>
      <c r="O214" s="103"/>
      <c r="P214" s="103">
        <f t="shared" si="91"/>
        <v>0</v>
      </c>
      <c r="Q214" s="188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</row>
    <row r="215" spans="1:527" s="27" customFormat="1" ht="34.5" customHeight="1" x14ac:dyDescent="0.25">
      <c r="A215" s="114" t="s">
        <v>196</v>
      </c>
      <c r="B215" s="116"/>
      <c r="C215" s="116"/>
      <c r="D215" s="111" t="s">
        <v>33</v>
      </c>
      <c r="E215" s="99">
        <f>E216</f>
        <v>327903635.13999999</v>
      </c>
      <c r="F215" s="99">
        <f t="shared" ref="F215:J215" si="93">F216</f>
        <v>295161676.65999997</v>
      </c>
      <c r="G215" s="99">
        <f t="shared" si="93"/>
        <v>11274000</v>
      </c>
      <c r="H215" s="99">
        <f t="shared" si="93"/>
        <v>35226635</v>
      </c>
      <c r="I215" s="99">
        <f t="shared" si="93"/>
        <v>32741958.48</v>
      </c>
      <c r="J215" s="99">
        <f t="shared" si="93"/>
        <v>162659749.72999996</v>
      </c>
      <c r="K215" s="99">
        <f t="shared" ref="K215" si="94">K216</f>
        <v>155654583.15999997</v>
      </c>
      <c r="L215" s="99">
        <f t="shared" ref="L215" si="95">L216</f>
        <v>1926086.57</v>
      </c>
      <c r="M215" s="99">
        <f t="shared" ref="M215" si="96">M216</f>
        <v>0</v>
      </c>
      <c r="N215" s="99">
        <f t="shared" ref="N215" si="97">N216</f>
        <v>0</v>
      </c>
      <c r="O215" s="99">
        <f t="shared" ref="O215:P215" si="98">O216</f>
        <v>160733663.15999997</v>
      </c>
      <c r="P215" s="99">
        <f t="shared" si="98"/>
        <v>490563384.87</v>
      </c>
      <c r="Q215" s="188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  <c r="IU215" s="32"/>
      <c r="IV215" s="32"/>
      <c r="IW215" s="32"/>
      <c r="IX215" s="32"/>
      <c r="IY215" s="32"/>
      <c r="IZ215" s="32"/>
      <c r="JA215" s="32"/>
      <c r="JB215" s="32"/>
      <c r="JC215" s="32"/>
      <c r="JD215" s="32"/>
      <c r="JE215" s="32"/>
      <c r="JF215" s="32"/>
      <c r="JG215" s="32"/>
      <c r="JH215" s="32"/>
      <c r="JI215" s="32"/>
      <c r="JJ215" s="32"/>
      <c r="JK215" s="32"/>
      <c r="JL215" s="32"/>
      <c r="JM215" s="32"/>
      <c r="JN215" s="32"/>
      <c r="JO215" s="32"/>
      <c r="JP215" s="32"/>
      <c r="JQ215" s="32"/>
      <c r="JR215" s="32"/>
      <c r="JS215" s="32"/>
      <c r="JT215" s="32"/>
      <c r="JU215" s="32"/>
      <c r="JV215" s="32"/>
      <c r="JW215" s="32"/>
      <c r="JX215" s="32"/>
      <c r="JY215" s="32"/>
      <c r="JZ215" s="32"/>
      <c r="KA215" s="32"/>
      <c r="KB215" s="32"/>
      <c r="KC215" s="32"/>
      <c r="KD215" s="32"/>
      <c r="KE215" s="32"/>
      <c r="KF215" s="32"/>
      <c r="KG215" s="32"/>
      <c r="KH215" s="32"/>
      <c r="KI215" s="32"/>
      <c r="KJ215" s="32"/>
      <c r="KK215" s="32"/>
      <c r="KL215" s="32"/>
      <c r="KM215" s="32"/>
      <c r="KN215" s="32"/>
      <c r="KO215" s="32"/>
      <c r="KP215" s="32"/>
      <c r="KQ215" s="32"/>
      <c r="KR215" s="32"/>
      <c r="KS215" s="32"/>
      <c r="KT215" s="32"/>
      <c r="KU215" s="32"/>
      <c r="KV215" s="32"/>
      <c r="KW215" s="32"/>
      <c r="KX215" s="32"/>
      <c r="KY215" s="32"/>
      <c r="KZ215" s="32"/>
      <c r="LA215" s="32"/>
      <c r="LB215" s="32"/>
      <c r="LC215" s="32"/>
      <c r="LD215" s="32"/>
      <c r="LE215" s="32"/>
      <c r="LF215" s="32"/>
      <c r="LG215" s="32"/>
      <c r="LH215" s="32"/>
      <c r="LI215" s="32"/>
      <c r="LJ215" s="32"/>
      <c r="LK215" s="32"/>
      <c r="LL215" s="32"/>
      <c r="LM215" s="32"/>
      <c r="LN215" s="32"/>
      <c r="LO215" s="32"/>
      <c r="LP215" s="32"/>
      <c r="LQ215" s="32"/>
      <c r="LR215" s="32"/>
      <c r="LS215" s="32"/>
      <c r="LT215" s="32"/>
      <c r="LU215" s="32"/>
      <c r="LV215" s="32"/>
      <c r="LW215" s="32"/>
      <c r="LX215" s="32"/>
      <c r="LY215" s="32"/>
      <c r="LZ215" s="32"/>
      <c r="MA215" s="32"/>
      <c r="MB215" s="32"/>
      <c r="MC215" s="32"/>
      <c r="MD215" s="32"/>
      <c r="ME215" s="32"/>
      <c r="MF215" s="32"/>
      <c r="MG215" s="32"/>
      <c r="MH215" s="32"/>
      <c r="MI215" s="32"/>
      <c r="MJ215" s="32"/>
      <c r="MK215" s="32"/>
      <c r="ML215" s="32"/>
      <c r="MM215" s="32"/>
      <c r="MN215" s="32"/>
      <c r="MO215" s="32"/>
      <c r="MP215" s="32"/>
      <c r="MQ215" s="32"/>
      <c r="MR215" s="32"/>
      <c r="MS215" s="32"/>
      <c r="MT215" s="32"/>
      <c r="MU215" s="32"/>
      <c r="MV215" s="32"/>
      <c r="MW215" s="32"/>
      <c r="MX215" s="32"/>
      <c r="MY215" s="32"/>
      <c r="MZ215" s="32"/>
      <c r="NA215" s="32"/>
      <c r="NB215" s="32"/>
      <c r="NC215" s="32"/>
      <c r="ND215" s="32"/>
      <c r="NE215" s="32"/>
      <c r="NF215" s="32"/>
      <c r="NG215" s="32"/>
      <c r="NH215" s="32"/>
      <c r="NI215" s="32"/>
      <c r="NJ215" s="32"/>
      <c r="NK215" s="32"/>
      <c r="NL215" s="32"/>
      <c r="NM215" s="32"/>
      <c r="NN215" s="32"/>
      <c r="NO215" s="32"/>
      <c r="NP215" s="32"/>
      <c r="NQ215" s="32"/>
      <c r="NR215" s="32"/>
      <c r="NS215" s="32"/>
      <c r="NT215" s="32"/>
      <c r="NU215" s="32"/>
      <c r="NV215" s="32"/>
      <c r="NW215" s="32"/>
      <c r="NX215" s="32"/>
      <c r="NY215" s="32"/>
      <c r="NZ215" s="32"/>
      <c r="OA215" s="32"/>
      <c r="OB215" s="32"/>
      <c r="OC215" s="32"/>
      <c r="OD215" s="32"/>
      <c r="OE215" s="32"/>
      <c r="OF215" s="32"/>
      <c r="OG215" s="32"/>
      <c r="OH215" s="32"/>
      <c r="OI215" s="32"/>
      <c r="OJ215" s="32"/>
      <c r="OK215" s="32"/>
      <c r="OL215" s="32"/>
      <c r="OM215" s="32"/>
      <c r="ON215" s="32"/>
      <c r="OO215" s="32"/>
      <c r="OP215" s="32"/>
      <c r="OQ215" s="32"/>
      <c r="OR215" s="32"/>
      <c r="OS215" s="32"/>
      <c r="OT215" s="32"/>
      <c r="OU215" s="32"/>
      <c r="OV215" s="32"/>
      <c r="OW215" s="32"/>
      <c r="OX215" s="32"/>
      <c r="OY215" s="32"/>
      <c r="OZ215" s="32"/>
      <c r="PA215" s="32"/>
      <c r="PB215" s="32"/>
      <c r="PC215" s="32"/>
      <c r="PD215" s="32"/>
      <c r="PE215" s="32"/>
      <c r="PF215" s="32"/>
      <c r="PG215" s="32"/>
      <c r="PH215" s="32"/>
      <c r="PI215" s="32"/>
      <c r="PJ215" s="32"/>
      <c r="PK215" s="32"/>
      <c r="PL215" s="32"/>
      <c r="PM215" s="32"/>
      <c r="PN215" s="32"/>
      <c r="PO215" s="32"/>
      <c r="PP215" s="32"/>
      <c r="PQ215" s="32"/>
      <c r="PR215" s="32"/>
      <c r="PS215" s="32"/>
      <c r="PT215" s="32"/>
      <c r="PU215" s="32"/>
      <c r="PV215" s="32"/>
      <c r="PW215" s="32"/>
      <c r="PX215" s="32"/>
      <c r="PY215" s="32"/>
      <c r="PZ215" s="32"/>
      <c r="QA215" s="32"/>
      <c r="QB215" s="32"/>
      <c r="QC215" s="32"/>
      <c r="QD215" s="32"/>
      <c r="QE215" s="32"/>
      <c r="QF215" s="32"/>
      <c r="QG215" s="32"/>
      <c r="QH215" s="32"/>
      <c r="QI215" s="32"/>
      <c r="QJ215" s="32"/>
      <c r="QK215" s="32"/>
      <c r="QL215" s="32"/>
      <c r="QM215" s="32"/>
      <c r="QN215" s="32"/>
      <c r="QO215" s="32"/>
      <c r="QP215" s="32"/>
      <c r="QQ215" s="32"/>
      <c r="QR215" s="32"/>
      <c r="QS215" s="32"/>
      <c r="QT215" s="32"/>
      <c r="QU215" s="32"/>
      <c r="QV215" s="32"/>
      <c r="QW215" s="32"/>
      <c r="QX215" s="32"/>
      <c r="QY215" s="32"/>
      <c r="QZ215" s="32"/>
      <c r="RA215" s="32"/>
      <c r="RB215" s="32"/>
      <c r="RC215" s="32"/>
      <c r="RD215" s="32"/>
      <c r="RE215" s="32"/>
      <c r="RF215" s="32"/>
      <c r="RG215" s="32"/>
      <c r="RH215" s="32"/>
      <c r="RI215" s="32"/>
      <c r="RJ215" s="32"/>
      <c r="RK215" s="32"/>
      <c r="RL215" s="32"/>
      <c r="RM215" s="32"/>
      <c r="RN215" s="32"/>
      <c r="RO215" s="32"/>
      <c r="RP215" s="32"/>
      <c r="RQ215" s="32"/>
      <c r="RR215" s="32"/>
      <c r="RS215" s="32"/>
      <c r="RT215" s="32"/>
      <c r="RU215" s="32"/>
      <c r="RV215" s="32"/>
      <c r="RW215" s="32"/>
      <c r="RX215" s="32"/>
      <c r="RY215" s="32"/>
      <c r="RZ215" s="32"/>
      <c r="SA215" s="32"/>
      <c r="SB215" s="32"/>
      <c r="SC215" s="32"/>
      <c r="SD215" s="32"/>
      <c r="SE215" s="32"/>
      <c r="SF215" s="32"/>
      <c r="SG215" s="32"/>
      <c r="SH215" s="32"/>
      <c r="SI215" s="32"/>
      <c r="SJ215" s="32"/>
      <c r="SK215" s="32"/>
      <c r="SL215" s="32"/>
      <c r="SM215" s="32"/>
      <c r="SN215" s="32"/>
      <c r="SO215" s="32"/>
      <c r="SP215" s="32"/>
      <c r="SQ215" s="32"/>
      <c r="SR215" s="32"/>
      <c r="SS215" s="32"/>
      <c r="ST215" s="32"/>
      <c r="SU215" s="32"/>
      <c r="SV215" s="32"/>
      <c r="SW215" s="32"/>
      <c r="SX215" s="32"/>
      <c r="SY215" s="32"/>
      <c r="SZ215" s="32"/>
      <c r="TA215" s="32"/>
      <c r="TB215" s="32"/>
      <c r="TC215" s="32"/>
      <c r="TD215" s="32"/>
      <c r="TE215" s="32"/>
      <c r="TF215" s="32"/>
      <c r="TG215" s="32"/>
    </row>
    <row r="216" spans="1:527" s="34" customFormat="1" ht="36.75" customHeight="1" x14ac:dyDescent="0.25">
      <c r="A216" s="100" t="s">
        <v>197</v>
      </c>
      <c r="B216" s="113"/>
      <c r="C216" s="113"/>
      <c r="D216" s="81" t="s">
        <v>398</v>
      </c>
      <c r="E216" s="102">
        <f>E222+E223+E224+E225+E226+E227+E228+E229+E230+E231+E232+E233+E235+E234+E237+E242+E243+E244+E246+E249+E250+E251+E236+E239+E248+E247</f>
        <v>327903635.13999999</v>
      </c>
      <c r="F216" s="102">
        <f t="shared" ref="F216:P216" si="99">F222+F223+F224+F225+F226+F227+F228+F229+F230+F231+F232+F233+F235+F234+F237+F242+F243+F244+F246+F249+F250+F251+F236+F239+F248+F247</f>
        <v>295161676.65999997</v>
      </c>
      <c r="G216" s="102">
        <f t="shared" si="99"/>
        <v>11274000</v>
      </c>
      <c r="H216" s="102">
        <f t="shared" si="99"/>
        <v>35226635</v>
      </c>
      <c r="I216" s="102">
        <f t="shared" si="99"/>
        <v>32741958.48</v>
      </c>
      <c r="J216" s="102">
        <f t="shared" si="99"/>
        <v>162659749.72999996</v>
      </c>
      <c r="K216" s="102">
        <f t="shared" si="99"/>
        <v>155654583.15999997</v>
      </c>
      <c r="L216" s="102">
        <f t="shared" si="99"/>
        <v>1926086.57</v>
      </c>
      <c r="M216" s="102">
        <f t="shared" si="99"/>
        <v>0</v>
      </c>
      <c r="N216" s="102">
        <f t="shared" si="99"/>
        <v>0</v>
      </c>
      <c r="O216" s="102">
        <f t="shared" si="99"/>
        <v>160733663.15999997</v>
      </c>
      <c r="P216" s="102">
        <f t="shared" si="99"/>
        <v>490563384.87</v>
      </c>
      <c r="Q216" s="188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  <c r="TG216" s="33"/>
    </row>
    <row r="217" spans="1:527" s="34" customFormat="1" ht="45" hidden="1" customHeight="1" x14ac:dyDescent="0.25">
      <c r="A217" s="100"/>
      <c r="B217" s="113"/>
      <c r="C217" s="113"/>
      <c r="D217" s="81" t="s">
        <v>390</v>
      </c>
      <c r="E217" s="102">
        <f>E238</f>
        <v>0</v>
      </c>
      <c r="F217" s="102">
        <f t="shared" ref="F217:P217" si="100">F238</f>
        <v>0</v>
      </c>
      <c r="G217" s="102">
        <f t="shared" si="100"/>
        <v>0</v>
      </c>
      <c r="H217" s="102">
        <f t="shared" si="100"/>
        <v>0</v>
      </c>
      <c r="I217" s="102">
        <f t="shared" si="100"/>
        <v>0</v>
      </c>
      <c r="J217" s="102">
        <f t="shared" si="100"/>
        <v>5000000</v>
      </c>
      <c r="K217" s="102">
        <f t="shared" si="100"/>
        <v>5000000</v>
      </c>
      <c r="L217" s="102">
        <f t="shared" si="100"/>
        <v>0</v>
      </c>
      <c r="M217" s="102">
        <f t="shared" si="100"/>
        <v>0</v>
      </c>
      <c r="N217" s="102">
        <f t="shared" si="100"/>
        <v>0</v>
      </c>
      <c r="O217" s="102">
        <f t="shared" si="100"/>
        <v>5000000</v>
      </c>
      <c r="P217" s="102">
        <f t="shared" si="100"/>
        <v>5000000</v>
      </c>
      <c r="Q217" s="188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  <c r="IW217" s="33"/>
      <c r="IX217" s="33"/>
      <c r="IY217" s="33"/>
      <c r="IZ217" s="33"/>
      <c r="JA217" s="33"/>
      <c r="JB217" s="33"/>
      <c r="JC217" s="33"/>
      <c r="JD217" s="33"/>
      <c r="JE217" s="33"/>
      <c r="JF217" s="33"/>
      <c r="JG217" s="33"/>
      <c r="JH217" s="33"/>
      <c r="JI217" s="33"/>
      <c r="JJ217" s="33"/>
      <c r="JK217" s="33"/>
      <c r="JL217" s="33"/>
      <c r="JM217" s="33"/>
      <c r="JN217" s="33"/>
      <c r="JO217" s="33"/>
      <c r="JP217" s="33"/>
      <c r="JQ217" s="33"/>
      <c r="JR217" s="33"/>
      <c r="JS217" s="33"/>
      <c r="JT217" s="33"/>
      <c r="JU217" s="33"/>
      <c r="JV217" s="33"/>
      <c r="JW217" s="33"/>
      <c r="JX217" s="33"/>
      <c r="JY217" s="33"/>
      <c r="JZ217" s="33"/>
      <c r="KA217" s="33"/>
      <c r="KB217" s="33"/>
      <c r="KC217" s="33"/>
      <c r="KD217" s="33"/>
      <c r="KE217" s="33"/>
      <c r="KF217" s="33"/>
      <c r="KG217" s="33"/>
      <c r="KH217" s="33"/>
      <c r="KI217" s="33"/>
      <c r="KJ217" s="33"/>
      <c r="KK217" s="33"/>
      <c r="KL217" s="33"/>
      <c r="KM217" s="33"/>
      <c r="KN217" s="33"/>
      <c r="KO217" s="33"/>
      <c r="KP217" s="33"/>
      <c r="KQ217" s="33"/>
      <c r="KR217" s="33"/>
      <c r="KS217" s="33"/>
      <c r="KT217" s="33"/>
      <c r="KU217" s="33"/>
      <c r="KV217" s="33"/>
      <c r="KW217" s="33"/>
      <c r="KX217" s="33"/>
      <c r="KY217" s="33"/>
      <c r="KZ217" s="33"/>
      <c r="LA217" s="33"/>
      <c r="LB217" s="33"/>
      <c r="LC217" s="33"/>
      <c r="LD217" s="33"/>
      <c r="LE217" s="33"/>
      <c r="LF217" s="33"/>
      <c r="LG217" s="33"/>
      <c r="LH217" s="33"/>
      <c r="LI217" s="33"/>
      <c r="LJ217" s="33"/>
      <c r="LK217" s="33"/>
      <c r="LL217" s="33"/>
      <c r="LM217" s="33"/>
      <c r="LN217" s="33"/>
      <c r="LO217" s="33"/>
      <c r="LP217" s="33"/>
      <c r="LQ217" s="33"/>
      <c r="LR217" s="33"/>
      <c r="LS217" s="33"/>
      <c r="LT217" s="33"/>
      <c r="LU217" s="33"/>
      <c r="LV217" s="33"/>
      <c r="LW217" s="33"/>
      <c r="LX217" s="33"/>
      <c r="LY217" s="33"/>
      <c r="LZ217" s="33"/>
      <c r="MA217" s="33"/>
      <c r="MB217" s="33"/>
      <c r="MC217" s="33"/>
      <c r="MD217" s="33"/>
      <c r="ME217" s="33"/>
      <c r="MF217" s="33"/>
      <c r="MG217" s="33"/>
      <c r="MH217" s="33"/>
      <c r="MI217" s="33"/>
      <c r="MJ217" s="33"/>
      <c r="MK217" s="33"/>
      <c r="ML217" s="33"/>
      <c r="MM217" s="33"/>
      <c r="MN217" s="33"/>
      <c r="MO217" s="33"/>
      <c r="MP217" s="33"/>
      <c r="MQ217" s="33"/>
      <c r="MR217" s="33"/>
      <c r="MS217" s="33"/>
      <c r="MT217" s="33"/>
      <c r="MU217" s="33"/>
      <c r="MV217" s="33"/>
      <c r="MW217" s="33"/>
      <c r="MX217" s="33"/>
      <c r="MY217" s="33"/>
      <c r="MZ217" s="33"/>
      <c r="NA217" s="33"/>
      <c r="NB217" s="33"/>
      <c r="NC217" s="33"/>
      <c r="ND217" s="33"/>
      <c r="NE217" s="33"/>
      <c r="NF217" s="33"/>
      <c r="NG217" s="33"/>
      <c r="NH217" s="33"/>
      <c r="NI217" s="33"/>
      <c r="NJ217" s="33"/>
      <c r="NK217" s="33"/>
      <c r="NL217" s="33"/>
      <c r="NM217" s="33"/>
      <c r="NN217" s="33"/>
      <c r="NO217" s="33"/>
      <c r="NP217" s="33"/>
      <c r="NQ217" s="33"/>
      <c r="NR217" s="33"/>
      <c r="NS217" s="33"/>
      <c r="NT217" s="33"/>
      <c r="NU217" s="33"/>
      <c r="NV217" s="33"/>
      <c r="NW217" s="33"/>
      <c r="NX217" s="33"/>
      <c r="NY217" s="33"/>
      <c r="NZ217" s="33"/>
      <c r="OA217" s="33"/>
      <c r="OB217" s="33"/>
      <c r="OC217" s="33"/>
      <c r="OD217" s="33"/>
      <c r="OE217" s="33"/>
      <c r="OF217" s="33"/>
      <c r="OG217" s="33"/>
      <c r="OH217" s="33"/>
      <c r="OI217" s="33"/>
      <c r="OJ217" s="33"/>
      <c r="OK217" s="33"/>
      <c r="OL217" s="33"/>
      <c r="OM217" s="33"/>
      <c r="ON217" s="33"/>
      <c r="OO217" s="33"/>
      <c r="OP217" s="33"/>
      <c r="OQ217" s="33"/>
      <c r="OR217" s="33"/>
      <c r="OS217" s="33"/>
      <c r="OT217" s="33"/>
      <c r="OU217" s="33"/>
      <c r="OV217" s="33"/>
      <c r="OW217" s="33"/>
      <c r="OX217" s="33"/>
      <c r="OY217" s="33"/>
      <c r="OZ217" s="33"/>
      <c r="PA217" s="33"/>
      <c r="PB217" s="33"/>
      <c r="PC217" s="33"/>
      <c r="PD217" s="33"/>
      <c r="PE217" s="33"/>
      <c r="PF217" s="33"/>
      <c r="PG217" s="33"/>
      <c r="PH217" s="33"/>
      <c r="PI217" s="33"/>
      <c r="PJ217" s="33"/>
      <c r="PK217" s="33"/>
      <c r="PL217" s="33"/>
      <c r="PM217" s="33"/>
      <c r="PN217" s="33"/>
      <c r="PO217" s="33"/>
      <c r="PP217" s="33"/>
      <c r="PQ217" s="33"/>
      <c r="PR217" s="33"/>
      <c r="PS217" s="33"/>
      <c r="PT217" s="33"/>
      <c r="PU217" s="33"/>
      <c r="PV217" s="33"/>
      <c r="PW217" s="33"/>
      <c r="PX217" s="33"/>
      <c r="PY217" s="33"/>
      <c r="PZ217" s="33"/>
      <c r="QA217" s="33"/>
      <c r="QB217" s="33"/>
      <c r="QC217" s="33"/>
      <c r="QD217" s="33"/>
      <c r="QE217" s="33"/>
      <c r="QF217" s="33"/>
      <c r="QG217" s="33"/>
      <c r="QH217" s="33"/>
      <c r="QI217" s="33"/>
      <c r="QJ217" s="33"/>
      <c r="QK217" s="33"/>
      <c r="QL217" s="33"/>
      <c r="QM217" s="33"/>
      <c r="QN217" s="33"/>
      <c r="QO217" s="33"/>
      <c r="QP217" s="33"/>
      <c r="QQ217" s="33"/>
      <c r="QR217" s="33"/>
      <c r="QS217" s="33"/>
      <c r="QT217" s="33"/>
      <c r="QU217" s="33"/>
      <c r="QV217" s="33"/>
      <c r="QW217" s="33"/>
      <c r="QX217" s="33"/>
      <c r="QY217" s="33"/>
      <c r="QZ217" s="33"/>
      <c r="RA217" s="33"/>
      <c r="RB217" s="33"/>
      <c r="RC217" s="33"/>
      <c r="RD217" s="33"/>
      <c r="RE217" s="33"/>
      <c r="RF217" s="33"/>
      <c r="RG217" s="33"/>
      <c r="RH217" s="33"/>
      <c r="RI217" s="33"/>
      <c r="RJ217" s="33"/>
      <c r="RK217" s="33"/>
      <c r="RL217" s="33"/>
      <c r="RM217" s="33"/>
      <c r="RN217" s="33"/>
      <c r="RO217" s="33"/>
      <c r="RP217" s="33"/>
      <c r="RQ217" s="33"/>
      <c r="RR217" s="33"/>
      <c r="RS217" s="33"/>
      <c r="RT217" s="33"/>
      <c r="RU217" s="33"/>
      <c r="RV217" s="33"/>
      <c r="RW217" s="33"/>
      <c r="RX217" s="33"/>
      <c r="RY217" s="33"/>
      <c r="RZ217" s="33"/>
      <c r="SA217" s="33"/>
      <c r="SB217" s="33"/>
      <c r="SC217" s="33"/>
      <c r="SD217" s="33"/>
      <c r="SE217" s="33"/>
      <c r="SF217" s="33"/>
      <c r="SG217" s="33"/>
      <c r="SH217" s="33"/>
      <c r="SI217" s="33"/>
      <c r="SJ217" s="33"/>
      <c r="SK217" s="33"/>
      <c r="SL217" s="33"/>
      <c r="SM217" s="33"/>
      <c r="SN217" s="33"/>
      <c r="SO217" s="33"/>
      <c r="SP217" s="33"/>
      <c r="SQ217" s="33"/>
      <c r="SR217" s="33"/>
      <c r="SS217" s="33"/>
      <c r="ST217" s="33"/>
      <c r="SU217" s="33"/>
      <c r="SV217" s="33"/>
      <c r="SW217" s="33"/>
      <c r="SX217" s="33"/>
      <c r="SY217" s="33"/>
      <c r="SZ217" s="33"/>
      <c r="TA217" s="33"/>
      <c r="TB217" s="33"/>
      <c r="TC217" s="33"/>
      <c r="TD217" s="33"/>
      <c r="TE217" s="33"/>
      <c r="TF217" s="33"/>
      <c r="TG217" s="33"/>
    </row>
    <row r="218" spans="1:527" s="34" customFormat="1" ht="96.75" hidden="1" customHeight="1" x14ac:dyDescent="0.25">
      <c r="A218" s="100"/>
      <c r="B218" s="113"/>
      <c r="C218" s="113"/>
      <c r="D218" s="81" t="s">
        <v>399</v>
      </c>
      <c r="E218" s="102">
        <f>E240</f>
        <v>0</v>
      </c>
      <c r="F218" s="102">
        <f t="shared" ref="F218:P218" si="101">F240</f>
        <v>0</v>
      </c>
      <c r="G218" s="102">
        <f t="shared" si="101"/>
        <v>0</v>
      </c>
      <c r="H218" s="102">
        <f t="shared" si="101"/>
        <v>0</v>
      </c>
      <c r="I218" s="102">
        <f t="shared" si="101"/>
        <v>0</v>
      </c>
      <c r="J218" s="102">
        <f t="shared" si="101"/>
        <v>0</v>
      </c>
      <c r="K218" s="102">
        <f t="shared" si="101"/>
        <v>0</v>
      </c>
      <c r="L218" s="102">
        <f t="shared" si="101"/>
        <v>0</v>
      </c>
      <c r="M218" s="102">
        <f t="shared" si="101"/>
        <v>0</v>
      </c>
      <c r="N218" s="102">
        <f t="shared" si="101"/>
        <v>0</v>
      </c>
      <c r="O218" s="102">
        <f t="shared" si="101"/>
        <v>0</v>
      </c>
      <c r="P218" s="102">
        <f t="shared" si="101"/>
        <v>0</v>
      </c>
      <c r="Q218" s="188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  <c r="IW218" s="33"/>
      <c r="IX218" s="33"/>
      <c r="IY218" s="33"/>
      <c r="IZ218" s="33"/>
      <c r="JA218" s="33"/>
      <c r="JB218" s="33"/>
      <c r="JC218" s="33"/>
      <c r="JD218" s="33"/>
      <c r="JE218" s="33"/>
      <c r="JF218" s="33"/>
      <c r="JG218" s="33"/>
      <c r="JH218" s="33"/>
      <c r="JI218" s="33"/>
      <c r="JJ218" s="33"/>
      <c r="JK218" s="33"/>
      <c r="JL218" s="33"/>
      <c r="JM218" s="33"/>
      <c r="JN218" s="33"/>
      <c r="JO218" s="33"/>
      <c r="JP218" s="33"/>
      <c r="JQ218" s="33"/>
      <c r="JR218" s="33"/>
      <c r="JS218" s="33"/>
      <c r="JT218" s="33"/>
      <c r="JU218" s="33"/>
      <c r="JV218" s="33"/>
      <c r="JW218" s="33"/>
      <c r="JX218" s="33"/>
      <c r="JY218" s="33"/>
      <c r="JZ218" s="33"/>
      <c r="KA218" s="33"/>
      <c r="KB218" s="33"/>
      <c r="KC218" s="33"/>
      <c r="KD218" s="33"/>
      <c r="KE218" s="33"/>
      <c r="KF218" s="33"/>
      <c r="KG218" s="33"/>
      <c r="KH218" s="33"/>
      <c r="KI218" s="33"/>
      <c r="KJ218" s="33"/>
      <c r="KK218" s="33"/>
      <c r="KL218" s="33"/>
      <c r="KM218" s="33"/>
      <c r="KN218" s="33"/>
      <c r="KO218" s="33"/>
      <c r="KP218" s="33"/>
      <c r="KQ218" s="33"/>
      <c r="KR218" s="33"/>
      <c r="KS218" s="33"/>
      <c r="KT218" s="33"/>
      <c r="KU218" s="33"/>
      <c r="KV218" s="33"/>
      <c r="KW218" s="33"/>
      <c r="KX218" s="33"/>
      <c r="KY218" s="33"/>
      <c r="KZ218" s="33"/>
      <c r="LA218" s="33"/>
      <c r="LB218" s="33"/>
      <c r="LC218" s="33"/>
      <c r="LD218" s="33"/>
      <c r="LE218" s="33"/>
      <c r="LF218" s="33"/>
      <c r="LG218" s="33"/>
      <c r="LH218" s="33"/>
      <c r="LI218" s="33"/>
      <c r="LJ218" s="33"/>
      <c r="LK218" s="33"/>
      <c r="LL218" s="33"/>
      <c r="LM218" s="33"/>
      <c r="LN218" s="33"/>
      <c r="LO218" s="33"/>
      <c r="LP218" s="33"/>
      <c r="LQ218" s="33"/>
      <c r="LR218" s="33"/>
      <c r="LS218" s="33"/>
      <c r="LT218" s="33"/>
      <c r="LU218" s="33"/>
      <c r="LV218" s="33"/>
      <c r="LW218" s="33"/>
      <c r="LX218" s="33"/>
      <c r="LY218" s="33"/>
      <c r="LZ218" s="33"/>
      <c r="MA218" s="33"/>
      <c r="MB218" s="33"/>
      <c r="MC218" s="33"/>
      <c r="MD218" s="33"/>
      <c r="ME218" s="33"/>
      <c r="MF218" s="33"/>
      <c r="MG218" s="33"/>
      <c r="MH218" s="33"/>
      <c r="MI218" s="33"/>
      <c r="MJ218" s="33"/>
      <c r="MK218" s="33"/>
      <c r="ML218" s="33"/>
      <c r="MM218" s="33"/>
      <c r="MN218" s="33"/>
      <c r="MO218" s="33"/>
      <c r="MP218" s="33"/>
      <c r="MQ218" s="33"/>
      <c r="MR218" s="33"/>
      <c r="MS218" s="33"/>
      <c r="MT218" s="33"/>
      <c r="MU218" s="33"/>
      <c r="MV218" s="33"/>
      <c r="MW218" s="33"/>
      <c r="MX218" s="33"/>
      <c r="MY218" s="33"/>
      <c r="MZ218" s="33"/>
      <c r="NA218" s="33"/>
      <c r="NB218" s="33"/>
      <c r="NC218" s="33"/>
      <c r="ND218" s="33"/>
      <c r="NE218" s="33"/>
      <c r="NF218" s="33"/>
      <c r="NG218" s="33"/>
      <c r="NH218" s="33"/>
      <c r="NI218" s="33"/>
      <c r="NJ218" s="33"/>
      <c r="NK218" s="33"/>
      <c r="NL218" s="33"/>
      <c r="NM218" s="33"/>
      <c r="NN218" s="33"/>
      <c r="NO218" s="33"/>
      <c r="NP218" s="33"/>
      <c r="NQ218" s="33"/>
      <c r="NR218" s="33"/>
      <c r="NS218" s="33"/>
      <c r="NT218" s="33"/>
      <c r="NU218" s="33"/>
      <c r="NV218" s="33"/>
      <c r="NW218" s="33"/>
      <c r="NX218" s="33"/>
      <c r="NY218" s="33"/>
      <c r="NZ218" s="33"/>
      <c r="OA218" s="33"/>
      <c r="OB218" s="33"/>
      <c r="OC218" s="33"/>
      <c r="OD218" s="33"/>
      <c r="OE218" s="33"/>
      <c r="OF218" s="33"/>
      <c r="OG218" s="33"/>
      <c r="OH218" s="33"/>
      <c r="OI218" s="33"/>
      <c r="OJ218" s="33"/>
      <c r="OK218" s="33"/>
      <c r="OL218" s="33"/>
      <c r="OM218" s="33"/>
      <c r="ON218" s="33"/>
      <c r="OO218" s="33"/>
      <c r="OP218" s="33"/>
      <c r="OQ218" s="33"/>
      <c r="OR218" s="33"/>
      <c r="OS218" s="33"/>
      <c r="OT218" s="33"/>
      <c r="OU218" s="33"/>
      <c r="OV218" s="33"/>
      <c r="OW218" s="33"/>
      <c r="OX218" s="33"/>
      <c r="OY218" s="33"/>
      <c r="OZ218" s="33"/>
      <c r="PA218" s="33"/>
      <c r="PB218" s="33"/>
      <c r="PC218" s="33"/>
      <c r="PD218" s="33"/>
      <c r="PE218" s="33"/>
      <c r="PF218" s="33"/>
      <c r="PG218" s="33"/>
      <c r="PH218" s="33"/>
      <c r="PI218" s="33"/>
      <c r="PJ218" s="33"/>
      <c r="PK218" s="33"/>
      <c r="PL218" s="33"/>
      <c r="PM218" s="33"/>
      <c r="PN218" s="33"/>
      <c r="PO218" s="33"/>
      <c r="PP218" s="33"/>
      <c r="PQ218" s="33"/>
      <c r="PR218" s="33"/>
      <c r="PS218" s="33"/>
      <c r="PT218" s="33"/>
      <c r="PU218" s="33"/>
      <c r="PV218" s="33"/>
      <c r="PW218" s="33"/>
      <c r="PX218" s="33"/>
      <c r="PY218" s="33"/>
      <c r="PZ218" s="33"/>
      <c r="QA218" s="33"/>
      <c r="QB218" s="33"/>
      <c r="QC218" s="33"/>
      <c r="QD218" s="33"/>
      <c r="QE218" s="33"/>
      <c r="QF218" s="33"/>
      <c r="QG218" s="33"/>
      <c r="QH218" s="33"/>
      <c r="QI218" s="33"/>
      <c r="QJ218" s="33"/>
      <c r="QK218" s="33"/>
      <c r="QL218" s="33"/>
      <c r="QM218" s="33"/>
      <c r="QN218" s="33"/>
      <c r="QO218" s="33"/>
      <c r="QP218" s="33"/>
      <c r="QQ218" s="33"/>
      <c r="QR218" s="33"/>
      <c r="QS218" s="33"/>
      <c r="QT218" s="33"/>
      <c r="QU218" s="33"/>
      <c r="QV218" s="33"/>
      <c r="QW218" s="33"/>
      <c r="QX218" s="33"/>
      <c r="QY218" s="33"/>
      <c r="QZ218" s="33"/>
      <c r="RA218" s="33"/>
      <c r="RB218" s="33"/>
      <c r="RC218" s="33"/>
      <c r="RD218" s="33"/>
      <c r="RE218" s="33"/>
      <c r="RF218" s="33"/>
      <c r="RG218" s="33"/>
      <c r="RH218" s="33"/>
      <c r="RI218" s="33"/>
      <c r="RJ218" s="33"/>
      <c r="RK218" s="33"/>
      <c r="RL218" s="33"/>
      <c r="RM218" s="33"/>
      <c r="RN218" s="33"/>
      <c r="RO218" s="33"/>
      <c r="RP218" s="33"/>
      <c r="RQ218" s="33"/>
      <c r="RR218" s="33"/>
      <c r="RS218" s="33"/>
      <c r="RT218" s="33"/>
      <c r="RU218" s="33"/>
      <c r="RV218" s="33"/>
      <c r="RW218" s="33"/>
      <c r="RX218" s="33"/>
      <c r="RY218" s="33"/>
      <c r="RZ218" s="33"/>
      <c r="SA218" s="33"/>
      <c r="SB218" s="33"/>
      <c r="SC218" s="33"/>
      <c r="SD218" s="33"/>
      <c r="SE218" s="33"/>
      <c r="SF218" s="33"/>
      <c r="SG218" s="33"/>
      <c r="SH218" s="33"/>
      <c r="SI218" s="33"/>
      <c r="SJ218" s="33"/>
      <c r="SK218" s="33"/>
      <c r="SL218" s="33"/>
      <c r="SM218" s="33"/>
      <c r="SN218" s="33"/>
      <c r="SO218" s="33"/>
      <c r="SP218" s="33"/>
      <c r="SQ218" s="33"/>
      <c r="SR218" s="33"/>
      <c r="SS218" s="33"/>
      <c r="ST218" s="33"/>
      <c r="SU218" s="33"/>
      <c r="SV218" s="33"/>
      <c r="SW218" s="33"/>
      <c r="SX218" s="33"/>
      <c r="SY218" s="33"/>
      <c r="SZ218" s="33"/>
      <c r="TA218" s="33"/>
      <c r="TB218" s="33"/>
      <c r="TC218" s="33"/>
      <c r="TD218" s="33"/>
      <c r="TE218" s="33"/>
      <c r="TF218" s="33"/>
      <c r="TG218" s="33"/>
    </row>
    <row r="219" spans="1:527" s="34" customFormat="1" ht="81.75" customHeight="1" x14ac:dyDescent="0.25">
      <c r="A219" s="100"/>
      <c r="B219" s="113"/>
      <c r="C219" s="113"/>
      <c r="D219" s="81" t="s">
        <v>554</v>
      </c>
      <c r="E219" s="102">
        <f>E241</f>
        <v>1527346</v>
      </c>
      <c r="F219" s="102">
        <f t="shared" ref="F219:P219" si="102">F241</f>
        <v>1527346</v>
      </c>
      <c r="G219" s="102">
        <f t="shared" si="102"/>
        <v>0</v>
      </c>
      <c r="H219" s="102">
        <f t="shared" si="102"/>
        <v>0</v>
      </c>
      <c r="I219" s="102">
        <f t="shared" si="102"/>
        <v>0</v>
      </c>
      <c r="J219" s="102">
        <f t="shared" si="102"/>
        <v>0</v>
      </c>
      <c r="K219" s="102">
        <f t="shared" si="102"/>
        <v>0</v>
      </c>
      <c r="L219" s="102">
        <f t="shared" si="102"/>
        <v>0</v>
      </c>
      <c r="M219" s="102">
        <f t="shared" si="102"/>
        <v>0</v>
      </c>
      <c r="N219" s="102">
        <f t="shared" si="102"/>
        <v>0</v>
      </c>
      <c r="O219" s="102">
        <f t="shared" si="102"/>
        <v>0</v>
      </c>
      <c r="P219" s="102">
        <f t="shared" si="102"/>
        <v>1527346</v>
      </c>
      <c r="Q219" s="188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  <c r="IW219" s="33"/>
      <c r="IX219" s="33"/>
      <c r="IY219" s="33"/>
      <c r="IZ219" s="33"/>
      <c r="JA219" s="33"/>
      <c r="JB219" s="33"/>
      <c r="JC219" s="33"/>
      <c r="JD219" s="33"/>
      <c r="JE219" s="33"/>
      <c r="JF219" s="33"/>
      <c r="JG219" s="33"/>
      <c r="JH219" s="33"/>
      <c r="JI219" s="33"/>
      <c r="JJ219" s="33"/>
      <c r="JK219" s="33"/>
      <c r="JL219" s="33"/>
      <c r="JM219" s="33"/>
      <c r="JN219" s="33"/>
      <c r="JO219" s="33"/>
      <c r="JP219" s="33"/>
      <c r="JQ219" s="33"/>
      <c r="JR219" s="33"/>
      <c r="JS219" s="33"/>
      <c r="JT219" s="33"/>
      <c r="JU219" s="33"/>
      <c r="JV219" s="33"/>
      <c r="JW219" s="33"/>
      <c r="JX219" s="33"/>
      <c r="JY219" s="33"/>
      <c r="JZ219" s="33"/>
      <c r="KA219" s="33"/>
      <c r="KB219" s="33"/>
      <c r="KC219" s="33"/>
      <c r="KD219" s="33"/>
      <c r="KE219" s="33"/>
      <c r="KF219" s="33"/>
      <c r="KG219" s="33"/>
      <c r="KH219" s="33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3"/>
      <c r="LO219" s="33"/>
      <c r="LP219" s="33"/>
      <c r="LQ219" s="33"/>
      <c r="LR219" s="33"/>
      <c r="LS219" s="33"/>
      <c r="LT219" s="33"/>
      <c r="LU219" s="33"/>
      <c r="LV219" s="33"/>
      <c r="LW219" s="33"/>
      <c r="LX219" s="33"/>
      <c r="LY219" s="33"/>
      <c r="LZ219" s="33"/>
      <c r="MA219" s="33"/>
      <c r="MB219" s="33"/>
      <c r="MC219" s="33"/>
      <c r="MD219" s="33"/>
      <c r="ME219" s="33"/>
      <c r="MF219" s="33"/>
      <c r="MG219" s="33"/>
      <c r="MH219" s="33"/>
      <c r="MI219" s="33"/>
      <c r="MJ219" s="33"/>
      <c r="MK219" s="33"/>
      <c r="ML219" s="33"/>
      <c r="MM219" s="33"/>
      <c r="MN219" s="33"/>
      <c r="MO219" s="33"/>
      <c r="MP219" s="33"/>
      <c r="MQ219" s="33"/>
      <c r="MR219" s="33"/>
      <c r="MS219" s="33"/>
      <c r="MT219" s="33"/>
      <c r="MU219" s="33"/>
      <c r="MV219" s="33"/>
      <c r="MW219" s="33"/>
      <c r="MX219" s="33"/>
      <c r="MY219" s="33"/>
      <c r="MZ219" s="33"/>
      <c r="NA219" s="33"/>
      <c r="NB219" s="33"/>
      <c r="NC219" s="33"/>
      <c r="ND219" s="33"/>
      <c r="NE219" s="33"/>
      <c r="NF219" s="33"/>
      <c r="NG219" s="33"/>
      <c r="NH219" s="33"/>
      <c r="NI219" s="33"/>
      <c r="NJ219" s="33"/>
      <c r="NK219" s="33"/>
      <c r="NL219" s="33"/>
      <c r="NM219" s="33"/>
      <c r="NN219" s="33"/>
      <c r="NO219" s="33"/>
      <c r="NP219" s="33"/>
      <c r="NQ219" s="33"/>
      <c r="NR219" s="33"/>
      <c r="NS219" s="33"/>
      <c r="NT219" s="33"/>
      <c r="NU219" s="33"/>
      <c r="NV219" s="33"/>
      <c r="NW219" s="33"/>
      <c r="NX219" s="33"/>
      <c r="NY219" s="33"/>
      <c r="NZ219" s="33"/>
      <c r="OA219" s="33"/>
      <c r="OB219" s="33"/>
      <c r="OC219" s="33"/>
      <c r="OD219" s="33"/>
      <c r="OE219" s="33"/>
      <c r="OF219" s="33"/>
      <c r="OG219" s="33"/>
      <c r="OH219" s="33"/>
      <c r="OI219" s="33"/>
      <c r="OJ219" s="33"/>
      <c r="OK219" s="33"/>
      <c r="OL219" s="33"/>
      <c r="OM219" s="33"/>
      <c r="ON219" s="33"/>
      <c r="OO219" s="33"/>
      <c r="OP219" s="33"/>
      <c r="OQ219" s="33"/>
      <c r="OR219" s="33"/>
      <c r="OS219" s="33"/>
      <c r="OT219" s="33"/>
      <c r="OU219" s="33"/>
      <c r="OV219" s="33"/>
      <c r="OW219" s="33"/>
      <c r="OX219" s="33"/>
      <c r="OY219" s="33"/>
      <c r="OZ219" s="33"/>
      <c r="PA219" s="33"/>
      <c r="PB219" s="33"/>
      <c r="PC219" s="33"/>
      <c r="PD219" s="33"/>
      <c r="PE219" s="33"/>
      <c r="PF219" s="33"/>
      <c r="PG219" s="33"/>
      <c r="PH219" s="33"/>
      <c r="PI219" s="33"/>
      <c r="PJ219" s="33"/>
      <c r="PK219" s="33"/>
      <c r="PL219" s="33"/>
      <c r="PM219" s="33"/>
      <c r="PN219" s="33"/>
      <c r="PO219" s="33"/>
      <c r="PP219" s="33"/>
      <c r="PQ219" s="33"/>
      <c r="PR219" s="33"/>
      <c r="PS219" s="33"/>
      <c r="PT219" s="33"/>
      <c r="PU219" s="33"/>
      <c r="PV219" s="33"/>
      <c r="PW219" s="33"/>
      <c r="PX219" s="33"/>
      <c r="PY219" s="33"/>
      <c r="PZ219" s="33"/>
      <c r="QA219" s="33"/>
      <c r="QB219" s="33"/>
      <c r="QC219" s="33"/>
      <c r="QD219" s="33"/>
      <c r="QE219" s="33"/>
      <c r="QF219" s="33"/>
      <c r="QG219" s="33"/>
      <c r="QH219" s="33"/>
      <c r="QI219" s="33"/>
      <c r="QJ219" s="33"/>
      <c r="QK219" s="33"/>
      <c r="QL219" s="33"/>
      <c r="QM219" s="33"/>
      <c r="QN219" s="33"/>
      <c r="QO219" s="33"/>
      <c r="QP219" s="33"/>
      <c r="QQ219" s="33"/>
      <c r="QR219" s="33"/>
      <c r="QS219" s="33"/>
      <c r="QT219" s="33"/>
      <c r="QU219" s="33"/>
      <c r="QV219" s="33"/>
      <c r="QW219" s="33"/>
      <c r="QX219" s="33"/>
      <c r="QY219" s="33"/>
      <c r="QZ219" s="33"/>
      <c r="RA219" s="33"/>
      <c r="RB219" s="33"/>
      <c r="RC219" s="33"/>
      <c r="RD219" s="33"/>
      <c r="RE219" s="33"/>
      <c r="RF219" s="33"/>
      <c r="RG219" s="33"/>
      <c r="RH219" s="33"/>
      <c r="RI219" s="33"/>
      <c r="RJ219" s="33"/>
      <c r="RK219" s="33"/>
      <c r="RL219" s="33"/>
      <c r="RM219" s="33"/>
      <c r="RN219" s="33"/>
      <c r="RO219" s="33"/>
      <c r="RP219" s="33"/>
      <c r="RQ219" s="33"/>
      <c r="RR219" s="33"/>
      <c r="RS219" s="33"/>
      <c r="RT219" s="33"/>
      <c r="RU219" s="33"/>
      <c r="RV219" s="33"/>
      <c r="RW219" s="33"/>
      <c r="RX219" s="33"/>
      <c r="RY219" s="33"/>
      <c r="RZ219" s="33"/>
      <c r="SA219" s="33"/>
      <c r="SB219" s="33"/>
      <c r="SC219" s="33"/>
      <c r="SD219" s="33"/>
      <c r="SE219" s="33"/>
      <c r="SF219" s="33"/>
      <c r="SG219" s="33"/>
      <c r="SH219" s="33"/>
      <c r="SI219" s="33"/>
      <c r="SJ219" s="33"/>
      <c r="SK219" s="33"/>
      <c r="SL219" s="33"/>
      <c r="SM219" s="33"/>
      <c r="SN219" s="33"/>
      <c r="SO219" s="33"/>
      <c r="SP219" s="33"/>
      <c r="SQ219" s="33"/>
      <c r="SR219" s="33"/>
      <c r="SS219" s="33"/>
      <c r="ST219" s="33"/>
      <c r="SU219" s="33"/>
      <c r="SV219" s="33"/>
      <c r="SW219" s="33"/>
      <c r="SX219" s="33"/>
      <c r="SY219" s="33"/>
      <c r="SZ219" s="33"/>
      <c r="TA219" s="33"/>
      <c r="TB219" s="33"/>
      <c r="TC219" s="33"/>
      <c r="TD219" s="33"/>
      <c r="TE219" s="33"/>
      <c r="TF219" s="33"/>
      <c r="TG219" s="33"/>
    </row>
    <row r="220" spans="1:527" s="34" customFormat="1" ht="48.75" customHeight="1" x14ac:dyDescent="0.25">
      <c r="A220" s="100"/>
      <c r="B220" s="113"/>
      <c r="C220" s="113"/>
      <c r="D220" s="81" t="s">
        <v>569</v>
      </c>
      <c r="E220" s="102">
        <f>E238</f>
        <v>0</v>
      </c>
      <c r="F220" s="102">
        <f t="shared" ref="F220:P220" si="103">F238</f>
        <v>0</v>
      </c>
      <c r="G220" s="102">
        <f t="shared" si="103"/>
        <v>0</v>
      </c>
      <c r="H220" s="102">
        <f t="shared" si="103"/>
        <v>0</v>
      </c>
      <c r="I220" s="102">
        <f t="shared" si="103"/>
        <v>0</v>
      </c>
      <c r="J220" s="102">
        <f t="shared" si="103"/>
        <v>5000000</v>
      </c>
      <c r="K220" s="102">
        <f t="shared" si="103"/>
        <v>5000000</v>
      </c>
      <c r="L220" s="102">
        <f t="shared" si="103"/>
        <v>0</v>
      </c>
      <c r="M220" s="102">
        <f t="shared" si="103"/>
        <v>0</v>
      </c>
      <c r="N220" s="102">
        <f t="shared" si="103"/>
        <v>0</v>
      </c>
      <c r="O220" s="102">
        <f t="shared" si="103"/>
        <v>5000000</v>
      </c>
      <c r="P220" s="102">
        <f t="shared" si="103"/>
        <v>5000000</v>
      </c>
      <c r="Q220" s="188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  <c r="MI220" s="33"/>
      <c r="MJ220" s="33"/>
      <c r="MK220" s="33"/>
      <c r="ML220" s="33"/>
      <c r="MM220" s="33"/>
      <c r="MN220" s="33"/>
      <c r="MO220" s="33"/>
      <c r="MP220" s="33"/>
      <c r="MQ220" s="33"/>
      <c r="MR220" s="33"/>
      <c r="MS220" s="33"/>
      <c r="MT220" s="33"/>
      <c r="MU220" s="33"/>
      <c r="MV220" s="33"/>
      <c r="MW220" s="33"/>
      <c r="MX220" s="33"/>
      <c r="MY220" s="33"/>
      <c r="MZ220" s="33"/>
      <c r="NA220" s="33"/>
      <c r="NB220" s="33"/>
      <c r="NC220" s="33"/>
      <c r="ND220" s="33"/>
      <c r="NE220" s="33"/>
      <c r="NF220" s="33"/>
      <c r="NG220" s="33"/>
      <c r="NH220" s="33"/>
      <c r="NI220" s="33"/>
      <c r="NJ220" s="33"/>
      <c r="NK220" s="33"/>
      <c r="NL220" s="33"/>
      <c r="NM220" s="33"/>
      <c r="NN220" s="33"/>
      <c r="NO220" s="33"/>
      <c r="NP220" s="33"/>
      <c r="NQ220" s="33"/>
      <c r="NR220" s="33"/>
      <c r="NS220" s="33"/>
      <c r="NT220" s="33"/>
      <c r="NU220" s="33"/>
      <c r="NV220" s="33"/>
      <c r="NW220" s="33"/>
      <c r="NX220" s="33"/>
      <c r="NY220" s="33"/>
      <c r="NZ220" s="33"/>
      <c r="OA220" s="33"/>
      <c r="OB220" s="33"/>
      <c r="OC220" s="33"/>
      <c r="OD220" s="33"/>
      <c r="OE220" s="33"/>
      <c r="OF220" s="33"/>
      <c r="OG220" s="33"/>
      <c r="OH220" s="33"/>
      <c r="OI220" s="33"/>
      <c r="OJ220" s="33"/>
      <c r="OK220" s="33"/>
      <c r="OL220" s="33"/>
      <c r="OM220" s="33"/>
      <c r="ON220" s="33"/>
      <c r="OO220" s="33"/>
      <c r="OP220" s="33"/>
      <c r="OQ220" s="33"/>
      <c r="OR220" s="33"/>
      <c r="OS220" s="33"/>
      <c r="OT220" s="33"/>
      <c r="OU220" s="33"/>
      <c r="OV220" s="33"/>
      <c r="OW220" s="33"/>
      <c r="OX220" s="33"/>
      <c r="OY220" s="33"/>
      <c r="OZ220" s="33"/>
      <c r="PA220" s="33"/>
      <c r="PB220" s="33"/>
      <c r="PC220" s="33"/>
      <c r="PD220" s="33"/>
      <c r="PE220" s="33"/>
      <c r="PF220" s="33"/>
      <c r="PG220" s="33"/>
      <c r="PH220" s="33"/>
      <c r="PI220" s="33"/>
      <c r="PJ220" s="33"/>
      <c r="PK220" s="33"/>
      <c r="PL220" s="33"/>
      <c r="PM220" s="33"/>
      <c r="PN220" s="33"/>
      <c r="PO220" s="33"/>
      <c r="PP220" s="33"/>
      <c r="PQ220" s="33"/>
      <c r="PR220" s="33"/>
      <c r="PS220" s="33"/>
      <c r="PT220" s="33"/>
      <c r="PU220" s="33"/>
      <c r="PV220" s="33"/>
      <c r="PW220" s="33"/>
      <c r="PX220" s="33"/>
      <c r="PY220" s="33"/>
      <c r="PZ220" s="33"/>
      <c r="QA220" s="33"/>
      <c r="QB220" s="33"/>
      <c r="QC220" s="33"/>
      <c r="QD220" s="33"/>
      <c r="QE220" s="33"/>
      <c r="QF220" s="33"/>
      <c r="QG220" s="33"/>
      <c r="QH220" s="33"/>
      <c r="QI220" s="33"/>
      <c r="QJ220" s="33"/>
      <c r="QK220" s="33"/>
      <c r="QL220" s="33"/>
      <c r="QM220" s="33"/>
      <c r="QN220" s="33"/>
      <c r="QO220" s="33"/>
      <c r="QP220" s="33"/>
      <c r="QQ220" s="33"/>
      <c r="QR220" s="33"/>
      <c r="QS220" s="33"/>
      <c r="QT220" s="33"/>
      <c r="QU220" s="33"/>
      <c r="QV220" s="33"/>
      <c r="QW220" s="33"/>
      <c r="QX220" s="33"/>
      <c r="QY220" s="33"/>
      <c r="QZ220" s="33"/>
      <c r="RA220" s="33"/>
      <c r="RB220" s="33"/>
      <c r="RC220" s="33"/>
      <c r="RD220" s="33"/>
      <c r="RE220" s="33"/>
      <c r="RF220" s="33"/>
      <c r="RG220" s="33"/>
      <c r="RH220" s="33"/>
      <c r="RI220" s="33"/>
      <c r="RJ220" s="33"/>
      <c r="RK220" s="33"/>
      <c r="RL220" s="33"/>
      <c r="RM220" s="33"/>
      <c r="RN220" s="33"/>
      <c r="RO220" s="33"/>
      <c r="RP220" s="33"/>
      <c r="RQ220" s="33"/>
      <c r="RR220" s="33"/>
      <c r="RS220" s="33"/>
      <c r="RT220" s="33"/>
      <c r="RU220" s="33"/>
      <c r="RV220" s="33"/>
      <c r="RW220" s="33"/>
      <c r="RX220" s="33"/>
      <c r="RY220" s="33"/>
      <c r="RZ220" s="33"/>
      <c r="SA220" s="33"/>
      <c r="SB220" s="33"/>
      <c r="SC220" s="33"/>
      <c r="SD220" s="33"/>
      <c r="SE220" s="33"/>
      <c r="SF220" s="33"/>
      <c r="SG220" s="33"/>
      <c r="SH220" s="33"/>
      <c r="SI220" s="33"/>
      <c r="SJ220" s="33"/>
      <c r="SK220" s="33"/>
      <c r="SL220" s="33"/>
      <c r="SM220" s="33"/>
      <c r="SN220" s="33"/>
      <c r="SO220" s="33"/>
      <c r="SP220" s="33"/>
      <c r="SQ220" s="33"/>
      <c r="SR220" s="33"/>
      <c r="SS220" s="33"/>
      <c r="ST220" s="33"/>
      <c r="SU220" s="33"/>
      <c r="SV220" s="33"/>
      <c r="SW220" s="33"/>
      <c r="SX220" s="33"/>
      <c r="SY220" s="33"/>
      <c r="SZ220" s="33"/>
      <c r="TA220" s="33"/>
      <c r="TB220" s="33"/>
      <c r="TC220" s="33"/>
      <c r="TD220" s="33"/>
      <c r="TE220" s="33"/>
      <c r="TF220" s="33"/>
      <c r="TG220" s="33"/>
    </row>
    <row r="221" spans="1:527" s="34" customFormat="1" ht="15.75" x14ac:dyDescent="0.25">
      <c r="A221" s="100"/>
      <c r="B221" s="113"/>
      <c r="C221" s="113"/>
      <c r="D221" s="87" t="s">
        <v>421</v>
      </c>
      <c r="E221" s="102">
        <f>E245</f>
        <v>0</v>
      </c>
      <c r="F221" s="102">
        <f t="shared" ref="F221:P221" si="104">F245</f>
        <v>0</v>
      </c>
      <c r="G221" s="102">
        <f t="shared" si="104"/>
        <v>0</v>
      </c>
      <c r="H221" s="102">
        <f t="shared" si="104"/>
        <v>0</v>
      </c>
      <c r="I221" s="102">
        <f t="shared" si="104"/>
        <v>0</v>
      </c>
      <c r="J221" s="102">
        <f t="shared" si="104"/>
        <v>26250000</v>
      </c>
      <c r="K221" s="102">
        <f t="shared" si="104"/>
        <v>26250000</v>
      </c>
      <c r="L221" s="102">
        <f t="shared" si="104"/>
        <v>0</v>
      </c>
      <c r="M221" s="102">
        <f t="shared" si="104"/>
        <v>0</v>
      </c>
      <c r="N221" s="102">
        <f t="shared" si="104"/>
        <v>0</v>
      </c>
      <c r="O221" s="102">
        <f t="shared" si="104"/>
        <v>26250000</v>
      </c>
      <c r="P221" s="102">
        <f t="shared" si="104"/>
        <v>26250000</v>
      </c>
      <c r="Q221" s="188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  <c r="QA221" s="33"/>
      <c r="QB221" s="33"/>
      <c r="QC221" s="33"/>
      <c r="QD221" s="33"/>
      <c r="QE221" s="33"/>
      <c r="QF221" s="33"/>
      <c r="QG221" s="33"/>
      <c r="QH221" s="33"/>
      <c r="QI221" s="33"/>
      <c r="QJ221" s="33"/>
      <c r="QK221" s="33"/>
      <c r="QL221" s="33"/>
      <c r="QM221" s="33"/>
      <c r="QN221" s="33"/>
      <c r="QO221" s="33"/>
      <c r="QP221" s="33"/>
      <c r="QQ221" s="33"/>
      <c r="QR221" s="33"/>
      <c r="QS221" s="33"/>
      <c r="QT221" s="33"/>
      <c r="QU221" s="33"/>
      <c r="QV221" s="33"/>
      <c r="QW221" s="33"/>
      <c r="QX221" s="33"/>
      <c r="QY221" s="33"/>
      <c r="QZ221" s="33"/>
      <c r="RA221" s="33"/>
      <c r="RB221" s="33"/>
      <c r="RC221" s="33"/>
      <c r="RD221" s="33"/>
      <c r="RE221" s="33"/>
      <c r="RF221" s="33"/>
      <c r="RG221" s="33"/>
      <c r="RH221" s="33"/>
      <c r="RI221" s="33"/>
      <c r="RJ221" s="33"/>
      <c r="RK221" s="33"/>
      <c r="RL221" s="33"/>
      <c r="RM221" s="33"/>
      <c r="RN221" s="33"/>
      <c r="RO221" s="33"/>
      <c r="RP221" s="33"/>
      <c r="RQ221" s="33"/>
      <c r="RR221" s="33"/>
      <c r="RS221" s="33"/>
      <c r="RT221" s="33"/>
      <c r="RU221" s="33"/>
      <c r="RV221" s="33"/>
      <c r="RW221" s="33"/>
      <c r="RX221" s="33"/>
      <c r="RY221" s="33"/>
      <c r="RZ221" s="33"/>
      <c r="SA221" s="33"/>
      <c r="SB221" s="33"/>
      <c r="SC221" s="33"/>
      <c r="SD221" s="33"/>
      <c r="SE221" s="33"/>
      <c r="SF221" s="33"/>
      <c r="SG221" s="33"/>
      <c r="SH221" s="33"/>
      <c r="SI221" s="33"/>
      <c r="SJ221" s="33"/>
      <c r="SK221" s="33"/>
      <c r="SL221" s="33"/>
      <c r="SM221" s="33"/>
      <c r="SN221" s="33"/>
      <c r="SO221" s="33"/>
      <c r="SP221" s="33"/>
      <c r="SQ221" s="33"/>
      <c r="SR221" s="33"/>
      <c r="SS221" s="33"/>
      <c r="ST221" s="33"/>
      <c r="SU221" s="33"/>
      <c r="SV221" s="33"/>
      <c r="SW221" s="33"/>
      <c r="SX221" s="33"/>
      <c r="SY221" s="33"/>
      <c r="SZ221" s="33"/>
      <c r="TA221" s="33"/>
      <c r="TB221" s="33"/>
      <c r="TC221" s="33"/>
      <c r="TD221" s="33"/>
      <c r="TE221" s="33"/>
      <c r="TF221" s="33"/>
      <c r="TG221" s="33"/>
    </row>
    <row r="222" spans="1:527" s="22" customFormat="1" ht="47.25" x14ac:dyDescent="0.25">
      <c r="A222" s="60" t="s">
        <v>198</v>
      </c>
      <c r="B222" s="60" t="str">
        <f>'дод 5'!A20</f>
        <v>0160</v>
      </c>
      <c r="C222" s="60" t="str">
        <f>'дод 5'!B20</f>
        <v>0111</v>
      </c>
      <c r="D222" s="98" t="s">
        <v>503</v>
      </c>
      <c r="E222" s="103">
        <f t="shared" ref="E222:E251" si="105">F222+I222</f>
        <v>14442475</v>
      </c>
      <c r="F222" s="103">
        <f>14436900+5575</f>
        <v>14442475</v>
      </c>
      <c r="G222" s="103">
        <v>11274000</v>
      </c>
      <c r="H222" s="103">
        <f>203100+5575</f>
        <v>208675</v>
      </c>
      <c r="I222" s="103"/>
      <c r="J222" s="103">
        <f>L222+O222</f>
        <v>0</v>
      </c>
      <c r="K222" s="103"/>
      <c r="L222" s="103"/>
      <c r="M222" s="103"/>
      <c r="N222" s="103"/>
      <c r="O222" s="103"/>
      <c r="P222" s="103">
        <f t="shared" ref="P222:P251" si="106">E222+J222</f>
        <v>14442475</v>
      </c>
      <c r="Q222" s="188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</row>
    <row r="223" spans="1:527" s="22" customFormat="1" ht="23.25" customHeight="1" x14ac:dyDescent="0.25">
      <c r="A223" s="60" t="s">
        <v>557</v>
      </c>
      <c r="B223" s="60" t="s">
        <v>46</v>
      </c>
      <c r="C223" s="60" t="s">
        <v>95</v>
      </c>
      <c r="D223" s="98" t="s">
        <v>244</v>
      </c>
      <c r="E223" s="103">
        <f t="shared" si="105"/>
        <v>1000000</v>
      </c>
      <c r="F223" s="103">
        <v>1000000</v>
      </c>
      <c r="G223" s="103"/>
      <c r="H223" s="103"/>
      <c r="I223" s="103"/>
      <c r="J223" s="103">
        <f>L223+O223</f>
        <v>0</v>
      </c>
      <c r="K223" s="103"/>
      <c r="L223" s="103"/>
      <c r="M223" s="103"/>
      <c r="N223" s="103"/>
      <c r="O223" s="103"/>
      <c r="P223" s="103">
        <f t="shared" si="106"/>
        <v>1000000</v>
      </c>
      <c r="Q223" s="188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</row>
    <row r="224" spans="1:527" s="22" customFormat="1" ht="19.5" customHeight="1" x14ac:dyDescent="0.25">
      <c r="A224" s="107" t="s">
        <v>304</v>
      </c>
      <c r="B224" s="42" t="str">
        <f>'дод 5'!A127</f>
        <v>3210</v>
      </c>
      <c r="C224" s="42" t="str">
        <f>'дод 5'!B127</f>
        <v>1050</v>
      </c>
      <c r="D224" s="36" t="str">
        <f>'дод 5'!C127</f>
        <v>Організація та проведення громадських робіт</v>
      </c>
      <c r="E224" s="103">
        <f t="shared" si="105"/>
        <v>160000</v>
      </c>
      <c r="F224" s="103">
        <f>200000-40000</f>
        <v>160000</v>
      </c>
      <c r="G224" s="103"/>
      <c r="H224" s="103"/>
      <c r="I224" s="103"/>
      <c r="J224" s="103">
        <f t="shared" ref="J224:J251" si="107">L224+O224</f>
        <v>0</v>
      </c>
      <c r="K224" s="103"/>
      <c r="L224" s="103"/>
      <c r="M224" s="103"/>
      <c r="N224" s="103"/>
      <c r="O224" s="103"/>
      <c r="P224" s="103">
        <f t="shared" si="106"/>
        <v>160000</v>
      </c>
      <c r="Q224" s="188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</row>
    <row r="225" spans="1:527" s="22" customFormat="1" ht="33.75" customHeight="1" x14ac:dyDescent="0.25">
      <c r="A225" s="60" t="s">
        <v>199</v>
      </c>
      <c r="B225" s="97" t="str">
        <f>'дод 5'!A153</f>
        <v>6011</v>
      </c>
      <c r="C225" s="97" t="str">
        <f>'дод 5'!B153</f>
        <v>0610</v>
      </c>
      <c r="D225" s="61" t="str">
        <f>'дод 5'!C153</f>
        <v>Експлуатація та технічне обслуговування житлового фонду</v>
      </c>
      <c r="E225" s="103">
        <f t="shared" si="105"/>
        <v>0</v>
      </c>
      <c r="F225" s="103"/>
      <c r="G225" s="103"/>
      <c r="H225" s="103"/>
      <c r="I225" s="103"/>
      <c r="J225" s="103">
        <f t="shared" si="107"/>
        <v>8602296</v>
      </c>
      <c r="K225" s="103">
        <f>7054092-807126.65+807126.65+172300+40000+154400+169950+593700+23900-19300+37614+100560+126700+49900+62000</f>
        <v>8565816</v>
      </c>
      <c r="L225" s="103"/>
      <c r="M225" s="103"/>
      <c r="N225" s="103"/>
      <c r="O225" s="103">
        <f>7090572-807126.65+807126.65+172300+40000+154400+169950+593700+23900-19300+37614+100560+126700+49900+62000</f>
        <v>8602296</v>
      </c>
      <c r="P225" s="103">
        <f t="shared" si="106"/>
        <v>8602296</v>
      </c>
      <c r="Q225" s="188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</row>
    <row r="226" spans="1:527" s="22" customFormat="1" ht="31.5" x14ac:dyDescent="0.25">
      <c r="A226" s="60" t="s">
        <v>200</v>
      </c>
      <c r="B226" s="97" t="str">
        <f>'дод 5'!A154</f>
        <v>6013</v>
      </c>
      <c r="C226" s="97" t="str">
        <f>'дод 5'!B154</f>
        <v>0620</v>
      </c>
      <c r="D226" s="61" t="str">
        <f>'дод 5'!C154</f>
        <v>Забезпечення діяльності водопровідно-каналізаційного господарства</v>
      </c>
      <c r="E226" s="103">
        <f t="shared" si="105"/>
        <v>29614040</v>
      </c>
      <c r="F226" s="103">
        <f>3610000-3000000+164040+30000+40000+270000</f>
        <v>1114040</v>
      </c>
      <c r="G226" s="103"/>
      <c r="H226" s="103"/>
      <c r="I226" s="103">
        <f>25250000-100000+3350000</f>
        <v>28500000</v>
      </c>
      <c r="J226" s="103">
        <f t="shared" si="107"/>
        <v>200000</v>
      </c>
      <c r="K226" s="103">
        <f>230000-30000</f>
        <v>200000</v>
      </c>
      <c r="L226" s="103"/>
      <c r="M226" s="103"/>
      <c r="N226" s="103"/>
      <c r="O226" s="103">
        <f>230000-30000</f>
        <v>200000</v>
      </c>
      <c r="P226" s="103">
        <f t="shared" si="106"/>
        <v>29814040</v>
      </c>
      <c r="Q226" s="188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</row>
    <row r="227" spans="1:527" s="22" customFormat="1" ht="33" customHeight="1" x14ac:dyDescent="0.25">
      <c r="A227" s="60" t="s">
        <v>261</v>
      </c>
      <c r="B227" s="97" t="str">
        <f>'дод 5'!A155</f>
        <v>6015</v>
      </c>
      <c r="C227" s="97" t="str">
        <f>'дод 5'!B155</f>
        <v>0620</v>
      </c>
      <c r="D227" s="61" t="str">
        <f>'дод 5'!C155</f>
        <v>Забезпечення надійної та безперебійної експлуатації ліфтів</v>
      </c>
      <c r="E227" s="103">
        <f t="shared" si="105"/>
        <v>115980</v>
      </c>
      <c r="F227" s="103">
        <f>99980+8000+16000+8000-16000</f>
        <v>115980</v>
      </c>
      <c r="G227" s="103"/>
      <c r="H227" s="103"/>
      <c r="I227" s="103"/>
      <c r="J227" s="103">
        <f t="shared" si="107"/>
        <v>32680050</v>
      </c>
      <c r="K227" s="103">
        <f>6600000-96212+96212+4439600+1450000+700000+590000+232000-200000-200000+50000+318000+80000+592000+16000+65000+17450000+447450</f>
        <v>32630050</v>
      </c>
      <c r="L227" s="103"/>
      <c r="M227" s="103"/>
      <c r="N227" s="103"/>
      <c r="O227" s="103">
        <f>6650000-96212+96212+4439600+1450000+700000+590000+232000-200000-200000+50000+318000+80000+592000+16000+65000+17450000+447450</f>
        <v>32680050</v>
      </c>
      <c r="P227" s="103">
        <f t="shared" si="106"/>
        <v>32796030</v>
      </c>
      <c r="Q227" s="188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</row>
    <row r="228" spans="1:527" s="22" customFormat="1" ht="32.25" customHeight="1" x14ac:dyDescent="0.25">
      <c r="A228" s="60" t="s">
        <v>264</v>
      </c>
      <c r="B228" s="97" t="str">
        <f>'дод 5'!A156</f>
        <v>6017</v>
      </c>
      <c r="C228" s="97" t="str">
        <f>'дод 5'!B156</f>
        <v>0620</v>
      </c>
      <c r="D228" s="61" t="str">
        <f>'дод 5'!C156</f>
        <v>Інша діяльність, пов’язана з експлуатацією об’єктів житлово-комунального господарства</v>
      </c>
      <c r="E228" s="103">
        <f t="shared" si="105"/>
        <v>100000</v>
      </c>
      <c r="F228" s="103">
        <v>100000</v>
      </c>
      <c r="G228" s="103"/>
      <c r="H228" s="103"/>
      <c r="I228" s="103"/>
      <c r="J228" s="103">
        <f t="shared" si="107"/>
        <v>0</v>
      </c>
      <c r="K228" s="103"/>
      <c r="L228" s="103"/>
      <c r="M228" s="103"/>
      <c r="N228" s="103"/>
      <c r="O228" s="103"/>
      <c r="P228" s="103">
        <f t="shared" si="106"/>
        <v>100000</v>
      </c>
      <c r="Q228" s="188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</row>
    <row r="229" spans="1:527" s="22" customFormat="1" ht="47.25" x14ac:dyDescent="0.25">
      <c r="A229" s="60" t="s">
        <v>201</v>
      </c>
      <c r="B229" s="97" t="str">
        <f>'дод 5'!A157</f>
        <v>6020</v>
      </c>
      <c r="C229" s="97" t="str">
        <f>'дод 5'!B157</f>
        <v>0620</v>
      </c>
      <c r="D229" s="61" t="str">
        <f>'дод 5'!C157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9" s="103">
        <f t="shared" si="105"/>
        <v>1871258.48</v>
      </c>
      <c r="F229" s="103">
        <f>29300</f>
        <v>29300</v>
      </c>
      <c r="G229" s="103"/>
      <c r="H229" s="103"/>
      <c r="I229" s="103">
        <f>300000+1541958.48</f>
        <v>1841958.48</v>
      </c>
      <c r="J229" s="103">
        <f t="shared" si="107"/>
        <v>0</v>
      </c>
      <c r="K229" s="103"/>
      <c r="L229" s="103"/>
      <c r="M229" s="103"/>
      <c r="N229" s="103"/>
      <c r="O229" s="103"/>
      <c r="P229" s="103">
        <f t="shared" si="106"/>
        <v>1871258.48</v>
      </c>
      <c r="Q229" s="188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</row>
    <row r="230" spans="1:527" s="22" customFormat="1" ht="24.75" customHeight="1" x14ac:dyDescent="0.25">
      <c r="A230" s="60" t="s">
        <v>202</v>
      </c>
      <c r="B230" s="97" t="str">
        <f>'дод 5'!A158</f>
        <v>6030</v>
      </c>
      <c r="C230" s="97" t="str">
        <f>'дод 5'!B158</f>
        <v>0620</v>
      </c>
      <c r="D230" s="61" t="str">
        <f>'дод 5'!C158</f>
        <v>Організація благоустрою населених пунктів</v>
      </c>
      <c r="E230" s="103">
        <f t="shared" si="105"/>
        <v>225390075.50999999</v>
      </c>
      <c r="F230" s="103">
        <f>220864874.13-7011318-49900-211983.47+990000+100000+72800+872900-100000-18473.69+60000-45080.64-164040+1592924+340394+200000-50500+299310+199600+1500000+98000+310136+40000+1000000+129000-29300+1012980+853612.73-90000+87900+371540.45+253200+30000-200000+31500+500000+250000+1250000-50000</f>
        <v>225290075.50999999</v>
      </c>
      <c r="G230" s="103"/>
      <c r="H230" s="103">
        <f>34504500-600000-164040+1250000</f>
        <v>34990460</v>
      </c>
      <c r="I230" s="103">
        <v>100000</v>
      </c>
      <c r="J230" s="103">
        <f t="shared" si="107"/>
        <v>30163628.579999991</v>
      </c>
      <c r="K230" s="103">
        <f>28422020-300000+7011318-1359437.09+1978809.98+72800-72800+129900+18473.69-60000+170000+50000-1500000+49900+49900-2800000-1150000+250000-2000000+5000000+49000+90000+49000-30000-1000000+694744-7000000+350000+3000000+528294.5-528294.5</f>
        <v>30163628.579999991</v>
      </c>
      <c r="L230" s="117"/>
      <c r="M230" s="103"/>
      <c r="N230" s="103"/>
      <c r="O230" s="103">
        <f>28422020-300000+7011318-1359437.09+1978809.98+72800-72800+129900+18473.69-60000+170000+50000-1500000+49900+49900-2800000-1150000+250000-2000000+5000000+49000+90000+49000-30000-1000000+694744-7000000+350000+3000000+528294.5-528294.5</f>
        <v>30163628.579999991</v>
      </c>
      <c r="P230" s="103">
        <f t="shared" si="106"/>
        <v>255553704.08999997</v>
      </c>
      <c r="Q230" s="188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</row>
    <row r="231" spans="1:527" s="22" customFormat="1" ht="31.5" customHeight="1" x14ac:dyDescent="0.25">
      <c r="A231" s="60" t="s">
        <v>254</v>
      </c>
      <c r="B231" s="97" t="str">
        <f>'дод 5'!A162</f>
        <v>6090</v>
      </c>
      <c r="C231" s="97" t="str">
        <f>'дод 5'!B162</f>
        <v>0640</v>
      </c>
      <c r="D231" s="61" t="str">
        <f>'дод 5'!C162</f>
        <v>Інша діяльність у сфері житлово-комунального господарства</v>
      </c>
      <c r="E231" s="103">
        <f t="shared" si="105"/>
        <v>16754966.280000001</v>
      </c>
      <c r="F231" s="103">
        <f>47773888-76000+38050-9241451.18+49000-200000-6163260-25000-20000+45080.64-300000-4102174-1899640+200000+19300+50500-101200-418760+20000-263600-25000-184814-1453016-25000-78100-179000-2382803-1663012.73-1050451+2500-371540.45-1522530+3000</f>
        <v>16454966.280000001</v>
      </c>
      <c r="G231" s="103"/>
      <c r="H231" s="103">
        <f>24500+3000</f>
        <v>27500</v>
      </c>
      <c r="I231" s="103">
        <v>300000</v>
      </c>
      <c r="J231" s="103">
        <f t="shared" si="107"/>
        <v>1785000</v>
      </c>
      <c r="K231" s="103"/>
      <c r="L231" s="103"/>
      <c r="M231" s="103"/>
      <c r="N231" s="103"/>
      <c r="O231" s="103">
        <v>1785000</v>
      </c>
      <c r="P231" s="103">
        <f t="shared" si="106"/>
        <v>18539966.280000001</v>
      </c>
      <c r="Q231" s="188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</row>
    <row r="232" spans="1:527" s="22" customFormat="1" ht="34.5" x14ac:dyDescent="0.25">
      <c r="A232" s="60" t="s">
        <v>273</v>
      </c>
      <c r="B232" s="97" t="str">
        <f>'дод 5'!A171</f>
        <v>7310</v>
      </c>
      <c r="C232" s="97" t="str">
        <f>'дод 5'!B171</f>
        <v>0443</v>
      </c>
      <c r="D232" s="6" t="s">
        <v>566</v>
      </c>
      <c r="E232" s="103">
        <f t="shared" si="105"/>
        <v>0</v>
      </c>
      <c r="F232" s="103"/>
      <c r="G232" s="103"/>
      <c r="H232" s="103"/>
      <c r="I232" s="103"/>
      <c r="J232" s="103">
        <f t="shared" si="107"/>
        <v>20078713</v>
      </c>
      <c r="K232" s="103">
        <f>19836513+300000-38050+50000+200000-169950-49900-49900+49900-49900</f>
        <v>20078713</v>
      </c>
      <c r="L232" s="103"/>
      <c r="M232" s="103"/>
      <c r="N232" s="103"/>
      <c r="O232" s="103">
        <f>19836513+300000-38050+50000+200000-169950-49900-49900+49900-49900</f>
        <v>20078713</v>
      </c>
      <c r="P232" s="103">
        <f t="shared" si="106"/>
        <v>20078713</v>
      </c>
      <c r="Q232" s="188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</row>
    <row r="233" spans="1:527" s="22" customFormat="1" ht="21" customHeight="1" x14ac:dyDescent="0.25">
      <c r="A233" s="60" t="s">
        <v>275</v>
      </c>
      <c r="B233" s="97" t="str">
        <f>'дод 5'!A177</f>
        <v>7330</v>
      </c>
      <c r="C233" s="97" t="str">
        <f>'дод 5'!B177</f>
        <v>0443</v>
      </c>
      <c r="D233" s="6" t="s">
        <v>561</v>
      </c>
      <c r="E233" s="103">
        <f t="shared" si="105"/>
        <v>0</v>
      </c>
      <c r="F233" s="103"/>
      <c r="G233" s="103"/>
      <c r="H233" s="103"/>
      <c r="I233" s="103"/>
      <c r="J233" s="103">
        <f t="shared" si="107"/>
        <v>19726375.579999998</v>
      </c>
      <c r="K233" s="103">
        <f>22088598+49900-407389.42-200000+3500000-4000000+500000+30000+250000+49900-70000+1000000-726244-230045-3300000+990000+151656+1300000-1300000+50000</f>
        <v>19726375.579999998</v>
      </c>
      <c r="L233" s="103"/>
      <c r="M233" s="103"/>
      <c r="N233" s="103"/>
      <c r="O233" s="103">
        <f>22088598+49900-407389.42-200000+3500000-4000000+500000+30000+250000+49900-70000+1000000-726244-230045-3300000+990000+151656+1300000-1300000+50000</f>
        <v>19726375.579999998</v>
      </c>
      <c r="P233" s="103">
        <f t="shared" si="106"/>
        <v>19726375.579999998</v>
      </c>
      <c r="Q233" s="188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33" customHeight="1" x14ac:dyDescent="0.25">
      <c r="A234" s="60" t="s">
        <v>203</v>
      </c>
      <c r="B234" s="97">
        <v>7340</v>
      </c>
      <c r="C234" s="97" t="str">
        <f>'дод 5'!B176</f>
        <v>0443</v>
      </c>
      <c r="D234" s="61" t="str">
        <f>'дод 5'!C178</f>
        <v>Проектування, реставрація та охорона пам'яток архітектури</v>
      </c>
      <c r="E234" s="103">
        <f t="shared" ref="E234" si="108">F234+I234</f>
        <v>0</v>
      </c>
      <c r="F234" s="103"/>
      <c r="G234" s="103"/>
      <c r="H234" s="103"/>
      <c r="I234" s="103"/>
      <c r="J234" s="103">
        <f t="shared" ref="J234" si="109">L234+O234</f>
        <v>3250000</v>
      </c>
      <c r="K234" s="103">
        <f>3250000</f>
        <v>3250000</v>
      </c>
      <c r="L234" s="103"/>
      <c r="M234" s="103"/>
      <c r="N234" s="103"/>
      <c r="O234" s="103">
        <f>3250000</f>
        <v>3250000</v>
      </c>
      <c r="P234" s="103">
        <f t="shared" ref="P234" si="110">E234+J234</f>
        <v>3250000</v>
      </c>
      <c r="Q234" s="188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49.5" hidden="1" customHeight="1" x14ac:dyDescent="0.25">
      <c r="A235" s="60" t="s">
        <v>372</v>
      </c>
      <c r="B235" s="97">
        <f>'дод 5'!A180</f>
        <v>7361</v>
      </c>
      <c r="C235" s="97" t="str">
        <f>'дод 5'!B180</f>
        <v>0490</v>
      </c>
      <c r="D235" s="61" t="str">
        <f>'дод 5'!C180</f>
        <v>Співфінансування інвестиційних проектів, що реалізуються за рахунок коштів державного фонду регіонального розвитку</v>
      </c>
      <c r="E235" s="103">
        <f t="shared" si="105"/>
        <v>0</v>
      </c>
      <c r="F235" s="103"/>
      <c r="G235" s="103"/>
      <c r="H235" s="103"/>
      <c r="I235" s="103"/>
      <c r="J235" s="103">
        <f t="shared" si="107"/>
        <v>0</v>
      </c>
      <c r="K235" s="103"/>
      <c r="L235" s="103"/>
      <c r="M235" s="103"/>
      <c r="N235" s="103"/>
      <c r="O235" s="103"/>
      <c r="P235" s="103">
        <f t="shared" si="106"/>
        <v>0</v>
      </c>
      <c r="Q235" s="164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30" hidden="1" customHeight="1" x14ac:dyDescent="0.25">
      <c r="A236" s="60">
        <v>1217362</v>
      </c>
      <c r="B236" s="97">
        <f>'дод 5'!A181</f>
        <v>7362</v>
      </c>
      <c r="C236" s="97" t="str">
        <f>'дод 5'!B181</f>
        <v>0490</v>
      </c>
      <c r="D236" s="61" t="str">
        <f>'дод 5'!C181</f>
        <v>Виконання інвестиційних проектів в рамках підтримки розвитку об'єднаних територіальних громад</v>
      </c>
      <c r="E236" s="103">
        <f t="shared" si="105"/>
        <v>0</v>
      </c>
      <c r="F236" s="103"/>
      <c r="G236" s="103"/>
      <c r="H236" s="103"/>
      <c r="I236" s="103"/>
      <c r="J236" s="103">
        <f t="shared" si="107"/>
        <v>0</v>
      </c>
      <c r="K236" s="103"/>
      <c r="L236" s="103"/>
      <c r="M236" s="103"/>
      <c r="N236" s="103"/>
      <c r="O236" s="103"/>
      <c r="P236" s="103">
        <f t="shared" si="106"/>
        <v>0</v>
      </c>
      <c r="Q236" s="164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47.25" x14ac:dyDescent="0.25">
      <c r="A237" s="60" t="s">
        <v>370</v>
      </c>
      <c r="B237" s="97">
        <v>7363</v>
      </c>
      <c r="C237" s="37" t="s">
        <v>84</v>
      </c>
      <c r="D237" s="36" t="s">
        <v>400</v>
      </c>
      <c r="E237" s="103">
        <f t="shared" si="105"/>
        <v>0</v>
      </c>
      <c r="F237" s="103"/>
      <c r="G237" s="103"/>
      <c r="H237" s="103"/>
      <c r="I237" s="103"/>
      <c r="J237" s="103">
        <f t="shared" si="107"/>
        <v>7800000</v>
      </c>
      <c r="K237" s="103">
        <f>2800000+5000000</f>
        <v>7800000</v>
      </c>
      <c r="L237" s="103"/>
      <c r="M237" s="103"/>
      <c r="N237" s="103"/>
      <c r="O237" s="103">
        <f>2800000+5000000</f>
        <v>7800000</v>
      </c>
      <c r="P237" s="103">
        <f t="shared" si="106"/>
        <v>7800000</v>
      </c>
      <c r="Q237" s="188">
        <v>15</v>
      </c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4" customFormat="1" ht="50.25" customHeight="1" x14ac:dyDescent="0.25">
      <c r="A238" s="88"/>
      <c r="B238" s="115"/>
      <c r="C238" s="115"/>
      <c r="D238" s="91" t="s">
        <v>569</v>
      </c>
      <c r="E238" s="105">
        <f t="shared" si="105"/>
        <v>0</v>
      </c>
      <c r="F238" s="105"/>
      <c r="G238" s="105"/>
      <c r="H238" s="105"/>
      <c r="I238" s="105"/>
      <c r="J238" s="105">
        <f t="shared" si="107"/>
        <v>5000000</v>
      </c>
      <c r="K238" s="105">
        <v>5000000</v>
      </c>
      <c r="L238" s="105"/>
      <c r="M238" s="105"/>
      <c r="N238" s="105"/>
      <c r="O238" s="105">
        <v>5000000</v>
      </c>
      <c r="P238" s="105">
        <f t="shared" si="106"/>
        <v>5000000</v>
      </c>
      <c r="Q238" s="188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30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30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  <c r="LU238" s="30"/>
      <c r="LV238" s="30"/>
      <c r="LW238" s="30"/>
      <c r="LX238" s="30"/>
      <c r="LY238" s="30"/>
      <c r="LZ238" s="30"/>
      <c r="MA238" s="30"/>
      <c r="MB238" s="30"/>
      <c r="MC238" s="30"/>
      <c r="MD238" s="30"/>
      <c r="ME238" s="30"/>
      <c r="MF238" s="30"/>
      <c r="MG238" s="30"/>
      <c r="MH238" s="30"/>
      <c r="MI238" s="30"/>
      <c r="MJ238" s="30"/>
      <c r="MK238" s="30"/>
      <c r="ML238" s="30"/>
      <c r="MM238" s="30"/>
      <c r="MN238" s="30"/>
      <c r="MO238" s="30"/>
      <c r="MP238" s="30"/>
      <c r="MQ238" s="30"/>
      <c r="MR238" s="30"/>
      <c r="MS238" s="30"/>
      <c r="MT238" s="30"/>
      <c r="MU238" s="30"/>
      <c r="MV238" s="30"/>
      <c r="MW238" s="30"/>
      <c r="MX238" s="30"/>
      <c r="MY238" s="30"/>
      <c r="MZ238" s="30"/>
      <c r="NA238" s="30"/>
      <c r="NB238" s="30"/>
      <c r="NC238" s="30"/>
      <c r="ND238" s="30"/>
      <c r="NE238" s="30"/>
      <c r="NF238" s="30"/>
      <c r="NG238" s="30"/>
      <c r="NH238" s="30"/>
      <c r="NI238" s="30"/>
      <c r="NJ238" s="30"/>
      <c r="NK238" s="30"/>
      <c r="NL238" s="30"/>
      <c r="NM238" s="30"/>
      <c r="NN238" s="30"/>
      <c r="NO238" s="30"/>
      <c r="NP238" s="30"/>
      <c r="NQ238" s="30"/>
      <c r="NR238" s="30"/>
      <c r="NS238" s="30"/>
      <c r="NT238" s="30"/>
      <c r="NU238" s="30"/>
      <c r="NV238" s="30"/>
      <c r="NW238" s="30"/>
      <c r="NX238" s="30"/>
      <c r="NY238" s="30"/>
      <c r="NZ238" s="30"/>
      <c r="OA238" s="30"/>
      <c r="OB238" s="30"/>
      <c r="OC238" s="30"/>
      <c r="OD238" s="30"/>
      <c r="OE238" s="30"/>
      <c r="OF238" s="30"/>
      <c r="OG238" s="30"/>
      <c r="OH238" s="30"/>
      <c r="OI238" s="30"/>
      <c r="OJ238" s="30"/>
      <c r="OK238" s="30"/>
      <c r="OL238" s="30"/>
      <c r="OM238" s="30"/>
      <c r="ON238" s="30"/>
      <c r="OO238" s="30"/>
      <c r="OP238" s="30"/>
      <c r="OQ238" s="30"/>
      <c r="OR238" s="30"/>
      <c r="OS238" s="30"/>
      <c r="OT238" s="30"/>
      <c r="OU238" s="30"/>
      <c r="OV238" s="30"/>
      <c r="OW238" s="30"/>
      <c r="OX238" s="30"/>
      <c r="OY238" s="30"/>
      <c r="OZ238" s="30"/>
      <c r="PA238" s="30"/>
      <c r="PB238" s="30"/>
      <c r="PC238" s="30"/>
      <c r="PD238" s="30"/>
      <c r="PE238" s="30"/>
      <c r="PF238" s="30"/>
      <c r="PG238" s="30"/>
      <c r="PH238" s="30"/>
      <c r="PI238" s="30"/>
      <c r="PJ238" s="30"/>
      <c r="PK238" s="30"/>
      <c r="PL238" s="30"/>
      <c r="PM238" s="30"/>
      <c r="PN238" s="30"/>
      <c r="PO238" s="30"/>
      <c r="PP238" s="30"/>
      <c r="PQ238" s="30"/>
      <c r="PR238" s="30"/>
      <c r="PS238" s="30"/>
      <c r="PT238" s="30"/>
      <c r="PU238" s="30"/>
      <c r="PV238" s="30"/>
      <c r="PW238" s="30"/>
      <c r="PX238" s="30"/>
      <c r="PY238" s="30"/>
      <c r="PZ238" s="30"/>
      <c r="QA238" s="30"/>
      <c r="QB238" s="30"/>
      <c r="QC238" s="30"/>
      <c r="QD238" s="30"/>
      <c r="QE238" s="30"/>
      <c r="QF238" s="30"/>
      <c r="QG238" s="30"/>
      <c r="QH238" s="30"/>
      <c r="QI238" s="30"/>
      <c r="QJ238" s="30"/>
      <c r="QK238" s="30"/>
      <c r="QL238" s="30"/>
      <c r="QM238" s="30"/>
      <c r="QN238" s="30"/>
      <c r="QO238" s="30"/>
      <c r="QP238" s="30"/>
      <c r="QQ238" s="30"/>
      <c r="QR238" s="30"/>
      <c r="QS238" s="30"/>
      <c r="QT238" s="30"/>
      <c r="QU238" s="30"/>
      <c r="QV238" s="30"/>
      <c r="QW238" s="30"/>
      <c r="QX238" s="30"/>
      <c r="QY238" s="30"/>
      <c r="QZ238" s="30"/>
      <c r="RA238" s="30"/>
      <c r="RB238" s="30"/>
      <c r="RC238" s="30"/>
      <c r="RD238" s="30"/>
      <c r="RE238" s="30"/>
      <c r="RF238" s="30"/>
      <c r="RG238" s="30"/>
      <c r="RH238" s="30"/>
      <c r="RI238" s="30"/>
      <c r="RJ238" s="30"/>
      <c r="RK238" s="30"/>
      <c r="RL238" s="30"/>
      <c r="RM238" s="30"/>
      <c r="RN238" s="30"/>
      <c r="RO238" s="30"/>
      <c r="RP238" s="30"/>
      <c r="RQ238" s="30"/>
      <c r="RR238" s="30"/>
      <c r="RS238" s="30"/>
      <c r="RT238" s="30"/>
      <c r="RU238" s="30"/>
      <c r="RV238" s="30"/>
      <c r="RW238" s="30"/>
      <c r="RX238" s="30"/>
      <c r="RY238" s="30"/>
      <c r="RZ238" s="30"/>
      <c r="SA238" s="30"/>
      <c r="SB238" s="30"/>
      <c r="SC238" s="30"/>
      <c r="SD238" s="30"/>
      <c r="SE238" s="30"/>
      <c r="SF238" s="30"/>
      <c r="SG238" s="30"/>
      <c r="SH238" s="30"/>
      <c r="SI238" s="30"/>
      <c r="SJ238" s="30"/>
      <c r="SK238" s="30"/>
      <c r="SL238" s="30"/>
      <c r="SM238" s="30"/>
      <c r="SN238" s="30"/>
      <c r="SO238" s="30"/>
      <c r="SP238" s="30"/>
      <c r="SQ238" s="30"/>
      <c r="SR238" s="30"/>
      <c r="SS238" s="30"/>
      <c r="ST238" s="30"/>
      <c r="SU238" s="30"/>
      <c r="SV238" s="30"/>
      <c r="SW238" s="30"/>
      <c r="SX238" s="30"/>
      <c r="SY238" s="30"/>
      <c r="SZ238" s="30"/>
      <c r="TA238" s="30"/>
      <c r="TB238" s="30"/>
      <c r="TC238" s="30"/>
      <c r="TD238" s="30"/>
      <c r="TE238" s="30"/>
      <c r="TF238" s="30"/>
      <c r="TG238" s="30"/>
    </row>
    <row r="239" spans="1:527" s="22" customFormat="1" ht="47.25" x14ac:dyDescent="0.25">
      <c r="A239" s="60" t="s">
        <v>376</v>
      </c>
      <c r="B239" s="97">
        <f>'дод 5'!A192</f>
        <v>7462</v>
      </c>
      <c r="C239" s="60" t="s">
        <v>402</v>
      </c>
      <c r="D239" s="121" t="s">
        <v>401</v>
      </c>
      <c r="E239" s="103">
        <f t="shared" ref="E239:E242" si="111">F239+I239</f>
        <v>1527346</v>
      </c>
      <c r="F239" s="103">
        <v>1527346</v>
      </c>
      <c r="G239" s="103"/>
      <c r="H239" s="103"/>
      <c r="I239" s="103"/>
      <c r="J239" s="103">
        <f t="shared" ref="J239:J242" si="112">L239+O239</f>
        <v>0</v>
      </c>
      <c r="K239" s="103"/>
      <c r="L239" s="103"/>
      <c r="M239" s="103"/>
      <c r="N239" s="103"/>
      <c r="O239" s="103"/>
      <c r="P239" s="103">
        <f t="shared" ref="P239:P242" si="113">E239+J239</f>
        <v>1527346</v>
      </c>
      <c r="Q239" s="188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4" customFormat="1" ht="110.25" hidden="1" customHeight="1" x14ac:dyDescent="0.25">
      <c r="A240" s="88"/>
      <c r="B240" s="115"/>
      <c r="C240" s="115"/>
      <c r="D240" s="91" t="s">
        <v>399</v>
      </c>
      <c r="E240" s="105">
        <f t="shared" si="111"/>
        <v>0</v>
      </c>
      <c r="F240" s="105"/>
      <c r="G240" s="105"/>
      <c r="H240" s="105"/>
      <c r="I240" s="105"/>
      <c r="J240" s="105">
        <f t="shared" si="112"/>
        <v>0</v>
      </c>
      <c r="K240" s="105"/>
      <c r="L240" s="105"/>
      <c r="M240" s="105"/>
      <c r="N240" s="105"/>
      <c r="O240" s="105"/>
      <c r="P240" s="105">
        <f t="shared" si="113"/>
        <v>0</v>
      </c>
      <c r="Q240" s="188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  <c r="LU240" s="30"/>
      <c r="LV240" s="30"/>
      <c r="LW240" s="30"/>
      <c r="LX240" s="30"/>
      <c r="LY240" s="30"/>
      <c r="LZ240" s="30"/>
      <c r="MA240" s="30"/>
      <c r="MB240" s="30"/>
      <c r="MC240" s="30"/>
      <c r="MD240" s="30"/>
      <c r="ME240" s="30"/>
      <c r="MF240" s="30"/>
      <c r="MG240" s="30"/>
      <c r="MH240" s="30"/>
      <c r="MI240" s="30"/>
      <c r="MJ240" s="30"/>
      <c r="MK240" s="30"/>
      <c r="ML240" s="30"/>
      <c r="MM240" s="30"/>
      <c r="MN240" s="30"/>
      <c r="MO240" s="30"/>
      <c r="MP240" s="30"/>
      <c r="MQ240" s="30"/>
      <c r="MR240" s="30"/>
      <c r="MS240" s="30"/>
      <c r="MT240" s="30"/>
      <c r="MU240" s="30"/>
      <c r="MV240" s="30"/>
      <c r="MW240" s="30"/>
      <c r="MX240" s="30"/>
      <c r="MY240" s="30"/>
      <c r="MZ240" s="30"/>
      <c r="NA240" s="30"/>
      <c r="NB240" s="30"/>
      <c r="NC240" s="30"/>
      <c r="ND240" s="30"/>
      <c r="NE240" s="30"/>
      <c r="NF240" s="30"/>
      <c r="NG240" s="30"/>
      <c r="NH240" s="30"/>
      <c r="NI240" s="30"/>
      <c r="NJ240" s="30"/>
      <c r="NK240" s="30"/>
      <c r="NL240" s="30"/>
      <c r="NM240" s="30"/>
      <c r="NN240" s="30"/>
      <c r="NO240" s="30"/>
      <c r="NP240" s="30"/>
      <c r="NQ240" s="30"/>
      <c r="NR240" s="30"/>
      <c r="NS240" s="30"/>
      <c r="NT240" s="30"/>
      <c r="NU240" s="30"/>
      <c r="NV240" s="30"/>
      <c r="NW240" s="30"/>
      <c r="NX240" s="30"/>
      <c r="NY240" s="30"/>
      <c r="NZ240" s="30"/>
      <c r="OA240" s="30"/>
      <c r="OB240" s="30"/>
      <c r="OC240" s="30"/>
      <c r="OD240" s="30"/>
      <c r="OE240" s="30"/>
      <c r="OF240" s="30"/>
      <c r="OG240" s="30"/>
      <c r="OH240" s="30"/>
      <c r="OI240" s="30"/>
      <c r="OJ240" s="30"/>
      <c r="OK240" s="30"/>
      <c r="OL240" s="30"/>
      <c r="OM240" s="30"/>
      <c r="ON240" s="30"/>
      <c r="OO240" s="30"/>
      <c r="OP240" s="30"/>
      <c r="OQ240" s="30"/>
      <c r="OR240" s="30"/>
      <c r="OS240" s="30"/>
      <c r="OT240" s="30"/>
      <c r="OU240" s="30"/>
      <c r="OV240" s="30"/>
      <c r="OW240" s="30"/>
      <c r="OX240" s="30"/>
      <c r="OY240" s="30"/>
      <c r="OZ240" s="30"/>
      <c r="PA240" s="30"/>
      <c r="PB240" s="30"/>
      <c r="PC240" s="30"/>
      <c r="PD240" s="30"/>
      <c r="PE240" s="30"/>
      <c r="PF240" s="30"/>
      <c r="PG240" s="30"/>
      <c r="PH240" s="30"/>
      <c r="PI240" s="30"/>
      <c r="PJ240" s="30"/>
      <c r="PK240" s="30"/>
      <c r="PL240" s="30"/>
      <c r="PM240" s="30"/>
      <c r="PN240" s="30"/>
      <c r="PO240" s="30"/>
      <c r="PP240" s="30"/>
      <c r="PQ240" s="30"/>
      <c r="PR240" s="30"/>
      <c r="PS240" s="30"/>
      <c r="PT240" s="30"/>
      <c r="PU240" s="30"/>
      <c r="PV240" s="30"/>
      <c r="PW240" s="30"/>
      <c r="PX240" s="30"/>
      <c r="PY240" s="30"/>
      <c r="PZ240" s="30"/>
      <c r="QA240" s="30"/>
      <c r="QB240" s="30"/>
      <c r="QC240" s="30"/>
      <c r="QD240" s="30"/>
      <c r="QE240" s="30"/>
      <c r="QF240" s="30"/>
      <c r="QG240" s="30"/>
      <c r="QH240" s="30"/>
      <c r="QI240" s="30"/>
      <c r="QJ240" s="30"/>
      <c r="QK240" s="30"/>
      <c r="QL240" s="30"/>
      <c r="QM240" s="30"/>
      <c r="QN240" s="30"/>
      <c r="QO240" s="30"/>
      <c r="QP240" s="30"/>
      <c r="QQ240" s="30"/>
      <c r="QR240" s="30"/>
      <c r="QS240" s="30"/>
      <c r="QT240" s="30"/>
      <c r="QU240" s="30"/>
      <c r="QV240" s="30"/>
      <c r="QW240" s="30"/>
      <c r="QX240" s="30"/>
      <c r="QY240" s="30"/>
      <c r="QZ240" s="30"/>
      <c r="RA240" s="30"/>
      <c r="RB240" s="30"/>
      <c r="RC240" s="30"/>
      <c r="RD240" s="30"/>
      <c r="RE240" s="30"/>
      <c r="RF240" s="30"/>
      <c r="RG240" s="30"/>
      <c r="RH240" s="30"/>
      <c r="RI240" s="30"/>
      <c r="RJ240" s="30"/>
      <c r="RK240" s="30"/>
      <c r="RL240" s="30"/>
      <c r="RM240" s="30"/>
      <c r="RN240" s="30"/>
      <c r="RO240" s="30"/>
      <c r="RP240" s="30"/>
      <c r="RQ240" s="30"/>
      <c r="RR240" s="30"/>
      <c r="RS240" s="30"/>
      <c r="RT240" s="30"/>
      <c r="RU240" s="30"/>
      <c r="RV240" s="30"/>
      <c r="RW240" s="30"/>
      <c r="RX240" s="30"/>
      <c r="RY240" s="30"/>
      <c r="RZ240" s="30"/>
      <c r="SA240" s="30"/>
      <c r="SB240" s="30"/>
      <c r="SC240" s="30"/>
      <c r="SD240" s="30"/>
      <c r="SE240" s="30"/>
      <c r="SF240" s="30"/>
      <c r="SG240" s="30"/>
      <c r="SH240" s="30"/>
      <c r="SI240" s="30"/>
      <c r="SJ240" s="30"/>
      <c r="SK240" s="30"/>
      <c r="SL240" s="30"/>
      <c r="SM240" s="30"/>
      <c r="SN240" s="30"/>
      <c r="SO240" s="30"/>
      <c r="SP240" s="30"/>
      <c r="SQ240" s="30"/>
      <c r="SR240" s="30"/>
      <c r="SS240" s="30"/>
      <c r="ST240" s="30"/>
      <c r="SU240" s="30"/>
      <c r="SV240" s="30"/>
      <c r="SW240" s="30"/>
      <c r="SX240" s="30"/>
      <c r="SY240" s="30"/>
      <c r="SZ240" s="30"/>
      <c r="TA240" s="30"/>
      <c r="TB240" s="30"/>
      <c r="TC240" s="30"/>
      <c r="TD240" s="30"/>
      <c r="TE240" s="30"/>
      <c r="TF240" s="30"/>
      <c r="TG240" s="30"/>
    </row>
    <row r="241" spans="1:527" s="24" customFormat="1" ht="78.75" x14ac:dyDescent="0.25">
      <c r="A241" s="88"/>
      <c r="B241" s="115"/>
      <c r="C241" s="115"/>
      <c r="D241" s="91" t="s">
        <v>554</v>
      </c>
      <c r="E241" s="105">
        <f t="shared" si="111"/>
        <v>1527346</v>
      </c>
      <c r="F241" s="105">
        <v>1527346</v>
      </c>
      <c r="G241" s="105"/>
      <c r="H241" s="105"/>
      <c r="I241" s="105"/>
      <c r="J241" s="105">
        <f t="shared" si="112"/>
        <v>0</v>
      </c>
      <c r="K241" s="105"/>
      <c r="L241" s="105"/>
      <c r="M241" s="105"/>
      <c r="N241" s="105"/>
      <c r="O241" s="105"/>
      <c r="P241" s="105">
        <f t="shared" si="113"/>
        <v>1527346</v>
      </c>
      <c r="Q241" s="188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30"/>
      <c r="JA241" s="30"/>
      <c r="JB241" s="30"/>
      <c r="JC241" s="30"/>
      <c r="JD241" s="30"/>
      <c r="JE241" s="30"/>
      <c r="JF241" s="30"/>
      <c r="JG241" s="30"/>
      <c r="JH241" s="30"/>
      <c r="JI241" s="30"/>
      <c r="JJ241" s="30"/>
      <c r="JK241" s="30"/>
      <c r="JL241" s="30"/>
      <c r="JM241" s="30"/>
      <c r="JN241" s="30"/>
      <c r="JO241" s="30"/>
      <c r="JP241" s="30"/>
      <c r="JQ241" s="30"/>
      <c r="JR241" s="30"/>
      <c r="JS241" s="30"/>
      <c r="JT241" s="30"/>
      <c r="JU241" s="30"/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30"/>
      <c r="KG241" s="30"/>
      <c r="KH241" s="30"/>
      <c r="KI241" s="30"/>
      <c r="KJ241" s="30"/>
      <c r="KK241" s="30"/>
      <c r="KL241" s="30"/>
      <c r="KM241" s="30"/>
      <c r="KN241" s="30"/>
      <c r="KO241" s="30"/>
      <c r="KP241" s="30"/>
      <c r="KQ241" s="30"/>
      <c r="KR241" s="30"/>
      <c r="KS241" s="30"/>
      <c r="KT241" s="30"/>
      <c r="KU241" s="30"/>
      <c r="KV241" s="30"/>
      <c r="KW241" s="30"/>
      <c r="KX241" s="30"/>
      <c r="KY241" s="30"/>
      <c r="KZ241" s="30"/>
      <c r="LA241" s="30"/>
      <c r="LB241" s="30"/>
      <c r="LC241" s="30"/>
      <c r="LD241" s="30"/>
      <c r="LE241" s="30"/>
      <c r="LF241" s="30"/>
      <c r="LG241" s="30"/>
      <c r="LH241" s="30"/>
      <c r="LI241" s="30"/>
      <c r="LJ241" s="30"/>
      <c r="LK241" s="30"/>
      <c r="LL241" s="30"/>
      <c r="LM241" s="30"/>
      <c r="LN241" s="30"/>
      <c r="LO241" s="30"/>
      <c r="LP241" s="30"/>
      <c r="LQ241" s="30"/>
      <c r="LR241" s="30"/>
      <c r="LS241" s="30"/>
      <c r="LT241" s="30"/>
      <c r="LU241" s="30"/>
      <c r="LV241" s="30"/>
      <c r="LW241" s="30"/>
      <c r="LX241" s="30"/>
      <c r="LY241" s="30"/>
      <c r="LZ241" s="30"/>
      <c r="MA241" s="30"/>
      <c r="MB241" s="30"/>
      <c r="MC241" s="30"/>
      <c r="MD241" s="30"/>
      <c r="ME241" s="30"/>
      <c r="MF241" s="30"/>
      <c r="MG241" s="30"/>
      <c r="MH241" s="30"/>
      <c r="MI241" s="30"/>
      <c r="MJ241" s="30"/>
      <c r="MK241" s="30"/>
      <c r="ML241" s="30"/>
      <c r="MM241" s="30"/>
      <c r="MN241" s="30"/>
      <c r="MO241" s="30"/>
      <c r="MP241" s="30"/>
      <c r="MQ241" s="30"/>
      <c r="MR241" s="30"/>
      <c r="MS241" s="30"/>
      <c r="MT241" s="30"/>
      <c r="MU241" s="30"/>
      <c r="MV241" s="30"/>
      <c r="MW241" s="30"/>
      <c r="MX241" s="30"/>
      <c r="MY241" s="30"/>
      <c r="MZ241" s="30"/>
      <c r="NA241" s="30"/>
      <c r="NB241" s="30"/>
      <c r="NC241" s="30"/>
      <c r="ND241" s="30"/>
      <c r="NE241" s="30"/>
      <c r="NF241" s="30"/>
      <c r="NG241" s="30"/>
      <c r="NH241" s="30"/>
      <c r="NI241" s="30"/>
      <c r="NJ241" s="30"/>
      <c r="NK241" s="30"/>
      <c r="NL241" s="30"/>
      <c r="NM241" s="30"/>
      <c r="NN241" s="30"/>
      <c r="NO241" s="30"/>
      <c r="NP241" s="30"/>
      <c r="NQ241" s="30"/>
      <c r="NR241" s="30"/>
      <c r="NS241" s="30"/>
      <c r="NT241" s="30"/>
      <c r="NU241" s="30"/>
      <c r="NV241" s="30"/>
      <c r="NW241" s="30"/>
      <c r="NX241" s="30"/>
      <c r="NY241" s="30"/>
      <c r="NZ241" s="30"/>
      <c r="OA241" s="30"/>
      <c r="OB241" s="30"/>
      <c r="OC241" s="30"/>
      <c r="OD241" s="30"/>
      <c r="OE241" s="30"/>
      <c r="OF241" s="30"/>
      <c r="OG241" s="30"/>
      <c r="OH241" s="30"/>
      <c r="OI241" s="30"/>
      <c r="OJ241" s="30"/>
      <c r="OK241" s="30"/>
      <c r="OL241" s="30"/>
      <c r="OM241" s="30"/>
      <c r="ON241" s="30"/>
      <c r="OO241" s="30"/>
      <c r="OP241" s="30"/>
      <c r="OQ241" s="30"/>
      <c r="OR241" s="30"/>
      <c r="OS241" s="30"/>
      <c r="OT241" s="30"/>
      <c r="OU241" s="30"/>
      <c r="OV241" s="30"/>
      <c r="OW241" s="30"/>
      <c r="OX241" s="30"/>
      <c r="OY241" s="30"/>
      <c r="OZ241" s="30"/>
      <c r="PA241" s="30"/>
      <c r="PB241" s="30"/>
      <c r="PC241" s="30"/>
      <c r="PD241" s="30"/>
      <c r="PE241" s="30"/>
      <c r="PF241" s="30"/>
      <c r="PG241" s="30"/>
      <c r="PH241" s="30"/>
      <c r="PI241" s="30"/>
      <c r="PJ241" s="30"/>
      <c r="PK241" s="30"/>
      <c r="PL241" s="30"/>
      <c r="PM241" s="30"/>
      <c r="PN241" s="30"/>
      <c r="PO241" s="30"/>
      <c r="PP241" s="30"/>
      <c r="PQ241" s="30"/>
      <c r="PR241" s="30"/>
      <c r="PS241" s="30"/>
      <c r="PT241" s="30"/>
      <c r="PU241" s="30"/>
      <c r="PV241" s="30"/>
      <c r="PW241" s="30"/>
      <c r="PX241" s="30"/>
      <c r="PY241" s="30"/>
      <c r="PZ241" s="30"/>
      <c r="QA241" s="30"/>
      <c r="QB241" s="30"/>
      <c r="QC241" s="30"/>
      <c r="QD241" s="30"/>
      <c r="QE241" s="30"/>
      <c r="QF241" s="30"/>
      <c r="QG241" s="30"/>
      <c r="QH241" s="30"/>
      <c r="QI241" s="30"/>
      <c r="QJ241" s="30"/>
      <c r="QK241" s="30"/>
      <c r="QL241" s="30"/>
      <c r="QM241" s="30"/>
      <c r="QN241" s="30"/>
      <c r="QO241" s="30"/>
      <c r="QP241" s="30"/>
      <c r="QQ241" s="30"/>
      <c r="QR241" s="30"/>
      <c r="QS241" s="30"/>
      <c r="QT241" s="30"/>
      <c r="QU241" s="30"/>
      <c r="QV241" s="30"/>
      <c r="QW241" s="30"/>
      <c r="QX241" s="30"/>
      <c r="QY241" s="30"/>
      <c r="QZ241" s="30"/>
      <c r="RA241" s="30"/>
      <c r="RB241" s="30"/>
      <c r="RC241" s="30"/>
      <c r="RD241" s="30"/>
      <c r="RE241" s="30"/>
      <c r="RF241" s="30"/>
      <c r="RG241" s="30"/>
      <c r="RH241" s="30"/>
      <c r="RI241" s="30"/>
      <c r="RJ241" s="30"/>
      <c r="RK241" s="30"/>
      <c r="RL241" s="30"/>
      <c r="RM241" s="30"/>
      <c r="RN241" s="30"/>
      <c r="RO241" s="30"/>
      <c r="RP241" s="30"/>
      <c r="RQ241" s="30"/>
      <c r="RR241" s="30"/>
      <c r="RS241" s="30"/>
      <c r="RT241" s="30"/>
      <c r="RU241" s="30"/>
      <c r="RV241" s="30"/>
      <c r="RW241" s="30"/>
      <c r="RX241" s="30"/>
      <c r="RY241" s="30"/>
      <c r="RZ241" s="30"/>
      <c r="SA241" s="30"/>
      <c r="SB241" s="30"/>
      <c r="SC241" s="30"/>
      <c r="SD241" s="30"/>
      <c r="SE241" s="30"/>
      <c r="SF241" s="30"/>
      <c r="SG241" s="30"/>
      <c r="SH241" s="30"/>
      <c r="SI241" s="30"/>
      <c r="SJ241" s="30"/>
      <c r="SK241" s="30"/>
      <c r="SL241" s="30"/>
      <c r="SM241" s="30"/>
      <c r="SN241" s="30"/>
      <c r="SO241" s="30"/>
      <c r="SP241" s="30"/>
      <c r="SQ241" s="30"/>
      <c r="SR241" s="30"/>
      <c r="SS241" s="30"/>
      <c r="ST241" s="30"/>
      <c r="SU241" s="30"/>
      <c r="SV241" s="30"/>
      <c r="SW241" s="30"/>
      <c r="SX241" s="30"/>
      <c r="SY241" s="30"/>
      <c r="SZ241" s="30"/>
      <c r="TA241" s="30"/>
      <c r="TB241" s="30"/>
      <c r="TC241" s="30"/>
      <c r="TD241" s="30"/>
      <c r="TE241" s="30"/>
      <c r="TF241" s="30"/>
      <c r="TG241" s="30"/>
    </row>
    <row r="242" spans="1:527" s="24" customFormat="1" ht="31.5" hidden="1" customHeight="1" x14ac:dyDescent="0.25">
      <c r="A242" s="60" t="s">
        <v>431</v>
      </c>
      <c r="B242" s="97">
        <v>7530</v>
      </c>
      <c r="C242" s="60" t="s">
        <v>238</v>
      </c>
      <c r="D242" s="98" t="s">
        <v>236</v>
      </c>
      <c r="E242" s="103">
        <f t="shared" si="111"/>
        <v>0</v>
      </c>
      <c r="F242" s="103"/>
      <c r="G242" s="105"/>
      <c r="H242" s="105"/>
      <c r="I242" s="105"/>
      <c r="J242" s="103">
        <f t="shared" si="112"/>
        <v>0</v>
      </c>
      <c r="K242" s="103"/>
      <c r="L242" s="103"/>
      <c r="M242" s="103"/>
      <c r="N242" s="103"/>
      <c r="O242" s="103"/>
      <c r="P242" s="103">
        <f t="shared" si="113"/>
        <v>0</v>
      </c>
      <c r="Q242" s="188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30"/>
      <c r="JA242" s="30"/>
      <c r="JB242" s="30"/>
      <c r="JC242" s="30"/>
      <c r="JD242" s="30"/>
      <c r="JE242" s="30"/>
      <c r="JF242" s="30"/>
      <c r="JG242" s="30"/>
      <c r="JH242" s="30"/>
      <c r="JI242" s="30"/>
      <c r="JJ242" s="30"/>
      <c r="JK242" s="30"/>
      <c r="JL242" s="30"/>
      <c r="JM242" s="30"/>
      <c r="JN242" s="30"/>
      <c r="JO242" s="30"/>
      <c r="JP242" s="30"/>
      <c r="JQ242" s="30"/>
      <c r="JR242" s="30"/>
      <c r="JS242" s="30"/>
      <c r="JT242" s="30"/>
      <c r="JU242" s="30"/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30"/>
      <c r="KG242" s="30"/>
      <c r="KH242" s="30"/>
      <c r="KI242" s="30"/>
      <c r="KJ242" s="30"/>
      <c r="KK242" s="30"/>
      <c r="KL242" s="30"/>
      <c r="KM242" s="30"/>
      <c r="KN242" s="30"/>
      <c r="KO242" s="30"/>
      <c r="KP242" s="30"/>
      <c r="KQ242" s="30"/>
      <c r="KR242" s="30"/>
      <c r="KS242" s="30"/>
      <c r="KT242" s="30"/>
      <c r="KU242" s="30"/>
      <c r="KV242" s="30"/>
      <c r="KW242" s="30"/>
      <c r="KX242" s="30"/>
      <c r="KY242" s="30"/>
      <c r="KZ242" s="30"/>
      <c r="LA242" s="30"/>
      <c r="LB242" s="30"/>
      <c r="LC242" s="30"/>
      <c r="LD242" s="30"/>
      <c r="LE242" s="30"/>
      <c r="LF242" s="30"/>
      <c r="LG242" s="30"/>
      <c r="LH242" s="30"/>
      <c r="LI242" s="30"/>
      <c r="LJ242" s="30"/>
      <c r="LK242" s="30"/>
      <c r="LL242" s="30"/>
      <c r="LM242" s="30"/>
      <c r="LN242" s="30"/>
      <c r="LO242" s="30"/>
      <c r="LP242" s="30"/>
      <c r="LQ242" s="30"/>
      <c r="LR242" s="30"/>
      <c r="LS242" s="30"/>
      <c r="LT242" s="30"/>
      <c r="LU242" s="30"/>
      <c r="LV242" s="30"/>
      <c r="LW242" s="30"/>
      <c r="LX242" s="30"/>
      <c r="LY242" s="30"/>
      <c r="LZ242" s="30"/>
      <c r="MA242" s="30"/>
      <c r="MB242" s="30"/>
      <c r="MC242" s="30"/>
      <c r="MD242" s="30"/>
      <c r="ME242" s="30"/>
      <c r="MF242" s="30"/>
      <c r="MG242" s="30"/>
      <c r="MH242" s="30"/>
      <c r="MI242" s="30"/>
      <c r="MJ242" s="30"/>
      <c r="MK242" s="30"/>
      <c r="ML242" s="30"/>
      <c r="MM242" s="30"/>
      <c r="MN242" s="30"/>
      <c r="MO242" s="30"/>
      <c r="MP242" s="30"/>
      <c r="MQ242" s="30"/>
      <c r="MR242" s="30"/>
      <c r="MS242" s="30"/>
      <c r="MT242" s="30"/>
      <c r="MU242" s="30"/>
      <c r="MV242" s="30"/>
      <c r="MW242" s="30"/>
      <c r="MX242" s="30"/>
      <c r="MY242" s="30"/>
      <c r="MZ242" s="30"/>
      <c r="NA242" s="30"/>
      <c r="NB242" s="30"/>
      <c r="NC242" s="30"/>
      <c r="ND242" s="30"/>
      <c r="NE242" s="30"/>
      <c r="NF242" s="30"/>
      <c r="NG242" s="30"/>
      <c r="NH242" s="30"/>
      <c r="NI242" s="30"/>
      <c r="NJ242" s="30"/>
      <c r="NK242" s="30"/>
      <c r="NL242" s="30"/>
      <c r="NM242" s="30"/>
      <c r="NN242" s="30"/>
      <c r="NO242" s="30"/>
      <c r="NP242" s="30"/>
      <c r="NQ242" s="30"/>
      <c r="NR242" s="30"/>
      <c r="NS242" s="30"/>
      <c r="NT242" s="30"/>
      <c r="NU242" s="30"/>
      <c r="NV242" s="30"/>
      <c r="NW242" s="30"/>
      <c r="NX242" s="30"/>
      <c r="NY242" s="30"/>
      <c r="NZ242" s="30"/>
      <c r="OA242" s="30"/>
      <c r="OB242" s="30"/>
      <c r="OC242" s="30"/>
      <c r="OD242" s="30"/>
      <c r="OE242" s="30"/>
      <c r="OF242" s="30"/>
      <c r="OG242" s="30"/>
      <c r="OH242" s="30"/>
      <c r="OI242" s="30"/>
      <c r="OJ242" s="30"/>
      <c r="OK242" s="30"/>
      <c r="OL242" s="30"/>
      <c r="OM242" s="30"/>
      <c r="ON242" s="30"/>
      <c r="OO242" s="30"/>
      <c r="OP242" s="30"/>
      <c r="OQ242" s="30"/>
      <c r="OR242" s="30"/>
      <c r="OS242" s="30"/>
      <c r="OT242" s="30"/>
      <c r="OU242" s="30"/>
      <c r="OV242" s="30"/>
      <c r="OW242" s="30"/>
      <c r="OX242" s="30"/>
      <c r="OY242" s="30"/>
      <c r="OZ242" s="30"/>
      <c r="PA242" s="30"/>
      <c r="PB242" s="30"/>
      <c r="PC242" s="30"/>
      <c r="PD242" s="30"/>
      <c r="PE242" s="30"/>
      <c r="PF242" s="30"/>
      <c r="PG242" s="30"/>
      <c r="PH242" s="30"/>
      <c r="PI242" s="30"/>
      <c r="PJ242" s="30"/>
      <c r="PK242" s="30"/>
      <c r="PL242" s="30"/>
      <c r="PM242" s="30"/>
      <c r="PN242" s="30"/>
      <c r="PO242" s="30"/>
      <c r="PP242" s="30"/>
      <c r="PQ242" s="30"/>
      <c r="PR242" s="30"/>
      <c r="PS242" s="30"/>
      <c r="PT242" s="30"/>
      <c r="PU242" s="30"/>
      <c r="PV242" s="30"/>
      <c r="PW242" s="30"/>
      <c r="PX242" s="30"/>
      <c r="PY242" s="30"/>
      <c r="PZ242" s="30"/>
      <c r="QA242" s="30"/>
      <c r="QB242" s="30"/>
      <c r="QC242" s="30"/>
      <c r="QD242" s="30"/>
      <c r="QE242" s="30"/>
      <c r="QF242" s="30"/>
      <c r="QG242" s="30"/>
      <c r="QH242" s="30"/>
      <c r="QI242" s="30"/>
      <c r="QJ242" s="30"/>
      <c r="QK242" s="30"/>
      <c r="QL242" s="30"/>
      <c r="QM242" s="30"/>
      <c r="QN242" s="30"/>
      <c r="QO242" s="30"/>
      <c r="QP242" s="30"/>
      <c r="QQ242" s="30"/>
      <c r="QR242" s="30"/>
      <c r="QS242" s="30"/>
      <c r="QT242" s="30"/>
      <c r="QU242" s="30"/>
      <c r="QV242" s="30"/>
      <c r="QW242" s="30"/>
      <c r="QX242" s="30"/>
      <c r="QY242" s="30"/>
      <c r="QZ242" s="30"/>
      <c r="RA242" s="30"/>
      <c r="RB242" s="30"/>
      <c r="RC242" s="30"/>
      <c r="RD242" s="30"/>
      <c r="RE242" s="30"/>
      <c r="RF242" s="30"/>
      <c r="RG242" s="30"/>
      <c r="RH242" s="30"/>
      <c r="RI242" s="30"/>
      <c r="RJ242" s="30"/>
      <c r="RK242" s="30"/>
      <c r="RL242" s="30"/>
      <c r="RM242" s="30"/>
      <c r="RN242" s="30"/>
      <c r="RO242" s="30"/>
      <c r="RP242" s="30"/>
      <c r="RQ242" s="30"/>
      <c r="RR242" s="30"/>
      <c r="RS242" s="30"/>
      <c r="RT242" s="30"/>
      <c r="RU242" s="30"/>
      <c r="RV242" s="30"/>
      <c r="RW242" s="30"/>
      <c r="RX242" s="30"/>
      <c r="RY242" s="30"/>
      <c r="RZ242" s="30"/>
      <c r="SA242" s="30"/>
      <c r="SB242" s="30"/>
      <c r="SC242" s="30"/>
      <c r="SD242" s="30"/>
      <c r="SE242" s="30"/>
      <c r="SF242" s="30"/>
      <c r="SG242" s="30"/>
      <c r="SH242" s="30"/>
      <c r="SI242" s="30"/>
      <c r="SJ242" s="30"/>
      <c r="SK242" s="30"/>
      <c r="SL242" s="30"/>
      <c r="SM242" s="30"/>
      <c r="SN242" s="30"/>
      <c r="SO242" s="30"/>
      <c r="SP242" s="30"/>
      <c r="SQ242" s="30"/>
      <c r="SR242" s="30"/>
      <c r="SS242" s="30"/>
      <c r="ST242" s="30"/>
      <c r="SU242" s="30"/>
      <c r="SV242" s="30"/>
      <c r="SW242" s="30"/>
      <c r="SX242" s="30"/>
      <c r="SY242" s="30"/>
      <c r="SZ242" s="30"/>
      <c r="TA242" s="30"/>
      <c r="TB242" s="30"/>
      <c r="TC242" s="30"/>
      <c r="TD242" s="30"/>
      <c r="TE242" s="30"/>
      <c r="TF242" s="30"/>
      <c r="TG242" s="30"/>
    </row>
    <row r="243" spans="1:527" s="22" customFormat="1" ht="20.25" customHeight="1" x14ac:dyDescent="0.25">
      <c r="A243" s="60" t="s">
        <v>204</v>
      </c>
      <c r="B243" s="97" t="str">
        <f>'дод 5'!A203</f>
        <v>7640</v>
      </c>
      <c r="C243" s="97" t="str">
        <f>'дод 5'!B203</f>
        <v>0470</v>
      </c>
      <c r="D243" s="61" t="s">
        <v>424</v>
      </c>
      <c r="E243" s="103">
        <f t="shared" si="105"/>
        <v>2700000</v>
      </c>
      <c r="F243" s="103">
        <v>700000</v>
      </c>
      <c r="G243" s="103"/>
      <c r="H243" s="103"/>
      <c r="I243" s="103">
        <f>1500000+500000</f>
        <v>2000000</v>
      </c>
      <c r="J243" s="103">
        <f t="shared" si="107"/>
        <v>0</v>
      </c>
      <c r="K243" s="103"/>
      <c r="L243" s="103"/>
      <c r="M243" s="103"/>
      <c r="N243" s="103"/>
      <c r="O243" s="103"/>
      <c r="P243" s="103">
        <f t="shared" si="106"/>
        <v>2700000</v>
      </c>
      <c r="Q243" s="188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</row>
    <row r="244" spans="1:527" s="22" customFormat="1" ht="30" customHeight="1" x14ac:dyDescent="0.25">
      <c r="A244" s="60" t="s">
        <v>333</v>
      </c>
      <c r="B244" s="97" t="str">
        <f>'дод 5'!A207</f>
        <v>7670</v>
      </c>
      <c r="C244" s="97" t="str">
        <f>'дод 5'!B207</f>
        <v>0490</v>
      </c>
      <c r="D244" s="61" t="str">
        <f>'дод 5'!C207</f>
        <v>Внески до статутного капіталу суб’єктів господарювання, у т. ч. за рахунок:</v>
      </c>
      <c r="E244" s="103">
        <f t="shared" si="105"/>
        <v>0</v>
      </c>
      <c r="F244" s="103"/>
      <c r="G244" s="103"/>
      <c r="H244" s="103"/>
      <c r="I244" s="103"/>
      <c r="J244" s="103">
        <f t="shared" si="107"/>
        <v>26790000</v>
      </c>
      <c r="K244" s="103">
        <f>46790000-20000000</f>
        <v>26790000</v>
      </c>
      <c r="L244" s="103"/>
      <c r="M244" s="103"/>
      <c r="N244" s="103"/>
      <c r="O244" s="103">
        <f>46790000-20000000</f>
        <v>26790000</v>
      </c>
      <c r="P244" s="103">
        <f t="shared" si="106"/>
        <v>26790000</v>
      </c>
      <c r="Q244" s="188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4" customFormat="1" ht="18.75" customHeight="1" x14ac:dyDescent="0.25">
      <c r="A245" s="88"/>
      <c r="B245" s="115"/>
      <c r="C245" s="115"/>
      <c r="D245" s="89" t="s">
        <v>421</v>
      </c>
      <c r="E245" s="105">
        <f t="shared" si="105"/>
        <v>0</v>
      </c>
      <c r="F245" s="105"/>
      <c r="G245" s="105"/>
      <c r="H245" s="105"/>
      <c r="I245" s="105"/>
      <c r="J245" s="105">
        <f t="shared" si="107"/>
        <v>26250000</v>
      </c>
      <c r="K245" s="105">
        <v>26250000</v>
      </c>
      <c r="L245" s="105"/>
      <c r="M245" s="105"/>
      <c r="N245" s="105"/>
      <c r="O245" s="105">
        <v>26250000</v>
      </c>
      <c r="P245" s="105">
        <f t="shared" si="106"/>
        <v>26250000</v>
      </c>
      <c r="Q245" s="188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  <c r="LU245" s="30"/>
      <c r="LV245" s="30"/>
      <c r="LW245" s="30"/>
      <c r="LX245" s="30"/>
      <c r="LY245" s="30"/>
      <c r="LZ245" s="30"/>
      <c r="MA245" s="30"/>
      <c r="MB245" s="30"/>
      <c r="MC245" s="30"/>
      <c r="MD245" s="30"/>
      <c r="ME245" s="30"/>
      <c r="MF245" s="30"/>
      <c r="MG245" s="30"/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30"/>
      <c r="MW245" s="30"/>
      <c r="MX245" s="30"/>
      <c r="MY245" s="30"/>
      <c r="MZ245" s="30"/>
      <c r="NA245" s="30"/>
      <c r="NB245" s="30"/>
      <c r="NC245" s="30"/>
      <c r="ND245" s="30"/>
      <c r="NE245" s="30"/>
      <c r="NF245" s="30"/>
      <c r="NG245" s="30"/>
      <c r="NH245" s="30"/>
      <c r="NI245" s="30"/>
      <c r="NJ245" s="30"/>
      <c r="NK245" s="30"/>
      <c r="NL245" s="30"/>
      <c r="NM245" s="30"/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30"/>
      <c r="NY245" s="30"/>
      <c r="NZ245" s="30"/>
      <c r="OA245" s="30"/>
      <c r="OB245" s="30"/>
      <c r="OC245" s="30"/>
      <c r="OD245" s="30"/>
      <c r="OE245" s="30"/>
      <c r="OF245" s="30"/>
      <c r="OG245" s="30"/>
      <c r="OH245" s="30"/>
      <c r="OI245" s="30"/>
      <c r="OJ245" s="30"/>
      <c r="OK245" s="30"/>
      <c r="OL245" s="30"/>
      <c r="OM245" s="30"/>
      <c r="ON245" s="30"/>
      <c r="OO245" s="30"/>
      <c r="OP245" s="30"/>
      <c r="OQ245" s="30"/>
      <c r="OR245" s="30"/>
      <c r="OS245" s="30"/>
      <c r="OT245" s="30"/>
      <c r="OU245" s="30"/>
      <c r="OV245" s="30"/>
      <c r="OW245" s="30"/>
      <c r="OX245" s="30"/>
      <c r="OY245" s="30"/>
      <c r="OZ245" s="30"/>
      <c r="PA245" s="30"/>
      <c r="PB245" s="30"/>
      <c r="PC245" s="30"/>
      <c r="PD245" s="30"/>
      <c r="PE245" s="30"/>
      <c r="PF245" s="30"/>
      <c r="PG245" s="30"/>
      <c r="PH245" s="30"/>
      <c r="PI245" s="30"/>
      <c r="PJ245" s="30"/>
      <c r="PK245" s="30"/>
      <c r="PL245" s="30"/>
      <c r="PM245" s="30"/>
      <c r="PN245" s="30"/>
      <c r="PO245" s="30"/>
      <c r="PP245" s="30"/>
      <c r="PQ245" s="30"/>
      <c r="PR245" s="30"/>
      <c r="PS245" s="30"/>
      <c r="PT245" s="30"/>
      <c r="PU245" s="30"/>
      <c r="PV245" s="30"/>
      <c r="PW245" s="30"/>
      <c r="PX245" s="30"/>
      <c r="PY245" s="30"/>
      <c r="PZ245" s="30"/>
      <c r="QA245" s="30"/>
      <c r="QB245" s="30"/>
      <c r="QC245" s="30"/>
      <c r="QD245" s="30"/>
      <c r="QE245" s="30"/>
      <c r="QF245" s="30"/>
      <c r="QG245" s="30"/>
      <c r="QH245" s="30"/>
      <c r="QI245" s="30"/>
      <c r="QJ245" s="30"/>
      <c r="QK245" s="30"/>
      <c r="QL245" s="30"/>
      <c r="QM245" s="30"/>
      <c r="QN245" s="30"/>
      <c r="QO245" s="30"/>
      <c r="QP245" s="30"/>
      <c r="QQ245" s="30"/>
      <c r="QR245" s="30"/>
      <c r="QS245" s="30"/>
      <c r="QT245" s="30"/>
      <c r="QU245" s="30"/>
      <c r="QV245" s="30"/>
      <c r="QW245" s="30"/>
      <c r="QX245" s="30"/>
      <c r="QY245" s="30"/>
      <c r="QZ245" s="30"/>
      <c r="RA245" s="30"/>
      <c r="RB245" s="30"/>
      <c r="RC245" s="30"/>
      <c r="RD245" s="30"/>
      <c r="RE245" s="30"/>
      <c r="RF245" s="30"/>
      <c r="RG245" s="30"/>
      <c r="RH245" s="30"/>
      <c r="RI245" s="30"/>
      <c r="RJ245" s="30"/>
      <c r="RK245" s="30"/>
      <c r="RL245" s="30"/>
      <c r="RM245" s="30"/>
      <c r="RN245" s="30"/>
      <c r="RO245" s="30"/>
      <c r="RP245" s="30"/>
      <c r="RQ245" s="30"/>
      <c r="RR245" s="30"/>
      <c r="RS245" s="30"/>
      <c r="RT245" s="30"/>
      <c r="RU245" s="30"/>
      <c r="RV245" s="30"/>
      <c r="RW245" s="30"/>
      <c r="RX245" s="30"/>
      <c r="RY245" s="30"/>
      <c r="RZ245" s="30"/>
      <c r="SA245" s="30"/>
      <c r="SB245" s="30"/>
      <c r="SC245" s="30"/>
      <c r="SD245" s="30"/>
      <c r="SE245" s="30"/>
      <c r="SF245" s="30"/>
      <c r="SG245" s="30"/>
      <c r="SH245" s="30"/>
      <c r="SI245" s="30"/>
      <c r="SJ245" s="30"/>
      <c r="SK245" s="30"/>
      <c r="SL245" s="30"/>
      <c r="SM245" s="30"/>
      <c r="SN245" s="30"/>
      <c r="SO245" s="30"/>
      <c r="SP245" s="30"/>
      <c r="SQ245" s="30"/>
      <c r="SR245" s="30"/>
      <c r="SS245" s="30"/>
      <c r="ST245" s="30"/>
      <c r="SU245" s="30"/>
      <c r="SV245" s="30"/>
      <c r="SW245" s="30"/>
      <c r="SX245" s="30"/>
      <c r="SY245" s="30"/>
      <c r="SZ245" s="30"/>
      <c r="TA245" s="30"/>
      <c r="TB245" s="30"/>
      <c r="TC245" s="30"/>
      <c r="TD245" s="30"/>
      <c r="TE245" s="30"/>
      <c r="TF245" s="30"/>
      <c r="TG245" s="30"/>
    </row>
    <row r="246" spans="1:527" s="22" customFormat="1" ht="126" x14ac:dyDescent="0.25">
      <c r="A246" s="107" t="s">
        <v>302</v>
      </c>
      <c r="B246" s="42">
        <v>7691</v>
      </c>
      <c r="C246" s="42" t="s">
        <v>84</v>
      </c>
      <c r="D246" s="36" t="str">
        <f>'дод 5'!C210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6" s="103">
        <f t="shared" si="105"/>
        <v>0</v>
      </c>
      <c r="F246" s="103"/>
      <c r="G246" s="103"/>
      <c r="H246" s="103"/>
      <c r="I246" s="103"/>
      <c r="J246" s="103">
        <f t="shared" si="107"/>
        <v>2205686.5699999998</v>
      </c>
      <c r="K246" s="103"/>
      <c r="L246" s="103">
        <f>169598+128488.57</f>
        <v>298086.57</v>
      </c>
      <c r="M246" s="103"/>
      <c r="N246" s="103"/>
      <c r="O246" s="103">
        <f>1900000+7600</f>
        <v>1907600</v>
      </c>
      <c r="P246" s="103">
        <f t="shared" si="106"/>
        <v>2205686.5699999998</v>
      </c>
      <c r="Q246" s="188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31.5" x14ac:dyDescent="0.25">
      <c r="A247" s="107" t="s">
        <v>382</v>
      </c>
      <c r="B247" s="42" t="str">
        <f>'дод 5'!A218</f>
        <v>8110</v>
      </c>
      <c r="C247" s="42" t="str">
        <f>'дод 5'!B218</f>
        <v>0320</v>
      </c>
      <c r="D247" s="108" t="str">
        <f>'дод 5'!C218</f>
        <v>Заходи із запобігання та ліквідації надзвичайних ситуацій та наслідків стихійного лиха</v>
      </c>
      <c r="E247" s="103">
        <f t="shared" ref="E247" si="114">F247+I247</f>
        <v>677493.87</v>
      </c>
      <c r="F247" s="103">
        <v>677493.87</v>
      </c>
      <c r="G247" s="103"/>
      <c r="H247" s="103"/>
      <c r="I247" s="103"/>
      <c r="J247" s="103">
        <f t="shared" ref="J247" si="115">L247+O247</f>
        <v>0</v>
      </c>
      <c r="K247" s="103"/>
      <c r="L247" s="103"/>
      <c r="M247" s="103"/>
      <c r="N247" s="103"/>
      <c r="O247" s="103"/>
      <c r="P247" s="103">
        <f t="shared" ref="P247" si="116">E247+J247</f>
        <v>677493.87</v>
      </c>
      <c r="Q247" s="188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15.75" hidden="1" customHeight="1" x14ac:dyDescent="0.25">
      <c r="A248" s="107" t="s">
        <v>381</v>
      </c>
      <c r="B248" s="42" t="str">
        <f>'дод 5'!A222</f>
        <v>8230</v>
      </c>
      <c r="C248" s="42" t="str">
        <f>'дод 5'!B222</f>
        <v>0380</v>
      </c>
      <c r="D248" s="108" t="str">
        <f>'дод 5'!C222</f>
        <v>Інші заходи громадського порядку та безпеки</v>
      </c>
      <c r="E248" s="103">
        <f t="shared" ref="E248" si="117">F248+I248</f>
        <v>0</v>
      </c>
      <c r="F248" s="103"/>
      <c r="G248" s="103"/>
      <c r="H248" s="103"/>
      <c r="I248" s="103"/>
      <c r="J248" s="103">
        <f t="shared" ref="J248" si="118">L248+O248</f>
        <v>0</v>
      </c>
      <c r="K248" s="103"/>
      <c r="L248" s="103"/>
      <c r="M248" s="103"/>
      <c r="N248" s="103"/>
      <c r="O248" s="103"/>
      <c r="P248" s="103">
        <f t="shared" ref="P248" si="119">E248+J248</f>
        <v>0</v>
      </c>
      <c r="Q248" s="188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2" customFormat="1" ht="35.25" customHeight="1" x14ac:dyDescent="0.25">
      <c r="A249" s="60" t="s">
        <v>205</v>
      </c>
      <c r="B249" s="97" t="str">
        <f>'дод 5'!A225</f>
        <v>8340</v>
      </c>
      <c r="C249" s="97" t="str">
        <f>'дод 5'!B225</f>
        <v>0540</v>
      </c>
      <c r="D249" s="61" t="str">
        <f>'дод 5'!C225</f>
        <v>Природоохоронні заходи за рахунок цільових фондів</v>
      </c>
      <c r="E249" s="103">
        <f t="shared" si="105"/>
        <v>0</v>
      </c>
      <c r="F249" s="103"/>
      <c r="G249" s="103"/>
      <c r="H249" s="103"/>
      <c r="I249" s="103"/>
      <c r="J249" s="103">
        <f t="shared" si="107"/>
        <v>2928000</v>
      </c>
      <c r="K249" s="103"/>
      <c r="L249" s="103">
        <f>1442000+186000</f>
        <v>1628000</v>
      </c>
      <c r="M249" s="103"/>
      <c r="N249" s="103"/>
      <c r="O249" s="103">
        <v>1300000</v>
      </c>
      <c r="P249" s="103">
        <f t="shared" si="106"/>
        <v>2928000</v>
      </c>
      <c r="Q249" s="188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</row>
    <row r="250" spans="1:527" s="22" customFormat="1" ht="78.75" x14ac:dyDescent="0.25">
      <c r="A250" s="60" t="s">
        <v>591</v>
      </c>
      <c r="B250" s="97">
        <v>9730</v>
      </c>
      <c r="C250" s="60" t="s">
        <v>46</v>
      </c>
      <c r="D250" s="61" t="s">
        <v>592</v>
      </c>
      <c r="E250" s="103">
        <f t="shared" si="105"/>
        <v>25000000</v>
      </c>
      <c r="F250" s="103">
        <v>25000000</v>
      </c>
      <c r="G250" s="103"/>
      <c r="H250" s="103"/>
      <c r="I250" s="103"/>
      <c r="J250" s="103">
        <f t="shared" si="107"/>
        <v>0</v>
      </c>
      <c r="K250" s="103"/>
      <c r="L250" s="103"/>
      <c r="M250" s="103"/>
      <c r="N250" s="103"/>
      <c r="O250" s="103"/>
      <c r="P250" s="103">
        <f t="shared" si="106"/>
        <v>25000000</v>
      </c>
      <c r="Q250" s="188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2" customFormat="1" ht="20.25" customHeight="1" x14ac:dyDescent="0.25">
      <c r="A251" s="60" t="s">
        <v>206</v>
      </c>
      <c r="B251" s="97" t="str">
        <f>'дод 5'!A241</f>
        <v>9770</v>
      </c>
      <c r="C251" s="97" t="str">
        <f>'дод 5'!B241</f>
        <v>0180</v>
      </c>
      <c r="D251" s="61" t="str">
        <f>'дод 5'!C241</f>
        <v>Інші субвенції з місцевого бюджету</v>
      </c>
      <c r="E251" s="103">
        <f t="shared" si="105"/>
        <v>8550000</v>
      </c>
      <c r="F251" s="103">
        <f>4000000+4550000</f>
        <v>8550000</v>
      </c>
      <c r="G251" s="103"/>
      <c r="H251" s="103"/>
      <c r="I251" s="103"/>
      <c r="J251" s="103">
        <f t="shared" si="107"/>
        <v>6450000</v>
      </c>
      <c r="K251" s="103">
        <f>7000000-4000000+3450000</f>
        <v>6450000</v>
      </c>
      <c r="L251" s="103"/>
      <c r="M251" s="103"/>
      <c r="N251" s="103"/>
      <c r="O251" s="103">
        <f>7000000-4000000+3450000</f>
        <v>6450000</v>
      </c>
      <c r="P251" s="103">
        <f t="shared" si="106"/>
        <v>15000000</v>
      </c>
      <c r="Q251" s="188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</row>
    <row r="252" spans="1:527" s="27" customFormat="1" ht="33.75" customHeight="1" x14ac:dyDescent="0.25">
      <c r="A252" s="114" t="s">
        <v>28</v>
      </c>
      <c r="B252" s="116"/>
      <c r="C252" s="116"/>
      <c r="D252" s="111" t="s">
        <v>35</v>
      </c>
      <c r="E252" s="99">
        <f>E253</f>
        <v>6412819</v>
      </c>
      <c r="F252" s="99">
        <f t="shared" ref="F252:J253" si="120">F253</f>
        <v>6412819</v>
      </c>
      <c r="G252" s="99">
        <f t="shared" si="120"/>
        <v>5019800</v>
      </c>
      <c r="H252" s="99">
        <f t="shared" si="120"/>
        <v>102319</v>
      </c>
      <c r="I252" s="99">
        <f t="shared" si="120"/>
        <v>0</v>
      </c>
      <c r="J252" s="99">
        <f t="shared" si="120"/>
        <v>0</v>
      </c>
      <c r="K252" s="99">
        <f t="shared" ref="K252:K253" si="121">K253</f>
        <v>0</v>
      </c>
      <c r="L252" s="99">
        <f t="shared" ref="L252:L253" si="122">L253</f>
        <v>0</v>
      </c>
      <c r="M252" s="99">
        <f t="shared" ref="M252:M253" si="123">M253</f>
        <v>0</v>
      </c>
      <c r="N252" s="99">
        <f t="shared" ref="N252:N253" si="124">N253</f>
        <v>0</v>
      </c>
      <c r="O252" s="99">
        <f t="shared" ref="O252:P253" si="125">O253</f>
        <v>0</v>
      </c>
      <c r="P252" s="99">
        <f t="shared" si="125"/>
        <v>6412819</v>
      </c>
      <c r="Q252" s="188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  <c r="IT252" s="32"/>
      <c r="IU252" s="32"/>
      <c r="IV252" s="32"/>
      <c r="IW252" s="32"/>
      <c r="IX252" s="32"/>
      <c r="IY252" s="32"/>
      <c r="IZ252" s="32"/>
      <c r="JA252" s="32"/>
      <c r="JB252" s="32"/>
      <c r="JC252" s="32"/>
      <c r="JD252" s="32"/>
      <c r="JE252" s="32"/>
      <c r="JF252" s="32"/>
      <c r="JG252" s="32"/>
      <c r="JH252" s="32"/>
      <c r="JI252" s="32"/>
      <c r="JJ252" s="32"/>
      <c r="JK252" s="32"/>
      <c r="JL252" s="32"/>
      <c r="JM252" s="32"/>
      <c r="JN252" s="32"/>
      <c r="JO252" s="32"/>
      <c r="JP252" s="32"/>
      <c r="JQ252" s="32"/>
      <c r="JR252" s="32"/>
      <c r="JS252" s="32"/>
      <c r="JT252" s="32"/>
      <c r="JU252" s="32"/>
      <c r="JV252" s="32"/>
      <c r="JW252" s="32"/>
      <c r="JX252" s="32"/>
      <c r="JY252" s="32"/>
      <c r="JZ252" s="32"/>
      <c r="KA252" s="32"/>
      <c r="KB252" s="32"/>
      <c r="KC252" s="32"/>
      <c r="KD252" s="32"/>
      <c r="KE252" s="32"/>
      <c r="KF252" s="32"/>
      <c r="KG252" s="32"/>
      <c r="KH252" s="32"/>
      <c r="KI252" s="32"/>
      <c r="KJ252" s="32"/>
      <c r="KK252" s="32"/>
      <c r="KL252" s="32"/>
      <c r="KM252" s="32"/>
      <c r="KN252" s="32"/>
      <c r="KO252" s="32"/>
      <c r="KP252" s="32"/>
      <c r="KQ252" s="32"/>
      <c r="KR252" s="32"/>
      <c r="KS252" s="32"/>
      <c r="KT252" s="32"/>
      <c r="KU252" s="32"/>
      <c r="KV252" s="32"/>
      <c r="KW252" s="32"/>
      <c r="KX252" s="32"/>
      <c r="KY252" s="32"/>
      <c r="KZ252" s="32"/>
      <c r="LA252" s="32"/>
      <c r="LB252" s="32"/>
      <c r="LC252" s="32"/>
      <c r="LD252" s="32"/>
      <c r="LE252" s="32"/>
      <c r="LF252" s="32"/>
      <c r="LG252" s="32"/>
      <c r="LH252" s="32"/>
      <c r="LI252" s="32"/>
      <c r="LJ252" s="32"/>
      <c r="LK252" s="32"/>
      <c r="LL252" s="32"/>
      <c r="LM252" s="32"/>
      <c r="LN252" s="32"/>
      <c r="LO252" s="32"/>
      <c r="LP252" s="32"/>
      <c r="LQ252" s="32"/>
      <c r="LR252" s="32"/>
      <c r="LS252" s="32"/>
      <c r="LT252" s="32"/>
      <c r="LU252" s="32"/>
      <c r="LV252" s="32"/>
      <c r="LW252" s="32"/>
      <c r="LX252" s="32"/>
      <c r="LY252" s="32"/>
      <c r="LZ252" s="32"/>
      <c r="MA252" s="32"/>
      <c r="MB252" s="32"/>
      <c r="MC252" s="32"/>
      <c r="MD252" s="32"/>
      <c r="ME252" s="32"/>
      <c r="MF252" s="32"/>
      <c r="MG252" s="32"/>
      <c r="MH252" s="32"/>
      <c r="MI252" s="32"/>
      <c r="MJ252" s="32"/>
      <c r="MK252" s="32"/>
      <c r="ML252" s="32"/>
      <c r="MM252" s="32"/>
      <c r="MN252" s="32"/>
      <c r="MO252" s="32"/>
      <c r="MP252" s="32"/>
      <c r="MQ252" s="32"/>
      <c r="MR252" s="32"/>
      <c r="MS252" s="32"/>
      <c r="MT252" s="32"/>
      <c r="MU252" s="32"/>
      <c r="MV252" s="32"/>
      <c r="MW252" s="32"/>
      <c r="MX252" s="32"/>
      <c r="MY252" s="32"/>
      <c r="MZ252" s="32"/>
      <c r="NA252" s="32"/>
      <c r="NB252" s="32"/>
      <c r="NC252" s="32"/>
      <c r="ND252" s="32"/>
      <c r="NE252" s="32"/>
      <c r="NF252" s="32"/>
      <c r="NG252" s="32"/>
      <c r="NH252" s="32"/>
      <c r="NI252" s="32"/>
      <c r="NJ252" s="32"/>
      <c r="NK252" s="32"/>
      <c r="NL252" s="32"/>
      <c r="NM252" s="32"/>
      <c r="NN252" s="32"/>
      <c r="NO252" s="32"/>
      <c r="NP252" s="32"/>
      <c r="NQ252" s="32"/>
      <c r="NR252" s="32"/>
      <c r="NS252" s="32"/>
      <c r="NT252" s="32"/>
      <c r="NU252" s="32"/>
      <c r="NV252" s="32"/>
      <c r="NW252" s="32"/>
      <c r="NX252" s="32"/>
      <c r="NY252" s="32"/>
      <c r="NZ252" s="32"/>
      <c r="OA252" s="32"/>
      <c r="OB252" s="32"/>
      <c r="OC252" s="32"/>
      <c r="OD252" s="32"/>
      <c r="OE252" s="32"/>
      <c r="OF252" s="32"/>
      <c r="OG252" s="32"/>
      <c r="OH252" s="32"/>
      <c r="OI252" s="32"/>
      <c r="OJ252" s="32"/>
      <c r="OK252" s="32"/>
      <c r="OL252" s="32"/>
      <c r="OM252" s="32"/>
      <c r="ON252" s="32"/>
      <c r="OO252" s="32"/>
      <c r="OP252" s="32"/>
      <c r="OQ252" s="32"/>
      <c r="OR252" s="32"/>
      <c r="OS252" s="32"/>
      <c r="OT252" s="32"/>
      <c r="OU252" s="32"/>
      <c r="OV252" s="32"/>
      <c r="OW252" s="32"/>
      <c r="OX252" s="32"/>
      <c r="OY252" s="32"/>
      <c r="OZ252" s="32"/>
      <c r="PA252" s="32"/>
      <c r="PB252" s="32"/>
      <c r="PC252" s="32"/>
      <c r="PD252" s="32"/>
      <c r="PE252" s="32"/>
      <c r="PF252" s="32"/>
      <c r="PG252" s="32"/>
      <c r="PH252" s="32"/>
      <c r="PI252" s="32"/>
      <c r="PJ252" s="32"/>
      <c r="PK252" s="32"/>
      <c r="PL252" s="32"/>
      <c r="PM252" s="32"/>
      <c r="PN252" s="32"/>
      <c r="PO252" s="32"/>
      <c r="PP252" s="32"/>
      <c r="PQ252" s="32"/>
      <c r="PR252" s="32"/>
      <c r="PS252" s="32"/>
      <c r="PT252" s="32"/>
      <c r="PU252" s="32"/>
      <c r="PV252" s="32"/>
      <c r="PW252" s="32"/>
      <c r="PX252" s="32"/>
      <c r="PY252" s="32"/>
      <c r="PZ252" s="32"/>
      <c r="QA252" s="32"/>
      <c r="QB252" s="32"/>
      <c r="QC252" s="32"/>
      <c r="QD252" s="32"/>
      <c r="QE252" s="32"/>
      <c r="QF252" s="32"/>
      <c r="QG252" s="32"/>
      <c r="QH252" s="32"/>
      <c r="QI252" s="32"/>
      <c r="QJ252" s="32"/>
      <c r="QK252" s="32"/>
      <c r="QL252" s="32"/>
      <c r="QM252" s="32"/>
      <c r="QN252" s="32"/>
      <c r="QO252" s="32"/>
      <c r="QP252" s="32"/>
      <c r="QQ252" s="32"/>
      <c r="QR252" s="32"/>
      <c r="QS252" s="32"/>
      <c r="QT252" s="32"/>
      <c r="QU252" s="32"/>
      <c r="QV252" s="32"/>
      <c r="QW252" s="32"/>
      <c r="QX252" s="32"/>
      <c r="QY252" s="32"/>
      <c r="QZ252" s="32"/>
      <c r="RA252" s="32"/>
      <c r="RB252" s="32"/>
      <c r="RC252" s="32"/>
      <c r="RD252" s="32"/>
      <c r="RE252" s="32"/>
      <c r="RF252" s="32"/>
      <c r="RG252" s="32"/>
      <c r="RH252" s="32"/>
      <c r="RI252" s="32"/>
      <c r="RJ252" s="32"/>
      <c r="RK252" s="32"/>
      <c r="RL252" s="32"/>
      <c r="RM252" s="32"/>
      <c r="RN252" s="32"/>
      <c r="RO252" s="32"/>
      <c r="RP252" s="32"/>
      <c r="RQ252" s="32"/>
      <c r="RR252" s="32"/>
      <c r="RS252" s="32"/>
      <c r="RT252" s="32"/>
      <c r="RU252" s="32"/>
      <c r="RV252" s="32"/>
      <c r="RW252" s="32"/>
      <c r="RX252" s="32"/>
      <c r="RY252" s="32"/>
      <c r="RZ252" s="32"/>
      <c r="SA252" s="32"/>
      <c r="SB252" s="32"/>
      <c r="SC252" s="32"/>
      <c r="SD252" s="32"/>
      <c r="SE252" s="32"/>
      <c r="SF252" s="32"/>
      <c r="SG252" s="32"/>
      <c r="SH252" s="32"/>
      <c r="SI252" s="32"/>
      <c r="SJ252" s="32"/>
      <c r="SK252" s="32"/>
      <c r="SL252" s="32"/>
      <c r="SM252" s="32"/>
      <c r="SN252" s="32"/>
      <c r="SO252" s="32"/>
      <c r="SP252" s="32"/>
      <c r="SQ252" s="32"/>
      <c r="SR252" s="32"/>
      <c r="SS252" s="32"/>
      <c r="ST252" s="32"/>
      <c r="SU252" s="32"/>
      <c r="SV252" s="32"/>
      <c r="SW252" s="32"/>
      <c r="SX252" s="32"/>
      <c r="SY252" s="32"/>
      <c r="SZ252" s="32"/>
      <c r="TA252" s="32"/>
      <c r="TB252" s="32"/>
      <c r="TC252" s="32"/>
      <c r="TD252" s="32"/>
      <c r="TE252" s="32"/>
      <c r="TF252" s="32"/>
      <c r="TG252" s="32"/>
    </row>
    <row r="253" spans="1:527" s="34" customFormat="1" ht="36.75" customHeight="1" x14ac:dyDescent="0.25">
      <c r="A253" s="100" t="s">
        <v>120</v>
      </c>
      <c r="B253" s="113"/>
      <c r="C253" s="113"/>
      <c r="D253" s="81" t="s">
        <v>35</v>
      </c>
      <c r="E253" s="102">
        <f>E254</f>
        <v>6412819</v>
      </c>
      <c r="F253" s="102">
        <f t="shared" si="120"/>
        <v>6412819</v>
      </c>
      <c r="G253" s="102">
        <f t="shared" si="120"/>
        <v>5019800</v>
      </c>
      <c r="H253" s="102">
        <f t="shared" si="120"/>
        <v>102319</v>
      </c>
      <c r="I253" s="102">
        <f t="shared" si="120"/>
        <v>0</v>
      </c>
      <c r="J253" s="102">
        <f t="shared" si="120"/>
        <v>0</v>
      </c>
      <c r="K253" s="102">
        <f t="shared" si="121"/>
        <v>0</v>
      </c>
      <c r="L253" s="102">
        <f t="shared" si="122"/>
        <v>0</v>
      </c>
      <c r="M253" s="102">
        <f t="shared" si="123"/>
        <v>0</v>
      </c>
      <c r="N253" s="102">
        <f t="shared" si="124"/>
        <v>0</v>
      </c>
      <c r="O253" s="102">
        <f t="shared" si="125"/>
        <v>0</v>
      </c>
      <c r="P253" s="102">
        <f t="shared" si="125"/>
        <v>6412819</v>
      </c>
      <c r="Q253" s="188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  <c r="IW253" s="33"/>
      <c r="IX253" s="33"/>
      <c r="IY253" s="33"/>
      <c r="IZ253" s="33"/>
      <c r="JA253" s="33"/>
      <c r="JB253" s="33"/>
      <c r="JC253" s="33"/>
      <c r="JD253" s="33"/>
      <c r="JE253" s="33"/>
      <c r="JF253" s="33"/>
      <c r="JG253" s="33"/>
      <c r="JH253" s="33"/>
      <c r="JI253" s="33"/>
      <c r="JJ253" s="33"/>
      <c r="JK253" s="33"/>
      <c r="JL253" s="33"/>
      <c r="JM253" s="33"/>
      <c r="JN253" s="33"/>
      <c r="JO253" s="33"/>
      <c r="JP253" s="33"/>
      <c r="JQ253" s="33"/>
      <c r="JR253" s="33"/>
      <c r="JS253" s="33"/>
      <c r="JT253" s="33"/>
      <c r="JU253" s="33"/>
      <c r="JV253" s="33"/>
      <c r="JW253" s="33"/>
      <c r="JX253" s="33"/>
      <c r="JY253" s="33"/>
      <c r="JZ253" s="33"/>
      <c r="KA253" s="33"/>
      <c r="KB253" s="33"/>
      <c r="KC253" s="33"/>
      <c r="KD253" s="33"/>
      <c r="KE253" s="33"/>
      <c r="KF253" s="33"/>
      <c r="KG253" s="33"/>
      <c r="KH253" s="33"/>
      <c r="KI253" s="33"/>
      <c r="KJ253" s="33"/>
      <c r="KK253" s="33"/>
      <c r="KL253" s="33"/>
      <c r="KM253" s="33"/>
      <c r="KN253" s="33"/>
      <c r="KO253" s="33"/>
      <c r="KP253" s="33"/>
      <c r="KQ253" s="33"/>
      <c r="KR253" s="33"/>
      <c r="KS253" s="33"/>
      <c r="KT253" s="33"/>
      <c r="KU253" s="33"/>
      <c r="KV253" s="33"/>
      <c r="KW253" s="33"/>
      <c r="KX253" s="33"/>
      <c r="KY253" s="33"/>
      <c r="KZ253" s="33"/>
      <c r="LA253" s="33"/>
      <c r="LB253" s="33"/>
      <c r="LC253" s="33"/>
      <c r="LD253" s="33"/>
      <c r="LE253" s="33"/>
      <c r="LF253" s="33"/>
      <c r="LG253" s="33"/>
      <c r="LH253" s="33"/>
      <c r="LI253" s="33"/>
      <c r="LJ253" s="33"/>
      <c r="LK253" s="33"/>
      <c r="LL253" s="33"/>
      <c r="LM253" s="33"/>
      <c r="LN253" s="33"/>
      <c r="LO253" s="33"/>
      <c r="LP253" s="33"/>
      <c r="LQ253" s="33"/>
      <c r="LR253" s="33"/>
      <c r="LS253" s="33"/>
      <c r="LT253" s="33"/>
      <c r="LU253" s="33"/>
      <c r="LV253" s="33"/>
      <c r="LW253" s="33"/>
      <c r="LX253" s="33"/>
      <c r="LY253" s="33"/>
      <c r="LZ253" s="33"/>
      <c r="MA253" s="33"/>
      <c r="MB253" s="33"/>
      <c r="MC253" s="33"/>
      <c r="MD253" s="33"/>
      <c r="ME253" s="33"/>
      <c r="MF253" s="33"/>
      <c r="MG253" s="33"/>
      <c r="MH253" s="33"/>
      <c r="MI253" s="33"/>
      <c r="MJ253" s="33"/>
      <c r="MK253" s="33"/>
      <c r="ML253" s="33"/>
      <c r="MM253" s="33"/>
      <c r="MN253" s="33"/>
      <c r="MO253" s="33"/>
      <c r="MP253" s="33"/>
      <c r="MQ253" s="33"/>
      <c r="MR253" s="33"/>
      <c r="MS253" s="33"/>
      <c r="MT253" s="33"/>
      <c r="MU253" s="33"/>
      <c r="MV253" s="33"/>
      <c r="MW253" s="33"/>
      <c r="MX253" s="33"/>
      <c r="MY253" s="33"/>
      <c r="MZ253" s="33"/>
      <c r="NA253" s="33"/>
      <c r="NB253" s="33"/>
      <c r="NC253" s="33"/>
      <c r="ND253" s="33"/>
      <c r="NE253" s="33"/>
      <c r="NF253" s="33"/>
      <c r="NG253" s="33"/>
      <c r="NH253" s="33"/>
      <c r="NI253" s="33"/>
      <c r="NJ253" s="33"/>
      <c r="NK253" s="33"/>
      <c r="NL253" s="33"/>
      <c r="NM253" s="33"/>
      <c r="NN253" s="33"/>
      <c r="NO253" s="33"/>
      <c r="NP253" s="33"/>
      <c r="NQ253" s="33"/>
      <c r="NR253" s="33"/>
      <c r="NS253" s="33"/>
      <c r="NT253" s="33"/>
      <c r="NU253" s="33"/>
      <c r="NV253" s="33"/>
      <c r="NW253" s="33"/>
      <c r="NX253" s="33"/>
      <c r="NY253" s="33"/>
      <c r="NZ253" s="33"/>
      <c r="OA253" s="33"/>
      <c r="OB253" s="33"/>
      <c r="OC253" s="33"/>
      <c r="OD253" s="33"/>
      <c r="OE253" s="33"/>
      <c r="OF253" s="33"/>
      <c r="OG253" s="33"/>
      <c r="OH253" s="33"/>
      <c r="OI253" s="33"/>
      <c r="OJ253" s="33"/>
      <c r="OK253" s="33"/>
      <c r="OL253" s="33"/>
      <c r="OM253" s="33"/>
      <c r="ON253" s="33"/>
      <c r="OO253" s="33"/>
      <c r="OP253" s="33"/>
      <c r="OQ253" s="33"/>
      <c r="OR253" s="33"/>
      <c r="OS253" s="33"/>
      <c r="OT253" s="33"/>
      <c r="OU253" s="33"/>
      <c r="OV253" s="33"/>
      <c r="OW253" s="33"/>
      <c r="OX253" s="33"/>
      <c r="OY253" s="33"/>
      <c r="OZ253" s="33"/>
      <c r="PA253" s="33"/>
      <c r="PB253" s="33"/>
      <c r="PC253" s="33"/>
      <c r="PD253" s="33"/>
      <c r="PE253" s="33"/>
      <c r="PF253" s="33"/>
      <c r="PG253" s="33"/>
      <c r="PH253" s="33"/>
      <c r="PI253" s="33"/>
      <c r="PJ253" s="33"/>
      <c r="PK253" s="33"/>
      <c r="PL253" s="33"/>
      <c r="PM253" s="33"/>
      <c r="PN253" s="33"/>
      <c r="PO253" s="33"/>
      <c r="PP253" s="33"/>
      <c r="PQ253" s="33"/>
      <c r="PR253" s="33"/>
      <c r="PS253" s="33"/>
      <c r="PT253" s="33"/>
      <c r="PU253" s="33"/>
      <c r="PV253" s="33"/>
      <c r="PW253" s="33"/>
      <c r="PX253" s="33"/>
      <c r="PY253" s="33"/>
      <c r="PZ253" s="33"/>
      <c r="QA253" s="33"/>
      <c r="QB253" s="33"/>
      <c r="QC253" s="33"/>
      <c r="QD253" s="33"/>
      <c r="QE253" s="33"/>
      <c r="QF253" s="33"/>
      <c r="QG253" s="33"/>
      <c r="QH253" s="33"/>
      <c r="QI253" s="33"/>
      <c r="QJ253" s="33"/>
      <c r="QK253" s="33"/>
      <c r="QL253" s="33"/>
      <c r="QM253" s="33"/>
      <c r="QN253" s="33"/>
      <c r="QO253" s="33"/>
      <c r="QP253" s="33"/>
      <c r="QQ253" s="33"/>
      <c r="QR253" s="33"/>
      <c r="QS253" s="33"/>
      <c r="QT253" s="33"/>
      <c r="QU253" s="33"/>
      <c r="QV253" s="33"/>
      <c r="QW253" s="33"/>
      <c r="QX253" s="33"/>
      <c r="QY253" s="33"/>
      <c r="QZ253" s="33"/>
      <c r="RA253" s="33"/>
      <c r="RB253" s="33"/>
      <c r="RC253" s="33"/>
      <c r="RD253" s="33"/>
      <c r="RE253" s="33"/>
      <c r="RF253" s="33"/>
      <c r="RG253" s="33"/>
      <c r="RH253" s="33"/>
      <c r="RI253" s="33"/>
      <c r="RJ253" s="33"/>
      <c r="RK253" s="33"/>
      <c r="RL253" s="33"/>
      <c r="RM253" s="33"/>
      <c r="RN253" s="33"/>
      <c r="RO253" s="33"/>
      <c r="RP253" s="33"/>
      <c r="RQ253" s="33"/>
      <c r="RR253" s="33"/>
      <c r="RS253" s="33"/>
      <c r="RT253" s="33"/>
      <c r="RU253" s="33"/>
      <c r="RV253" s="33"/>
      <c r="RW253" s="33"/>
      <c r="RX253" s="33"/>
      <c r="RY253" s="33"/>
      <c r="RZ253" s="33"/>
      <c r="SA253" s="33"/>
      <c r="SB253" s="33"/>
      <c r="SC253" s="33"/>
      <c r="SD253" s="33"/>
      <c r="SE253" s="33"/>
      <c r="SF253" s="33"/>
      <c r="SG253" s="33"/>
      <c r="SH253" s="33"/>
      <c r="SI253" s="33"/>
      <c r="SJ253" s="33"/>
      <c r="SK253" s="33"/>
      <c r="SL253" s="33"/>
      <c r="SM253" s="33"/>
      <c r="SN253" s="33"/>
      <c r="SO253" s="33"/>
      <c r="SP253" s="33"/>
      <c r="SQ253" s="33"/>
      <c r="SR253" s="33"/>
      <c r="SS253" s="33"/>
      <c r="ST253" s="33"/>
      <c r="SU253" s="33"/>
      <c r="SV253" s="33"/>
      <c r="SW253" s="33"/>
      <c r="SX253" s="33"/>
      <c r="SY253" s="33"/>
      <c r="SZ253" s="33"/>
      <c r="TA253" s="33"/>
      <c r="TB253" s="33"/>
      <c r="TC253" s="33"/>
      <c r="TD253" s="33"/>
      <c r="TE253" s="33"/>
      <c r="TF253" s="33"/>
      <c r="TG253" s="33"/>
    </row>
    <row r="254" spans="1:527" s="22" customFormat="1" ht="47.25" x14ac:dyDescent="0.25">
      <c r="A254" s="60" t="s">
        <v>0</v>
      </c>
      <c r="B254" s="97" t="str">
        <f>'дод 5'!A20</f>
        <v>0160</v>
      </c>
      <c r="C254" s="97" t="str">
        <f>'дод 5'!B20</f>
        <v>0111</v>
      </c>
      <c r="D254" s="36" t="s">
        <v>503</v>
      </c>
      <c r="E254" s="103">
        <f>F254+I254</f>
        <v>6412819</v>
      </c>
      <c r="F254" s="103">
        <f>6378200+8000+26619</f>
        <v>6412819</v>
      </c>
      <c r="G254" s="103">
        <v>5019800</v>
      </c>
      <c r="H254" s="103">
        <f>75700+26619</f>
        <v>102319</v>
      </c>
      <c r="I254" s="103"/>
      <c r="J254" s="103">
        <f>L254+O254</f>
        <v>0</v>
      </c>
      <c r="K254" s="103">
        <f>8000-8000</f>
        <v>0</v>
      </c>
      <c r="L254" s="103"/>
      <c r="M254" s="103"/>
      <c r="N254" s="103"/>
      <c r="O254" s="103">
        <f>8000-8000</f>
        <v>0</v>
      </c>
      <c r="P254" s="103">
        <f>E254+J254</f>
        <v>6412819</v>
      </c>
      <c r="Q254" s="188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</row>
    <row r="255" spans="1:527" s="27" customFormat="1" ht="52.5" customHeight="1" x14ac:dyDescent="0.25">
      <c r="A255" s="114" t="s">
        <v>29</v>
      </c>
      <c r="B255" s="116"/>
      <c r="C255" s="116"/>
      <c r="D255" s="111" t="s">
        <v>34</v>
      </c>
      <c r="E255" s="99">
        <f>E256</f>
        <v>3729104.55</v>
      </c>
      <c r="F255" s="99">
        <f t="shared" ref="F255:J255" si="126">F256</f>
        <v>3729104.55</v>
      </c>
      <c r="G255" s="99">
        <f t="shared" si="126"/>
        <v>2146200</v>
      </c>
      <c r="H255" s="99">
        <f t="shared" si="126"/>
        <v>0</v>
      </c>
      <c r="I255" s="99">
        <f t="shared" si="126"/>
        <v>0</v>
      </c>
      <c r="J255" s="99">
        <f t="shared" si="126"/>
        <v>270865851.10000002</v>
      </c>
      <c r="K255" s="99">
        <f t="shared" ref="K255" si="127">K256</f>
        <v>257420568.44999999</v>
      </c>
      <c r="L255" s="99">
        <f t="shared" ref="L255" si="128">L256</f>
        <v>1900000</v>
      </c>
      <c r="M255" s="99">
        <f t="shared" ref="M255" si="129">M256</f>
        <v>1332000</v>
      </c>
      <c r="N255" s="99">
        <f t="shared" ref="N255" si="130">N256</f>
        <v>71500</v>
      </c>
      <c r="O255" s="99">
        <f t="shared" ref="O255:P255" si="131">O256</f>
        <v>268965851.10000002</v>
      </c>
      <c r="P255" s="99">
        <f t="shared" si="131"/>
        <v>274594955.64999998</v>
      </c>
      <c r="Q255" s="188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  <c r="IT255" s="32"/>
      <c r="IU255" s="32"/>
      <c r="IV255" s="32"/>
      <c r="IW255" s="32"/>
      <c r="IX255" s="32"/>
      <c r="IY255" s="32"/>
      <c r="IZ255" s="32"/>
      <c r="JA255" s="32"/>
      <c r="JB255" s="32"/>
      <c r="JC255" s="32"/>
      <c r="JD255" s="32"/>
      <c r="JE255" s="32"/>
      <c r="JF255" s="32"/>
      <c r="JG255" s="32"/>
      <c r="JH255" s="32"/>
      <c r="JI255" s="32"/>
      <c r="JJ255" s="32"/>
      <c r="JK255" s="32"/>
      <c r="JL255" s="32"/>
      <c r="JM255" s="32"/>
      <c r="JN255" s="32"/>
      <c r="JO255" s="32"/>
      <c r="JP255" s="32"/>
      <c r="JQ255" s="32"/>
      <c r="JR255" s="32"/>
      <c r="JS255" s="32"/>
      <c r="JT255" s="32"/>
      <c r="JU255" s="32"/>
      <c r="JV255" s="32"/>
      <c r="JW255" s="32"/>
      <c r="JX255" s="32"/>
      <c r="JY255" s="32"/>
      <c r="JZ255" s="32"/>
      <c r="KA255" s="32"/>
      <c r="KB255" s="32"/>
      <c r="KC255" s="32"/>
      <c r="KD255" s="32"/>
      <c r="KE255" s="32"/>
      <c r="KF255" s="32"/>
      <c r="KG255" s="32"/>
      <c r="KH255" s="32"/>
      <c r="KI255" s="32"/>
      <c r="KJ255" s="32"/>
      <c r="KK255" s="32"/>
      <c r="KL255" s="32"/>
      <c r="KM255" s="32"/>
      <c r="KN255" s="32"/>
      <c r="KO255" s="32"/>
      <c r="KP255" s="32"/>
      <c r="KQ255" s="32"/>
      <c r="KR255" s="32"/>
      <c r="KS255" s="32"/>
      <c r="KT255" s="32"/>
      <c r="KU255" s="32"/>
      <c r="KV255" s="32"/>
      <c r="KW255" s="32"/>
      <c r="KX255" s="32"/>
      <c r="KY255" s="32"/>
      <c r="KZ255" s="32"/>
      <c r="LA255" s="32"/>
      <c r="LB255" s="32"/>
      <c r="LC255" s="32"/>
      <c r="LD255" s="32"/>
      <c r="LE255" s="32"/>
      <c r="LF255" s="32"/>
      <c r="LG255" s="32"/>
      <c r="LH255" s="32"/>
      <c r="LI255" s="32"/>
      <c r="LJ255" s="32"/>
      <c r="LK255" s="32"/>
      <c r="LL255" s="32"/>
      <c r="LM255" s="32"/>
      <c r="LN255" s="32"/>
      <c r="LO255" s="32"/>
      <c r="LP255" s="32"/>
      <c r="LQ255" s="32"/>
      <c r="LR255" s="32"/>
      <c r="LS255" s="32"/>
      <c r="LT255" s="32"/>
      <c r="LU255" s="32"/>
      <c r="LV255" s="32"/>
      <c r="LW255" s="32"/>
      <c r="LX255" s="32"/>
      <c r="LY255" s="32"/>
      <c r="LZ255" s="32"/>
      <c r="MA255" s="32"/>
      <c r="MB255" s="32"/>
      <c r="MC255" s="32"/>
      <c r="MD255" s="32"/>
      <c r="ME255" s="32"/>
      <c r="MF255" s="32"/>
      <c r="MG255" s="32"/>
      <c r="MH255" s="32"/>
      <c r="MI255" s="32"/>
      <c r="MJ255" s="32"/>
      <c r="MK255" s="32"/>
      <c r="ML255" s="32"/>
      <c r="MM255" s="32"/>
      <c r="MN255" s="32"/>
      <c r="MO255" s="32"/>
      <c r="MP255" s="32"/>
      <c r="MQ255" s="32"/>
      <c r="MR255" s="32"/>
      <c r="MS255" s="32"/>
      <c r="MT255" s="32"/>
      <c r="MU255" s="32"/>
      <c r="MV255" s="32"/>
      <c r="MW255" s="32"/>
      <c r="MX255" s="32"/>
      <c r="MY255" s="32"/>
      <c r="MZ255" s="32"/>
      <c r="NA255" s="32"/>
      <c r="NB255" s="32"/>
      <c r="NC255" s="32"/>
      <c r="ND255" s="32"/>
      <c r="NE255" s="32"/>
      <c r="NF255" s="32"/>
      <c r="NG255" s="32"/>
      <c r="NH255" s="32"/>
      <c r="NI255" s="32"/>
      <c r="NJ255" s="32"/>
      <c r="NK255" s="32"/>
      <c r="NL255" s="32"/>
      <c r="NM255" s="32"/>
      <c r="NN255" s="32"/>
      <c r="NO255" s="32"/>
      <c r="NP255" s="32"/>
      <c r="NQ255" s="32"/>
      <c r="NR255" s="32"/>
      <c r="NS255" s="32"/>
      <c r="NT255" s="32"/>
      <c r="NU255" s="32"/>
      <c r="NV255" s="32"/>
      <c r="NW255" s="32"/>
      <c r="NX255" s="32"/>
      <c r="NY255" s="32"/>
      <c r="NZ255" s="32"/>
      <c r="OA255" s="32"/>
      <c r="OB255" s="32"/>
      <c r="OC255" s="32"/>
      <c r="OD255" s="32"/>
      <c r="OE255" s="32"/>
      <c r="OF255" s="32"/>
      <c r="OG255" s="32"/>
      <c r="OH255" s="32"/>
      <c r="OI255" s="32"/>
      <c r="OJ255" s="32"/>
      <c r="OK255" s="32"/>
      <c r="OL255" s="32"/>
      <c r="OM255" s="32"/>
      <c r="ON255" s="32"/>
      <c r="OO255" s="32"/>
      <c r="OP255" s="32"/>
      <c r="OQ255" s="32"/>
      <c r="OR255" s="32"/>
      <c r="OS255" s="32"/>
      <c r="OT255" s="32"/>
      <c r="OU255" s="32"/>
      <c r="OV255" s="32"/>
      <c r="OW255" s="32"/>
      <c r="OX255" s="32"/>
      <c r="OY255" s="32"/>
      <c r="OZ255" s="32"/>
      <c r="PA255" s="32"/>
      <c r="PB255" s="32"/>
      <c r="PC255" s="32"/>
      <c r="PD255" s="32"/>
      <c r="PE255" s="32"/>
      <c r="PF255" s="32"/>
      <c r="PG255" s="32"/>
      <c r="PH255" s="32"/>
      <c r="PI255" s="32"/>
      <c r="PJ255" s="32"/>
      <c r="PK255" s="32"/>
      <c r="PL255" s="32"/>
      <c r="PM255" s="32"/>
      <c r="PN255" s="32"/>
      <c r="PO255" s="32"/>
      <c r="PP255" s="32"/>
      <c r="PQ255" s="32"/>
      <c r="PR255" s="32"/>
      <c r="PS255" s="32"/>
      <c r="PT255" s="32"/>
      <c r="PU255" s="32"/>
      <c r="PV255" s="32"/>
      <c r="PW255" s="32"/>
      <c r="PX255" s="32"/>
      <c r="PY255" s="32"/>
      <c r="PZ255" s="32"/>
      <c r="QA255" s="32"/>
      <c r="QB255" s="32"/>
      <c r="QC255" s="32"/>
      <c r="QD255" s="32"/>
      <c r="QE255" s="32"/>
      <c r="QF255" s="32"/>
      <c r="QG255" s="32"/>
      <c r="QH255" s="32"/>
      <c r="QI255" s="32"/>
      <c r="QJ255" s="32"/>
      <c r="QK255" s="32"/>
      <c r="QL255" s="32"/>
      <c r="QM255" s="32"/>
      <c r="QN255" s="32"/>
      <c r="QO255" s="32"/>
      <c r="QP255" s="32"/>
      <c r="QQ255" s="32"/>
      <c r="QR255" s="32"/>
      <c r="QS255" s="32"/>
      <c r="QT255" s="32"/>
      <c r="QU255" s="32"/>
      <c r="QV255" s="32"/>
      <c r="QW255" s="32"/>
      <c r="QX255" s="32"/>
      <c r="QY255" s="32"/>
      <c r="QZ255" s="32"/>
      <c r="RA255" s="32"/>
      <c r="RB255" s="32"/>
      <c r="RC255" s="32"/>
      <c r="RD255" s="32"/>
      <c r="RE255" s="32"/>
      <c r="RF255" s="32"/>
      <c r="RG255" s="32"/>
      <c r="RH255" s="32"/>
      <c r="RI255" s="32"/>
      <c r="RJ255" s="32"/>
      <c r="RK255" s="32"/>
      <c r="RL255" s="32"/>
      <c r="RM255" s="32"/>
      <c r="RN255" s="32"/>
      <c r="RO255" s="32"/>
      <c r="RP255" s="32"/>
      <c r="RQ255" s="32"/>
      <c r="RR255" s="32"/>
      <c r="RS255" s="32"/>
      <c r="RT255" s="32"/>
      <c r="RU255" s="32"/>
      <c r="RV255" s="32"/>
      <c r="RW255" s="32"/>
      <c r="RX255" s="32"/>
      <c r="RY255" s="32"/>
      <c r="RZ255" s="32"/>
      <c r="SA255" s="32"/>
      <c r="SB255" s="32"/>
      <c r="SC255" s="32"/>
      <c r="SD255" s="32"/>
      <c r="SE255" s="32"/>
      <c r="SF255" s="32"/>
      <c r="SG255" s="32"/>
      <c r="SH255" s="32"/>
      <c r="SI255" s="32"/>
      <c r="SJ255" s="32"/>
      <c r="SK255" s="32"/>
      <c r="SL255" s="32"/>
      <c r="SM255" s="32"/>
      <c r="SN255" s="32"/>
      <c r="SO255" s="32"/>
      <c r="SP255" s="32"/>
      <c r="SQ255" s="32"/>
      <c r="SR255" s="32"/>
      <c r="SS255" s="32"/>
      <c r="ST255" s="32"/>
      <c r="SU255" s="32"/>
      <c r="SV255" s="32"/>
      <c r="SW255" s="32"/>
      <c r="SX255" s="32"/>
      <c r="SY255" s="32"/>
      <c r="SZ255" s="32"/>
      <c r="TA255" s="32"/>
      <c r="TB255" s="32"/>
      <c r="TC255" s="32"/>
      <c r="TD255" s="32"/>
      <c r="TE255" s="32"/>
      <c r="TF255" s="32"/>
      <c r="TG255" s="32"/>
    </row>
    <row r="256" spans="1:527" s="34" customFormat="1" ht="47.25" x14ac:dyDescent="0.25">
      <c r="A256" s="100" t="s">
        <v>30</v>
      </c>
      <c r="B256" s="113"/>
      <c r="C256" s="113"/>
      <c r="D256" s="81" t="s">
        <v>422</v>
      </c>
      <c r="E256" s="102">
        <f>SUM(E258+E259+E260+E261+E262+E263+E264+E266+E267+E268+E269+E270+E271+E265+E273+E274)</f>
        <v>3729104.55</v>
      </c>
      <c r="F256" s="102">
        <f t="shared" ref="F256:P256" si="132">SUM(F258+F259+F260+F261+F262+F263+F264+F266+F267+F268+F269+F270+F271+F265+F273+F274)</f>
        <v>3729104.55</v>
      </c>
      <c r="G256" s="102">
        <f t="shared" si="132"/>
        <v>2146200</v>
      </c>
      <c r="H256" s="102">
        <f t="shared" si="132"/>
        <v>0</v>
      </c>
      <c r="I256" s="102">
        <f t="shared" si="132"/>
        <v>0</v>
      </c>
      <c r="J256" s="102">
        <f t="shared" si="132"/>
        <v>270865851.10000002</v>
      </c>
      <c r="K256" s="102">
        <f t="shared" si="132"/>
        <v>257420568.44999999</v>
      </c>
      <c r="L256" s="102">
        <f t="shared" si="132"/>
        <v>1900000</v>
      </c>
      <c r="M256" s="102">
        <f t="shared" si="132"/>
        <v>1332000</v>
      </c>
      <c r="N256" s="102">
        <f t="shared" si="132"/>
        <v>71500</v>
      </c>
      <c r="O256" s="102">
        <f t="shared" si="132"/>
        <v>268965851.10000002</v>
      </c>
      <c r="P256" s="102">
        <f t="shared" si="132"/>
        <v>274594955.64999998</v>
      </c>
      <c r="Q256" s="188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  <c r="IW256" s="33"/>
      <c r="IX256" s="33"/>
      <c r="IY256" s="33"/>
      <c r="IZ256" s="33"/>
      <c r="JA256" s="33"/>
      <c r="JB256" s="33"/>
      <c r="JC256" s="33"/>
      <c r="JD256" s="33"/>
      <c r="JE256" s="33"/>
      <c r="JF256" s="33"/>
      <c r="JG256" s="33"/>
      <c r="JH256" s="33"/>
      <c r="JI256" s="33"/>
      <c r="JJ256" s="33"/>
      <c r="JK256" s="33"/>
      <c r="JL256" s="33"/>
      <c r="JM256" s="33"/>
      <c r="JN256" s="33"/>
      <c r="JO256" s="33"/>
      <c r="JP256" s="33"/>
      <c r="JQ256" s="33"/>
      <c r="JR256" s="33"/>
      <c r="JS256" s="33"/>
      <c r="JT256" s="33"/>
      <c r="JU256" s="33"/>
      <c r="JV256" s="33"/>
      <c r="JW256" s="33"/>
      <c r="JX256" s="33"/>
      <c r="JY256" s="33"/>
      <c r="JZ256" s="33"/>
      <c r="KA256" s="33"/>
      <c r="KB256" s="33"/>
      <c r="KC256" s="33"/>
      <c r="KD256" s="33"/>
      <c r="KE256" s="33"/>
      <c r="KF256" s="33"/>
      <c r="KG256" s="33"/>
      <c r="KH256" s="33"/>
      <c r="KI256" s="33"/>
      <c r="KJ256" s="33"/>
      <c r="KK256" s="33"/>
      <c r="KL256" s="33"/>
      <c r="KM256" s="33"/>
      <c r="KN256" s="33"/>
      <c r="KO256" s="33"/>
      <c r="KP256" s="33"/>
      <c r="KQ256" s="33"/>
      <c r="KR256" s="33"/>
      <c r="KS256" s="33"/>
      <c r="KT256" s="33"/>
      <c r="KU256" s="33"/>
      <c r="KV256" s="33"/>
      <c r="KW256" s="33"/>
      <c r="KX256" s="33"/>
      <c r="KY256" s="33"/>
      <c r="KZ256" s="33"/>
      <c r="LA256" s="33"/>
      <c r="LB256" s="33"/>
      <c r="LC256" s="33"/>
      <c r="LD256" s="33"/>
      <c r="LE256" s="33"/>
      <c r="LF256" s="33"/>
      <c r="LG256" s="33"/>
      <c r="LH256" s="33"/>
      <c r="LI256" s="33"/>
      <c r="LJ256" s="33"/>
      <c r="LK256" s="33"/>
      <c r="LL256" s="33"/>
      <c r="LM256" s="33"/>
      <c r="LN256" s="33"/>
      <c r="LO256" s="33"/>
      <c r="LP256" s="33"/>
      <c r="LQ256" s="33"/>
      <c r="LR256" s="33"/>
      <c r="LS256" s="33"/>
      <c r="LT256" s="33"/>
      <c r="LU256" s="33"/>
      <c r="LV256" s="33"/>
      <c r="LW256" s="33"/>
      <c r="LX256" s="33"/>
      <c r="LY256" s="33"/>
      <c r="LZ256" s="33"/>
      <c r="MA256" s="33"/>
      <c r="MB256" s="33"/>
      <c r="MC256" s="33"/>
      <c r="MD256" s="33"/>
      <c r="ME256" s="33"/>
      <c r="MF256" s="33"/>
      <c r="MG256" s="33"/>
      <c r="MH256" s="33"/>
      <c r="MI256" s="33"/>
      <c r="MJ256" s="33"/>
      <c r="MK256" s="33"/>
      <c r="ML256" s="33"/>
      <c r="MM256" s="33"/>
      <c r="MN256" s="33"/>
      <c r="MO256" s="33"/>
      <c r="MP256" s="33"/>
      <c r="MQ256" s="33"/>
      <c r="MR256" s="33"/>
      <c r="MS256" s="33"/>
      <c r="MT256" s="33"/>
      <c r="MU256" s="33"/>
      <c r="MV256" s="33"/>
      <c r="MW256" s="33"/>
      <c r="MX256" s="33"/>
      <c r="MY256" s="33"/>
      <c r="MZ256" s="33"/>
      <c r="NA256" s="33"/>
      <c r="NB256" s="33"/>
      <c r="NC256" s="33"/>
      <c r="ND256" s="33"/>
      <c r="NE256" s="33"/>
      <c r="NF256" s="33"/>
      <c r="NG256" s="33"/>
      <c r="NH256" s="33"/>
      <c r="NI256" s="33"/>
      <c r="NJ256" s="33"/>
      <c r="NK256" s="33"/>
      <c r="NL256" s="33"/>
      <c r="NM256" s="33"/>
      <c r="NN256" s="33"/>
      <c r="NO256" s="33"/>
      <c r="NP256" s="33"/>
      <c r="NQ256" s="33"/>
      <c r="NR256" s="33"/>
      <c r="NS256" s="33"/>
      <c r="NT256" s="33"/>
      <c r="NU256" s="33"/>
      <c r="NV256" s="33"/>
      <c r="NW256" s="33"/>
      <c r="NX256" s="33"/>
      <c r="NY256" s="33"/>
      <c r="NZ256" s="33"/>
      <c r="OA256" s="33"/>
      <c r="OB256" s="33"/>
      <c r="OC256" s="33"/>
      <c r="OD256" s="33"/>
      <c r="OE256" s="33"/>
      <c r="OF256" s="33"/>
      <c r="OG256" s="33"/>
      <c r="OH256" s="33"/>
      <c r="OI256" s="33"/>
      <c r="OJ256" s="33"/>
      <c r="OK256" s="33"/>
      <c r="OL256" s="33"/>
      <c r="OM256" s="33"/>
      <c r="ON256" s="33"/>
      <c r="OO256" s="33"/>
      <c r="OP256" s="33"/>
      <c r="OQ256" s="33"/>
      <c r="OR256" s="33"/>
      <c r="OS256" s="33"/>
      <c r="OT256" s="33"/>
      <c r="OU256" s="33"/>
      <c r="OV256" s="33"/>
      <c r="OW256" s="33"/>
      <c r="OX256" s="33"/>
      <c r="OY256" s="33"/>
      <c r="OZ256" s="33"/>
      <c r="PA256" s="33"/>
      <c r="PB256" s="33"/>
      <c r="PC256" s="33"/>
      <c r="PD256" s="33"/>
      <c r="PE256" s="33"/>
      <c r="PF256" s="33"/>
      <c r="PG256" s="33"/>
      <c r="PH256" s="33"/>
      <c r="PI256" s="33"/>
      <c r="PJ256" s="33"/>
      <c r="PK256" s="33"/>
      <c r="PL256" s="33"/>
      <c r="PM256" s="33"/>
      <c r="PN256" s="33"/>
      <c r="PO256" s="33"/>
      <c r="PP256" s="33"/>
      <c r="PQ256" s="33"/>
      <c r="PR256" s="33"/>
      <c r="PS256" s="33"/>
      <c r="PT256" s="33"/>
      <c r="PU256" s="33"/>
      <c r="PV256" s="33"/>
      <c r="PW256" s="33"/>
      <c r="PX256" s="33"/>
      <c r="PY256" s="33"/>
      <c r="PZ256" s="33"/>
      <c r="QA256" s="33"/>
      <c r="QB256" s="33"/>
      <c r="QC256" s="33"/>
      <c r="QD256" s="33"/>
      <c r="QE256" s="33"/>
      <c r="QF256" s="33"/>
      <c r="QG256" s="33"/>
      <c r="QH256" s="33"/>
      <c r="QI256" s="33"/>
      <c r="QJ256" s="33"/>
      <c r="QK256" s="33"/>
      <c r="QL256" s="33"/>
      <c r="QM256" s="33"/>
      <c r="QN256" s="33"/>
      <c r="QO256" s="33"/>
      <c r="QP256" s="33"/>
      <c r="QQ256" s="33"/>
      <c r="QR256" s="33"/>
      <c r="QS256" s="33"/>
      <c r="QT256" s="33"/>
      <c r="QU256" s="33"/>
      <c r="QV256" s="33"/>
      <c r="QW256" s="33"/>
      <c r="QX256" s="33"/>
      <c r="QY256" s="33"/>
      <c r="QZ256" s="33"/>
      <c r="RA256" s="33"/>
      <c r="RB256" s="33"/>
      <c r="RC256" s="33"/>
      <c r="RD256" s="33"/>
      <c r="RE256" s="33"/>
      <c r="RF256" s="33"/>
      <c r="RG256" s="33"/>
      <c r="RH256" s="33"/>
      <c r="RI256" s="33"/>
      <c r="RJ256" s="33"/>
      <c r="RK256" s="33"/>
      <c r="RL256" s="33"/>
      <c r="RM256" s="33"/>
      <c r="RN256" s="33"/>
      <c r="RO256" s="33"/>
      <c r="RP256" s="33"/>
      <c r="RQ256" s="33"/>
      <c r="RR256" s="33"/>
      <c r="RS256" s="33"/>
      <c r="RT256" s="33"/>
      <c r="RU256" s="33"/>
      <c r="RV256" s="33"/>
      <c r="RW256" s="33"/>
      <c r="RX256" s="33"/>
      <c r="RY256" s="33"/>
      <c r="RZ256" s="33"/>
      <c r="SA256" s="33"/>
      <c r="SB256" s="33"/>
      <c r="SC256" s="33"/>
      <c r="SD256" s="33"/>
      <c r="SE256" s="33"/>
      <c r="SF256" s="33"/>
      <c r="SG256" s="33"/>
      <c r="SH256" s="33"/>
      <c r="SI256" s="33"/>
      <c r="SJ256" s="33"/>
      <c r="SK256" s="33"/>
      <c r="SL256" s="33"/>
      <c r="SM256" s="33"/>
      <c r="SN256" s="33"/>
      <c r="SO256" s="33"/>
      <c r="SP256" s="33"/>
      <c r="SQ256" s="33"/>
      <c r="SR256" s="33"/>
      <c r="SS256" s="33"/>
      <c r="ST256" s="33"/>
      <c r="SU256" s="33"/>
      <c r="SV256" s="33"/>
      <c r="SW256" s="33"/>
      <c r="SX256" s="33"/>
      <c r="SY256" s="33"/>
      <c r="SZ256" s="33"/>
      <c r="TA256" s="33"/>
      <c r="TB256" s="33"/>
      <c r="TC256" s="33"/>
      <c r="TD256" s="33"/>
      <c r="TE256" s="33"/>
      <c r="TF256" s="33"/>
      <c r="TG256" s="33"/>
    </row>
    <row r="257" spans="1:527" s="34" customFormat="1" ht="17.25" customHeight="1" x14ac:dyDescent="0.25">
      <c r="A257" s="100"/>
      <c r="B257" s="113"/>
      <c r="C257" s="113"/>
      <c r="D257" s="87" t="s">
        <v>421</v>
      </c>
      <c r="E257" s="102">
        <f>E272</f>
        <v>0</v>
      </c>
      <c r="F257" s="102">
        <f t="shared" ref="F257:P257" si="133">F272</f>
        <v>0</v>
      </c>
      <c r="G257" s="102">
        <f t="shared" si="133"/>
        <v>0</v>
      </c>
      <c r="H257" s="102">
        <f t="shared" si="133"/>
        <v>0</v>
      </c>
      <c r="I257" s="102">
        <f t="shared" si="133"/>
        <v>0</v>
      </c>
      <c r="J257" s="102">
        <f t="shared" si="133"/>
        <v>96859595</v>
      </c>
      <c r="K257" s="102">
        <f t="shared" si="133"/>
        <v>96859595</v>
      </c>
      <c r="L257" s="102">
        <f t="shared" si="133"/>
        <v>0</v>
      </c>
      <c r="M257" s="102">
        <f t="shared" si="133"/>
        <v>0</v>
      </c>
      <c r="N257" s="102">
        <f t="shared" si="133"/>
        <v>0</v>
      </c>
      <c r="O257" s="102">
        <f t="shared" si="133"/>
        <v>96859595</v>
      </c>
      <c r="P257" s="102">
        <f t="shared" si="133"/>
        <v>96859595</v>
      </c>
      <c r="Q257" s="188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3"/>
      <c r="KU257" s="33"/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3"/>
      <c r="LX257" s="33"/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  <c r="MZ257" s="33"/>
      <c r="NA257" s="33"/>
      <c r="NB257" s="33"/>
      <c r="NC257" s="33"/>
      <c r="ND257" s="33"/>
      <c r="NE257" s="33"/>
      <c r="NF257" s="33"/>
      <c r="NG257" s="33"/>
      <c r="NH257" s="33"/>
      <c r="NI257" s="33"/>
      <c r="NJ257" s="33"/>
      <c r="NK257" s="33"/>
      <c r="NL257" s="33"/>
      <c r="NM257" s="33"/>
      <c r="NN257" s="33"/>
      <c r="NO257" s="33"/>
      <c r="NP257" s="33"/>
      <c r="NQ257" s="33"/>
      <c r="NR257" s="33"/>
      <c r="NS257" s="33"/>
      <c r="NT257" s="33"/>
      <c r="NU257" s="33"/>
      <c r="NV257" s="33"/>
      <c r="NW257" s="33"/>
      <c r="NX257" s="33"/>
      <c r="NY257" s="33"/>
      <c r="NZ257" s="33"/>
      <c r="OA257" s="33"/>
      <c r="OB257" s="33"/>
      <c r="OC257" s="33"/>
      <c r="OD257" s="33"/>
      <c r="OE257" s="33"/>
      <c r="OF257" s="33"/>
      <c r="OG257" s="33"/>
      <c r="OH257" s="33"/>
      <c r="OI257" s="33"/>
      <c r="OJ257" s="33"/>
      <c r="OK257" s="33"/>
      <c r="OL257" s="33"/>
      <c r="OM257" s="33"/>
      <c r="ON257" s="33"/>
      <c r="OO257" s="33"/>
      <c r="OP257" s="33"/>
      <c r="OQ257" s="33"/>
      <c r="OR257" s="33"/>
      <c r="OS257" s="33"/>
      <c r="OT257" s="33"/>
      <c r="OU257" s="33"/>
      <c r="OV257" s="33"/>
      <c r="OW257" s="33"/>
      <c r="OX257" s="33"/>
      <c r="OY257" s="33"/>
      <c r="OZ257" s="33"/>
      <c r="PA257" s="33"/>
      <c r="PB257" s="33"/>
      <c r="PC257" s="33"/>
      <c r="PD257" s="33"/>
      <c r="PE257" s="33"/>
      <c r="PF257" s="33"/>
      <c r="PG257" s="33"/>
      <c r="PH257" s="33"/>
      <c r="PI257" s="33"/>
      <c r="PJ257" s="33"/>
      <c r="PK257" s="33"/>
      <c r="PL257" s="33"/>
      <c r="PM257" s="33"/>
      <c r="PN257" s="33"/>
      <c r="PO257" s="33"/>
      <c r="PP257" s="33"/>
      <c r="PQ257" s="33"/>
      <c r="PR257" s="33"/>
      <c r="PS257" s="33"/>
      <c r="PT257" s="33"/>
      <c r="PU257" s="33"/>
      <c r="PV257" s="33"/>
      <c r="PW257" s="33"/>
      <c r="PX257" s="33"/>
      <c r="PY257" s="33"/>
      <c r="PZ257" s="33"/>
      <c r="QA257" s="33"/>
      <c r="QB257" s="33"/>
      <c r="QC257" s="33"/>
      <c r="QD257" s="33"/>
      <c r="QE257" s="33"/>
      <c r="QF257" s="33"/>
      <c r="QG257" s="33"/>
      <c r="QH257" s="33"/>
      <c r="QI257" s="33"/>
      <c r="QJ257" s="33"/>
      <c r="QK257" s="33"/>
      <c r="QL257" s="33"/>
      <c r="QM257" s="33"/>
      <c r="QN257" s="33"/>
      <c r="QO257" s="33"/>
      <c r="QP257" s="33"/>
      <c r="QQ257" s="33"/>
      <c r="QR257" s="33"/>
      <c r="QS257" s="33"/>
      <c r="QT257" s="33"/>
      <c r="QU257" s="33"/>
      <c r="QV257" s="33"/>
      <c r="QW257" s="33"/>
      <c r="QX257" s="33"/>
      <c r="QY257" s="33"/>
      <c r="QZ257" s="33"/>
      <c r="RA257" s="33"/>
      <c r="RB257" s="33"/>
      <c r="RC257" s="33"/>
      <c r="RD257" s="33"/>
      <c r="RE257" s="33"/>
      <c r="RF257" s="33"/>
      <c r="RG257" s="33"/>
      <c r="RH257" s="33"/>
      <c r="RI257" s="33"/>
      <c r="RJ257" s="33"/>
      <c r="RK257" s="33"/>
      <c r="RL257" s="33"/>
      <c r="RM257" s="33"/>
      <c r="RN257" s="33"/>
      <c r="RO257" s="33"/>
      <c r="RP257" s="33"/>
      <c r="RQ257" s="33"/>
      <c r="RR257" s="33"/>
      <c r="RS257" s="33"/>
      <c r="RT257" s="33"/>
      <c r="RU257" s="33"/>
      <c r="RV257" s="33"/>
      <c r="RW257" s="33"/>
      <c r="RX257" s="33"/>
      <c r="RY257" s="33"/>
      <c r="RZ257" s="33"/>
      <c r="SA257" s="33"/>
      <c r="SB257" s="33"/>
      <c r="SC257" s="33"/>
      <c r="SD257" s="33"/>
      <c r="SE257" s="33"/>
      <c r="SF257" s="33"/>
      <c r="SG257" s="33"/>
      <c r="SH257" s="33"/>
      <c r="SI257" s="33"/>
      <c r="SJ257" s="33"/>
      <c r="SK257" s="33"/>
      <c r="SL257" s="33"/>
      <c r="SM257" s="33"/>
      <c r="SN257" s="33"/>
      <c r="SO257" s="33"/>
      <c r="SP257" s="33"/>
      <c r="SQ257" s="33"/>
      <c r="SR257" s="33"/>
      <c r="SS257" s="33"/>
      <c r="ST257" s="33"/>
      <c r="SU257" s="33"/>
      <c r="SV257" s="33"/>
      <c r="SW257" s="33"/>
      <c r="SX257" s="33"/>
      <c r="SY257" s="33"/>
      <c r="SZ257" s="33"/>
      <c r="TA257" s="33"/>
      <c r="TB257" s="33"/>
      <c r="TC257" s="33"/>
      <c r="TD257" s="33"/>
      <c r="TE257" s="33"/>
      <c r="TF257" s="33"/>
      <c r="TG257" s="33"/>
    </row>
    <row r="258" spans="1:527" s="22" customFormat="1" ht="47.25" x14ac:dyDescent="0.25">
      <c r="A258" s="60" t="s">
        <v>142</v>
      </c>
      <c r="B258" s="97" t="str">
        <f>'дод 5'!A20</f>
        <v>0160</v>
      </c>
      <c r="C258" s="97" t="str">
        <f>'дод 5'!B20</f>
        <v>0111</v>
      </c>
      <c r="D258" s="36" t="s">
        <v>503</v>
      </c>
      <c r="E258" s="103">
        <f t="shared" ref="E258:E273" si="134">F258+I258</f>
        <v>2609000</v>
      </c>
      <c r="F258" s="103">
        <f>3609000-1000000</f>
        <v>2609000</v>
      </c>
      <c r="G258" s="103">
        <f>2958200-812000</f>
        <v>2146200</v>
      </c>
      <c r="H258" s="103"/>
      <c r="I258" s="103"/>
      <c r="J258" s="103">
        <f>L258+O258</f>
        <v>1900000</v>
      </c>
      <c r="K258" s="103"/>
      <c r="L258" s="103">
        <v>1900000</v>
      </c>
      <c r="M258" s="103">
        <v>1332000</v>
      </c>
      <c r="N258" s="103">
        <v>71500</v>
      </c>
      <c r="O258" s="103"/>
      <c r="P258" s="103">
        <f t="shared" ref="P258:P273" si="135">E258+J258</f>
        <v>4509000</v>
      </c>
      <c r="Q258" s="188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</row>
    <row r="259" spans="1:527" s="22" customFormat="1" ht="18" customHeight="1" x14ac:dyDescent="0.25">
      <c r="A259" s="60" t="s">
        <v>207</v>
      </c>
      <c r="B259" s="97" t="str">
        <f>'дод 5'!A158</f>
        <v>6030</v>
      </c>
      <c r="C259" s="97" t="str">
        <f>'дод 5'!B158</f>
        <v>0620</v>
      </c>
      <c r="D259" s="61" t="str">
        <f>'дод 5'!C158</f>
        <v>Організація благоустрою населених пунктів</v>
      </c>
      <c r="E259" s="103">
        <f t="shared" si="134"/>
        <v>0</v>
      </c>
      <c r="F259" s="103"/>
      <c r="G259" s="103"/>
      <c r="H259" s="103"/>
      <c r="I259" s="103"/>
      <c r="J259" s="103">
        <f t="shared" ref="J259:J281" si="136">L259+O259</f>
        <v>52213511</v>
      </c>
      <c r="K259" s="103">
        <f>50000000+200000+100000+49000+50000+1764511+50000</f>
        <v>52213511</v>
      </c>
      <c r="L259" s="103"/>
      <c r="M259" s="103"/>
      <c r="N259" s="103"/>
      <c r="O259" s="103">
        <f>50000000+200000+100000+49000+50000+1764511+50000</f>
        <v>52213511</v>
      </c>
      <c r="P259" s="103">
        <f t="shared" si="135"/>
        <v>52213511</v>
      </c>
      <c r="Q259" s="188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</row>
    <row r="260" spans="1:527" s="22" customFormat="1" ht="65.25" customHeight="1" x14ac:dyDescent="0.25">
      <c r="A260" s="60" t="s">
        <v>208</v>
      </c>
      <c r="B260" s="97" t="str">
        <f>'дод 5'!A161</f>
        <v>6084</v>
      </c>
      <c r="C260" s="97" t="str">
        <f>'дод 5'!B161</f>
        <v>0610</v>
      </c>
      <c r="D260" s="61" t="s">
        <v>544</v>
      </c>
      <c r="E260" s="103">
        <f t="shared" si="134"/>
        <v>0</v>
      </c>
      <c r="F260" s="103"/>
      <c r="G260" s="103"/>
      <c r="H260" s="103"/>
      <c r="I260" s="103"/>
      <c r="J260" s="103">
        <f t="shared" si="136"/>
        <v>71348.649999999994</v>
      </c>
      <c r="K260" s="103"/>
      <c r="L260" s="117"/>
      <c r="M260" s="103"/>
      <c r="N260" s="103"/>
      <c r="O260" s="103">
        <f>70060+1288.65</f>
        <v>71348.649999999994</v>
      </c>
      <c r="P260" s="103">
        <f t="shared" si="135"/>
        <v>71348.649999999994</v>
      </c>
      <c r="Q260" s="188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</row>
    <row r="261" spans="1:527" s="22" customFormat="1" ht="18.75" hidden="1" customHeight="1" x14ac:dyDescent="0.25">
      <c r="A261" s="60" t="s">
        <v>277</v>
      </c>
      <c r="B261" s="97" t="str">
        <f>'дод 5'!A171</f>
        <v>7310</v>
      </c>
      <c r="C261" s="97" t="str">
        <f>'дод 5'!B171</f>
        <v>0443</v>
      </c>
      <c r="D261" s="61" t="str">
        <f>'дод 5'!C171</f>
        <v>Будівництво1 об'єктів житлово-комунального господарства</v>
      </c>
      <c r="E261" s="103">
        <f t="shared" si="134"/>
        <v>0</v>
      </c>
      <c r="F261" s="103"/>
      <c r="G261" s="103"/>
      <c r="H261" s="103"/>
      <c r="I261" s="103"/>
      <c r="J261" s="103">
        <f t="shared" si="136"/>
        <v>0</v>
      </c>
      <c r="K261" s="103"/>
      <c r="L261" s="103"/>
      <c r="M261" s="103"/>
      <c r="N261" s="103"/>
      <c r="O261" s="103"/>
      <c r="P261" s="103">
        <f t="shared" si="135"/>
        <v>0</v>
      </c>
      <c r="Q261" s="188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</row>
    <row r="262" spans="1:527" s="22" customFormat="1" ht="18.75" x14ac:dyDescent="0.25">
      <c r="A262" s="60" t="s">
        <v>278</v>
      </c>
      <c r="B262" s="97" t="str">
        <f>'дод 5'!A172</f>
        <v>7321</v>
      </c>
      <c r="C262" s="97" t="str">
        <f>'дод 5'!B172</f>
        <v>0443</v>
      </c>
      <c r="D262" s="6" t="s">
        <v>562</v>
      </c>
      <c r="E262" s="103">
        <f t="shared" si="134"/>
        <v>0</v>
      </c>
      <c r="F262" s="103"/>
      <c r="G262" s="103"/>
      <c r="H262" s="103"/>
      <c r="I262" s="103"/>
      <c r="J262" s="103">
        <f t="shared" si="136"/>
        <v>120560</v>
      </c>
      <c r="K262" s="103">
        <f>42471+46089+10000+22000</f>
        <v>120560</v>
      </c>
      <c r="L262" s="103"/>
      <c r="M262" s="103"/>
      <c r="N262" s="103"/>
      <c r="O262" s="103">
        <f>42471+46089+10000+22000</f>
        <v>120560</v>
      </c>
      <c r="P262" s="103">
        <f t="shared" si="135"/>
        <v>120560</v>
      </c>
      <c r="Q262" s="188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18.75" x14ac:dyDescent="0.25">
      <c r="A263" s="60" t="s">
        <v>280</v>
      </c>
      <c r="B263" s="97" t="str">
        <f>'дод 5'!A173</f>
        <v>7322</v>
      </c>
      <c r="C263" s="97" t="str">
        <f>'дод 5'!B173</f>
        <v>0443</v>
      </c>
      <c r="D263" s="6" t="s">
        <v>563</v>
      </c>
      <c r="E263" s="103">
        <f t="shared" si="134"/>
        <v>0</v>
      </c>
      <c r="F263" s="103"/>
      <c r="G263" s="103"/>
      <c r="H263" s="103"/>
      <c r="I263" s="103"/>
      <c r="J263" s="103">
        <f t="shared" si="136"/>
        <v>6800000</v>
      </c>
      <c r="K263" s="103">
        <f>3000000+1800000+2000000</f>
        <v>6800000</v>
      </c>
      <c r="L263" s="103"/>
      <c r="M263" s="103"/>
      <c r="N263" s="103"/>
      <c r="O263" s="103">
        <f>3000000+1800000+2000000</f>
        <v>6800000</v>
      </c>
      <c r="P263" s="103">
        <f t="shared" si="135"/>
        <v>6800000</v>
      </c>
      <c r="Q263" s="188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2" customFormat="1" ht="18.75" x14ac:dyDescent="0.25">
      <c r="A264" s="60" t="s">
        <v>579</v>
      </c>
      <c r="B264" s="97">
        <v>7324</v>
      </c>
      <c r="C264" s="97"/>
      <c r="D264" s="6" t="s">
        <v>565</v>
      </c>
      <c r="E264" s="103">
        <f t="shared" si="134"/>
        <v>0</v>
      </c>
      <c r="F264" s="103"/>
      <c r="G264" s="103"/>
      <c r="H264" s="103"/>
      <c r="I264" s="103"/>
      <c r="J264" s="103">
        <f t="shared" si="136"/>
        <v>400000</v>
      </c>
      <c r="K264" s="103">
        <v>400000</v>
      </c>
      <c r="L264" s="103"/>
      <c r="M264" s="103"/>
      <c r="N264" s="103"/>
      <c r="O264" s="103">
        <v>400000</v>
      </c>
      <c r="P264" s="103">
        <f t="shared" si="135"/>
        <v>400000</v>
      </c>
      <c r="Q264" s="188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</row>
    <row r="265" spans="1:527" s="22" customFormat="1" ht="34.5" x14ac:dyDescent="0.25">
      <c r="A265" s="60" t="s">
        <v>361</v>
      </c>
      <c r="B265" s="97">
        <f>'дод 5'!A176</f>
        <v>7325</v>
      </c>
      <c r="C265" s="60" t="s">
        <v>113</v>
      </c>
      <c r="D265" s="6" t="s">
        <v>560</v>
      </c>
      <c r="E265" s="103">
        <f t="shared" si="134"/>
        <v>0</v>
      </c>
      <c r="F265" s="103"/>
      <c r="G265" s="103"/>
      <c r="H265" s="103"/>
      <c r="I265" s="103"/>
      <c r="J265" s="103">
        <f t="shared" si="136"/>
        <v>1799440</v>
      </c>
      <c r="K265" s="103">
        <f>199440+1000000+600000</f>
        <v>1799440</v>
      </c>
      <c r="L265" s="103"/>
      <c r="M265" s="103"/>
      <c r="N265" s="103"/>
      <c r="O265" s="103">
        <f>199440+1000000+600000</f>
        <v>1799440</v>
      </c>
      <c r="P265" s="103">
        <f t="shared" si="135"/>
        <v>1799440</v>
      </c>
      <c r="Q265" s="188">
        <v>16</v>
      </c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</row>
    <row r="266" spans="1:527" s="22" customFormat="1" ht="18" customHeight="1" x14ac:dyDescent="0.25">
      <c r="A266" s="60" t="s">
        <v>282</v>
      </c>
      <c r="B266" s="97" t="str">
        <f>'дод 5'!A177</f>
        <v>7330</v>
      </c>
      <c r="C266" s="97" t="str">
        <f>'дод 5'!B177</f>
        <v>0443</v>
      </c>
      <c r="D266" s="6" t="s">
        <v>561</v>
      </c>
      <c r="E266" s="103">
        <f t="shared" si="134"/>
        <v>0</v>
      </c>
      <c r="F266" s="103"/>
      <c r="G266" s="103"/>
      <c r="H266" s="103"/>
      <c r="I266" s="103"/>
      <c r="J266" s="103">
        <f t="shared" si="136"/>
        <v>13686480</v>
      </c>
      <c r="K266" s="103">
        <f>39750000+1567447+258138-1800000+200000+135000+200000+95995-28000000+240000-70000+60000+30000-30000+49900+1000000</f>
        <v>13686480</v>
      </c>
      <c r="L266" s="103"/>
      <c r="M266" s="103"/>
      <c r="N266" s="103"/>
      <c r="O266" s="103">
        <f>39750000+1567447+258138-1800000+200000+135000+200000+95995-28000000+240000-70000+60000+30000-30000+49900+1000000</f>
        <v>13686480</v>
      </c>
      <c r="P266" s="103">
        <f t="shared" si="135"/>
        <v>13686480</v>
      </c>
      <c r="Q266" s="188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2" customFormat="1" ht="31.5" x14ac:dyDescent="0.25">
      <c r="A267" s="60" t="s">
        <v>430</v>
      </c>
      <c r="B267" s="97">
        <v>7340</v>
      </c>
      <c r="C267" s="60" t="s">
        <v>113</v>
      </c>
      <c r="D267" s="61" t="s">
        <v>1</v>
      </c>
      <c r="E267" s="103">
        <f t="shared" si="134"/>
        <v>0</v>
      </c>
      <c r="F267" s="103"/>
      <c r="G267" s="103"/>
      <c r="H267" s="103"/>
      <c r="I267" s="103"/>
      <c r="J267" s="103">
        <f t="shared" si="136"/>
        <v>1000000</v>
      </c>
      <c r="K267" s="103">
        <f>6000000-2067496-104420-86000-2742084</f>
        <v>1000000</v>
      </c>
      <c r="L267" s="103"/>
      <c r="M267" s="103"/>
      <c r="N267" s="103"/>
      <c r="O267" s="103">
        <f>6000000-2067496-104420-86000-2742084</f>
        <v>1000000</v>
      </c>
      <c r="P267" s="103">
        <f t="shared" si="135"/>
        <v>1000000</v>
      </c>
      <c r="Q267" s="188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</row>
    <row r="268" spans="1:527" s="22" customFormat="1" ht="53.25" customHeight="1" x14ac:dyDescent="0.25">
      <c r="A268" s="60" t="s">
        <v>373</v>
      </c>
      <c r="B268" s="97">
        <f>'дод 5'!A180</f>
        <v>7361</v>
      </c>
      <c r="C268" s="97" t="str">
        <f>'дод 5'!B180</f>
        <v>0490</v>
      </c>
      <c r="D268" s="61" t="str">
        <f>'дод 5'!C180</f>
        <v>Співфінансування інвестиційних проектів, що реалізуються за рахунок коштів державного фонду регіонального розвитку</v>
      </c>
      <c r="E268" s="103">
        <f t="shared" ref="E268" si="137">F268+I268</f>
        <v>0</v>
      </c>
      <c r="F268" s="103"/>
      <c r="G268" s="103"/>
      <c r="H268" s="103"/>
      <c r="I268" s="103"/>
      <c r="J268" s="103">
        <f t="shared" ref="J268" si="138">L268+O268</f>
        <v>53172673</v>
      </c>
      <c r="K268" s="103">
        <f>10172673+28000000+15000000</f>
        <v>53172673</v>
      </c>
      <c r="L268" s="103"/>
      <c r="M268" s="103"/>
      <c r="N268" s="103"/>
      <c r="O268" s="103">
        <f>10172673+28000000+15000000</f>
        <v>53172673</v>
      </c>
      <c r="P268" s="103">
        <f t="shared" si="135"/>
        <v>53172673</v>
      </c>
      <c r="Q268" s="188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</row>
    <row r="269" spans="1:527" s="22" customFormat="1" ht="47.25" hidden="1" customHeight="1" x14ac:dyDescent="0.25">
      <c r="A269" s="60" t="s">
        <v>368</v>
      </c>
      <c r="B269" s="97">
        <v>7363</v>
      </c>
      <c r="C269" s="60" t="s">
        <v>84</v>
      </c>
      <c r="D269" s="61" t="s">
        <v>400</v>
      </c>
      <c r="E269" s="103">
        <f t="shared" si="134"/>
        <v>0</v>
      </c>
      <c r="F269" s="103"/>
      <c r="G269" s="103"/>
      <c r="H269" s="103"/>
      <c r="I269" s="103"/>
      <c r="J269" s="103">
        <f t="shared" si="136"/>
        <v>0</v>
      </c>
      <c r="K269" s="103"/>
      <c r="L269" s="103"/>
      <c r="M269" s="103"/>
      <c r="N269" s="103"/>
      <c r="O269" s="103"/>
      <c r="P269" s="103">
        <f t="shared" si="135"/>
        <v>0</v>
      </c>
      <c r="Q269" s="188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2" customFormat="1" ht="31.5" x14ac:dyDescent="0.25">
      <c r="A270" s="60" t="s">
        <v>433</v>
      </c>
      <c r="B270" s="97">
        <v>7370</v>
      </c>
      <c r="C270" s="60" t="s">
        <v>84</v>
      </c>
      <c r="D270" s="61" t="s">
        <v>434</v>
      </c>
      <c r="E270" s="103">
        <f>F270+I270</f>
        <v>104420</v>
      </c>
      <c r="F270" s="103">
        <v>104420</v>
      </c>
      <c r="G270" s="103"/>
      <c r="H270" s="103"/>
      <c r="I270" s="103"/>
      <c r="J270" s="103">
        <f t="shared" si="136"/>
        <v>0</v>
      </c>
      <c r="K270" s="103"/>
      <c r="L270" s="103"/>
      <c r="M270" s="103"/>
      <c r="N270" s="103"/>
      <c r="O270" s="103"/>
      <c r="P270" s="103">
        <f t="shared" si="135"/>
        <v>104420</v>
      </c>
      <c r="Q270" s="188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</row>
    <row r="271" spans="1:527" s="22" customFormat="1" ht="21.75" customHeight="1" x14ac:dyDescent="0.25">
      <c r="A271" s="60" t="s">
        <v>148</v>
      </c>
      <c r="B271" s="97" t="str">
        <f>'дод 5'!A203</f>
        <v>7640</v>
      </c>
      <c r="C271" s="97" t="str">
        <f>'дод 5'!B203</f>
        <v>0470</v>
      </c>
      <c r="D271" s="61" t="s">
        <v>474</v>
      </c>
      <c r="E271" s="103">
        <f t="shared" si="134"/>
        <v>1015684.55</v>
      </c>
      <c r="F271" s="103">
        <f>1763607-797422.45+49500</f>
        <v>1015684.55</v>
      </c>
      <c r="G271" s="103"/>
      <c r="H271" s="103"/>
      <c r="I271" s="103"/>
      <c r="J271" s="103">
        <f t="shared" si="136"/>
        <v>139615838.44999999</v>
      </c>
      <c r="K271" s="103">
        <f>124644482+797422.45+2700000</f>
        <v>128141904.45</v>
      </c>
      <c r="L271" s="117"/>
      <c r="M271" s="103"/>
      <c r="N271" s="103"/>
      <c r="O271" s="103">
        <f>136118416+797422.45+2700000</f>
        <v>139615838.44999999</v>
      </c>
      <c r="P271" s="103">
        <f t="shared" si="135"/>
        <v>140631523</v>
      </c>
      <c r="Q271" s="188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</row>
    <row r="272" spans="1:527" s="24" customFormat="1" ht="17.25" customHeight="1" x14ac:dyDescent="0.25">
      <c r="A272" s="88"/>
      <c r="B272" s="115"/>
      <c r="C272" s="115"/>
      <c r="D272" s="89" t="s">
        <v>421</v>
      </c>
      <c r="E272" s="105">
        <f t="shared" si="134"/>
        <v>0</v>
      </c>
      <c r="F272" s="105"/>
      <c r="G272" s="105"/>
      <c r="H272" s="105"/>
      <c r="I272" s="105"/>
      <c r="J272" s="105">
        <f t="shared" si="136"/>
        <v>96859595</v>
      </c>
      <c r="K272" s="105">
        <v>96859595</v>
      </c>
      <c r="L272" s="118"/>
      <c r="M272" s="105"/>
      <c r="N272" s="105"/>
      <c r="O272" s="105">
        <v>96859595</v>
      </c>
      <c r="P272" s="105">
        <f t="shared" si="135"/>
        <v>96859595</v>
      </c>
      <c r="Q272" s="188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  <c r="LU272" s="30"/>
      <c r="LV272" s="30"/>
      <c r="LW272" s="30"/>
      <c r="LX272" s="30"/>
      <c r="LY272" s="30"/>
      <c r="LZ272" s="30"/>
      <c r="MA272" s="30"/>
      <c r="MB272" s="30"/>
      <c r="MC272" s="30"/>
      <c r="MD272" s="30"/>
      <c r="ME272" s="30"/>
      <c r="MF272" s="30"/>
      <c r="MG272" s="30"/>
      <c r="MH272" s="30"/>
      <c r="MI272" s="30"/>
      <c r="MJ272" s="30"/>
      <c r="MK272" s="30"/>
      <c r="ML272" s="30"/>
      <c r="MM272" s="30"/>
      <c r="MN272" s="30"/>
      <c r="MO272" s="30"/>
      <c r="MP272" s="30"/>
      <c r="MQ272" s="30"/>
      <c r="MR272" s="30"/>
      <c r="MS272" s="30"/>
      <c r="MT272" s="30"/>
      <c r="MU272" s="30"/>
      <c r="MV272" s="30"/>
      <c r="MW272" s="30"/>
      <c r="MX272" s="30"/>
      <c r="MY272" s="30"/>
      <c r="MZ272" s="30"/>
      <c r="NA272" s="30"/>
      <c r="NB272" s="30"/>
      <c r="NC272" s="30"/>
      <c r="ND272" s="30"/>
      <c r="NE272" s="30"/>
      <c r="NF272" s="30"/>
      <c r="NG272" s="30"/>
      <c r="NH272" s="30"/>
      <c r="NI272" s="30"/>
      <c r="NJ272" s="30"/>
      <c r="NK272" s="30"/>
      <c r="NL272" s="30"/>
      <c r="NM272" s="30"/>
      <c r="NN272" s="30"/>
      <c r="NO272" s="30"/>
      <c r="NP272" s="30"/>
      <c r="NQ272" s="30"/>
      <c r="NR272" s="30"/>
      <c r="NS272" s="30"/>
      <c r="NT272" s="30"/>
      <c r="NU272" s="30"/>
      <c r="NV272" s="30"/>
      <c r="NW272" s="30"/>
      <c r="NX272" s="30"/>
      <c r="NY272" s="30"/>
      <c r="NZ272" s="30"/>
      <c r="OA272" s="30"/>
      <c r="OB272" s="30"/>
      <c r="OC272" s="30"/>
      <c r="OD272" s="30"/>
      <c r="OE272" s="30"/>
      <c r="OF272" s="30"/>
      <c r="OG272" s="30"/>
      <c r="OH272" s="30"/>
      <c r="OI272" s="30"/>
      <c r="OJ272" s="30"/>
      <c r="OK272" s="30"/>
      <c r="OL272" s="30"/>
      <c r="OM272" s="30"/>
      <c r="ON272" s="30"/>
      <c r="OO272" s="30"/>
      <c r="OP272" s="30"/>
      <c r="OQ272" s="30"/>
      <c r="OR272" s="30"/>
      <c r="OS272" s="30"/>
      <c r="OT272" s="30"/>
      <c r="OU272" s="30"/>
      <c r="OV272" s="30"/>
      <c r="OW272" s="30"/>
      <c r="OX272" s="30"/>
      <c r="OY272" s="30"/>
      <c r="OZ272" s="30"/>
      <c r="PA272" s="30"/>
      <c r="PB272" s="30"/>
      <c r="PC272" s="30"/>
      <c r="PD272" s="30"/>
      <c r="PE272" s="30"/>
      <c r="PF272" s="30"/>
      <c r="PG272" s="30"/>
      <c r="PH272" s="30"/>
      <c r="PI272" s="30"/>
      <c r="PJ272" s="30"/>
      <c r="PK272" s="30"/>
      <c r="PL272" s="30"/>
      <c r="PM272" s="30"/>
      <c r="PN272" s="30"/>
      <c r="PO272" s="30"/>
      <c r="PP272" s="30"/>
      <c r="PQ272" s="30"/>
      <c r="PR272" s="30"/>
      <c r="PS272" s="30"/>
      <c r="PT272" s="30"/>
      <c r="PU272" s="30"/>
      <c r="PV272" s="30"/>
      <c r="PW272" s="30"/>
      <c r="PX272" s="30"/>
      <c r="PY272" s="30"/>
      <c r="PZ272" s="30"/>
      <c r="QA272" s="30"/>
      <c r="QB272" s="30"/>
      <c r="QC272" s="30"/>
      <c r="QD272" s="30"/>
      <c r="QE272" s="30"/>
      <c r="QF272" s="30"/>
      <c r="QG272" s="30"/>
      <c r="QH272" s="30"/>
      <c r="QI272" s="30"/>
      <c r="QJ272" s="30"/>
      <c r="QK272" s="30"/>
      <c r="QL272" s="30"/>
      <c r="QM272" s="30"/>
      <c r="QN272" s="30"/>
      <c r="QO272" s="30"/>
      <c r="QP272" s="30"/>
      <c r="QQ272" s="30"/>
      <c r="QR272" s="30"/>
      <c r="QS272" s="30"/>
      <c r="QT272" s="30"/>
      <c r="QU272" s="30"/>
      <c r="QV272" s="30"/>
      <c r="QW272" s="30"/>
      <c r="QX272" s="30"/>
      <c r="QY272" s="30"/>
      <c r="QZ272" s="30"/>
      <c r="RA272" s="30"/>
      <c r="RB272" s="30"/>
      <c r="RC272" s="30"/>
      <c r="RD272" s="30"/>
      <c r="RE272" s="30"/>
      <c r="RF272" s="30"/>
      <c r="RG272" s="30"/>
      <c r="RH272" s="30"/>
      <c r="RI272" s="30"/>
      <c r="RJ272" s="30"/>
      <c r="RK272" s="30"/>
      <c r="RL272" s="30"/>
      <c r="RM272" s="30"/>
      <c r="RN272" s="30"/>
      <c r="RO272" s="30"/>
      <c r="RP272" s="30"/>
      <c r="RQ272" s="30"/>
      <c r="RR272" s="30"/>
      <c r="RS272" s="30"/>
      <c r="RT272" s="30"/>
      <c r="RU272" s="30"/>
      <c r="RV272" s="30"/>
      <c r="RW272" s="30"/>
      <c r="RX272" s="30"/>
      <c r="RY272" s="30"/>
      <c r="RZ272" s="30"/>
      <c r="SA272" s="30"/>
      <c r="SB272" s="30"/>
      <c r="SC272" s="30"/>
      <c r="SD272" s="30"/>
      <c r="SE272" s="30"/>
      <c r="SF272" s="30"/>
      <c r="SG272" s="30"/>
      <c r="SH272" s="30"/>
      <c r="SI272" s="30"/>
      <c r="SJ272" s="30"/>
      <c r="SK272" s="30"/>
      <c r="SL272" s="30"/>
      <c r="SM272" s="30"/>
      <c r="SN272" s="30"/>
      <c r="SO272" s="30"/>
      <c r="SP272" s="30"/>
      <c r="SQ272" s="30"/>
      <c r="SR272" s="30"/>
      <c r="SS272" s="30"/>
      <c r="ST272" s="30"/>
      <c r="SU272" s="30"/>
      <c r="SV272" s="30"/>
      <c r="SW272" s="30"/>
      <c r="SX272" s="30"/>
      <c r="SY272" s="30"/>
      <c r="SZ272" s="30"/>
      <c r="TA272" s="30"/>
      <c r="TB272" s="30"/>
      <c r="TC272" s="30"/>
      <c r="TD272" s="30"/>
      <c r="TE272" s="30"/>
      <c r="TF272" s="30"/>
      <c r="TG272" s="30"/>
    </row>
    <row r="273" spans="1:527" s="22" customFormat="1" ht="126" hidden="1" customHeight="1" x14ac:dyDescent="0.25">
      <c r="A273" s="60" t="s">
        <v>371</v>
      </c>
      <c r="B273" s="97">
        <v>7691</v>
      </c>
      <c r="C273" s="37" t="s">
        <v>84</v>
      </c>
      <c r="D273" s="61" t="s">
        <v>316</v>
      </c>
      <c r="E273" s="103">
        <f t="shared" si="134"/>
        <v>0</v>
      </c>
      <c r="F273" s="103"/>
      <c r="G273" s="103"/>
      <c r="H273" s="103"/>
      <c r="I273" s="103"/>
      <c r="J273" s="103">
        <f t="shared" si="136"/>
        <v>0</v>
      </c>
      <c r="K273" s="103"/>
      <c r="L273" s="117"/>
      <c r="M273" s="103"/>
      <c r="N273" s="103"/>
      <c r="O273" s="103"/>
      <c r="P273" s="103">
        <f t="shared" si="135"/>
        <v>0</v>
      </c>
      <c r="Q273" s="188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</row>
    <row r="274" spans="1:527" s="22" customFormat="1" ht="33.75" customHeight="1" x14ac:dyDescent="0.25">
      <c r="A274" s="60" t="s">
        <v>541</v>
      </c>
      <c r="B274" s="97">
        <v>9750</v>
      </c>
      <c r="C274" s="60" t="s">
        <v>46</v>
      </c>
      <c r="D274" s="61" t="s">
        <v>542</v>
      </c>
      <c r="E274" s="103">
        <f t="shared" ref="E274" si="139">F274+I274</f>
        <v>0</v>
      </c>
      <c r="F274" s="103"/>
      <c r="G274" s="103"/>
      <c r="H274" s="103"/>
      <c r="I274" s="103"/>
      <c r="J274" s="103">
        <f t="shared" ref="J274" si="140">L274+O274</f>
        <v>86000</v>
      </c>
      <c r="K274" s="103">
        <v>86000</v>
      </c>
      <c r="L274" s="117"/>
      <c r="M274" s="103"/>
      <c r="N274" s="103"/>
      <c r="O274" s="103">
        <v>86000</v>
      </c>
      <c r="P274" s="103">
        <f t="shared" ref="P274" si="141">E274+J274</f>
        <v>86000</v>
      </c>
      <c r="Q274" s="188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</row>
    <row r="275" spans="1:527" s="27" customFormat="1" ht="30.75" customHeight="1" x14ac:dyDescent="0.25">
      <c r="A275" s="114" t="s">
        <v>209</v>
      </c>
      <c r="B275" s="116"/>
      <c r="C275" s="116"/>
      <c r="D275" s="111" t="s">
        <v>41</v>
      </c>
      <c r="E275" s="99">
        <f>E276</f>
        <v>11915178</v>
      </c>
      <c r="F275" s="99">
        <f t="shared" ref="F275:J275" si="142">F276</f>
        <v>11915178</v>
      </c>
      <c r="G275" s="99">
        <f t="shared" si="142"/>
        <v>7405200</v>
      </c>
      <c r="H275" s="99">
        <f t="shared" si="142"/>
        <v>126922</v>
      </c>
      <c r="I275" s="99">
        <f t="shared" si="142"/>
        <v>0</v>
      </c>
      <c r="J275" s="99">
        <f t="shared" si="142"/>
        <v>2596250.2999999998</v>
      </c>
      <c r="K275" s="99">
        <f t="shared" ref="K275" si="143">K276</f>
        <v>0</v>
      </c>
      <c r="L275" s="99">
        <f t="shared" ref="L275" si="144">L276</f>
        <v>2596250.2999999998</v>
      </c>
      <c r="M275" s="99">
        <f t="shared" ref="M275" si="145">M276</f>
        <v>0</v>
      </c>
      <c r="N275" s="99">
        <f t="shared" ref="N275" si="146">N276</f>
        <v>0</v>
      </c>
      <c r="O275" s="99">
        <f t="shared" ref="O275:P275" si="147">O276</f>
        <v>0</v>
      </c>
      <c r="P275" s="99">
        <f t="shared" si="147"/>
        <v>14511428.300000001</v>
      </c>
      <c r="Q275" s="188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  <c r="TG275" s="32"/>
    </row>
    <row r="276" spans="1:527" s="34" customFormat="1" ht="35.25" customHeight="1" x14ac:dyDescent="0.25">
      <c r="A276" s="100" t="s">
        <v>210</v>
      </c>
      <c r="B276" s="113"/>
      <c r="C276" s="113"/>
      <c r="D276" s="81" t="s">
        <v>41</v>
      </c>
      <c r="E276" s="102">
        <f>E277+E278+E279+E280+E281</f>
        <v>11915178</v>
      </c>
      <c r="F276" s="102">
        <f>F277+F278+F279+F280+F281</f>
        <v>11915178</v>
      </c>
      <c r="G276" s="102">
        <f t="shared" ref="G276:P276" si="148">G277+G278+G279+G280+G281</f>
        <v>7405200</v>
      </c>
      <c r="H276" s="102">
        <f t="shared" si="148"/>
        <v>126922</v>
      </c>
      <c r="I276" s="102">
        <f t="shared" si="148"/>
        <v>0</v>
      </c>
      <c r="J276" s="102">
        <f t="shared" si="148"/>
        <v>2596250.2999999998</v>
      </c>
      <c r="K276" s="102">
        <f t="shared" si="148"/>
        <v>0</v>
      </c>
      <c r="L276" s="102">
        <f t="shared" si="148"/>
        <v>2596250.2999999998</v>
      </c>
      <c r="M276" s="102">
        <f t="shared" si="148"/>
        <v>0</v>
      </c>
      <c r="N276" s="102">
        <f t="shared" si="148"/>
        <v>0</v>
      </c>
      <c r="O276" s="102">
        <f t="shared" si="148"/>
        <v>0</v>
      </c>
      <c r="P276" s="102">
        <f t="shared" si="148"/>
        <v>14511428.300000001</v>
      </c>
      <c r="Q276" s="188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</row>
    <row r="277" spans="1:527" s="22" customFormat="1" ht="47.25" x14ac:dyDescent="0.25">
      <c r="A277" s="60" t="s">
        <v>211</v>
      </c>
      <c r="B277" s="97" t="str">
        <f>'дод 5'!A20</f>
        <v>0160</v>
      </c>
      <c r="C277" s="97" t="str">
        <f>'дод 5'!B20</f>
        <v>0111</v>
      </c>
      <c r="D277" s="36" t="s">
        <v>503</v>
      </c>
      <c r="E277" s="103">
        <f>F277+I277</f>
        <v>9479912</v>
      </c>
      <c r="F277" s="103">
        <f>9390500+40922+48490</f>
        <v>9479912</v>
      </c>
      <c r="G277" s="103">
        <v>7405200</v>
      </c>
      <c r="H277" s="103">
        <f>86000+40922</f>
        <v>126922</v>
      </c>
      <c r="I277" s="103"/>
      <c r="J277" s="103">
        <f t="shared" si="136"/>
        <v>0</v>
      </c>
      <c r="K277" s="103"/>
      <c r="L277" s="103"/>
      <c r="M277" s="103"/>
      <c r="N277" s="103"/>
      <c r="O277" s="103"/>
      <c r="P277" s="103">
        <f>E277+J277</f>
        <v>9479912</v>
      </c>
      <c r="Q277" s="188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</row>
    <row r="278" spans="1:527" s="22" customFormat="1" ht="31.5" x14ac:dyDescent="0.25">
      <c r="A278" s="60" t="s">
        <v>313</v>
      </c>
      <c r="B278" s="97" t="str">
        <f>'дод 5'!A162</f>
        <v>6090</v>
      </c>
      <c r="C278" s="97" t="str">
        <f>'дод 5'!B162</f>
        <v>0640</v>
      </c>
      <c r="D278" s="61" t="str">
        <f>'дод 5'!C162</f>
        <v>Інша діяльність у сфері житлово-комунального господарства</v>
      </c>
      <c r="E278" s="103">
        <f>F278+I278</f>
        <v>175000</v>
      </c>
      <c r="F278" s="103">
        <v>175000</v>
      </c>
      <c r="G278" s="103"/>
      <c r="H278" s="103"/>
      <c r="I278" s="103"/>
      <c r="J278" s="103">
        <f t="shared" si="136"/>
        <v>0</v>
      </c>
      <c r="K278" s="103"/>
      <c r="L278" s="103"/>
      <c r="M278" s="103"/>
      <c r="N278" s="103"/>
      <c r="O278" s="103"/>
      <c r="P278" s="103">
        <f>E278+J278</f>
        <v>175000</v>
      </c>
      <c r="Q278" s="188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31.5" hidden="1" customHeight="1" x14ac:dyDescent="0.25">
      <c r="A279" s="60" t="s">
        <v>461</v>
      </c>
      <c r="B279" s="60" t="s">
        <v>462</v>
      </c>
      <c r="C279" s="60" t="s">
        <v>113</v>
      </c>
      <c r="D279" s="61" t="s">
        <v>463</v>
      </c>
      <c r="E279" s="103">
        <f>F279+I279</f>
        <v>0</v>
      </c>
      <c r="F279" s="103"/>
      <c r="G279" s="103"/>
      <c r="H279" s="103"/>
      <c r="I279" s="103"/>
      <c r="J279" s="103">
        <f t="shared" si="136"/>
        <v>0</v>
      </c>
      <c r="K279" s="103">
        <f>900000-900000</f>
        <v>0</v>
      </c>
      <c r="L279" s="103"/>
      <c r="M279" s="103"/>
      <c r="N279" s="103"/>
      <c r="O279" s="103">
        <f>900000-900000</f>
        <v>0</v>
      </c>
      <c r="P279" s="103">
        <f>E279+J279</f>
        <v>0</v>
      </c>
      <c r="Q279" s="188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31.5" x14ac:dyDescent="0.25">
      <c r="A280" s="60" t="s">
        <v>570</v>
      </c>
      <c r="B280" s="60" t="s">
        <v>571</v>
      </c>
      <c r="C280" s="60" t="s">
        <v>84</v>
      </c>
      <c r="D280" s="61" t="s">
        <v>434</v>
      </c>
      <c r="E280" s="103">
        <f>F280+I280</f>
        <v>2260266</v>
      </c>
      <c r="F280" s="103">
        <f>1360266+900000</f>
        <v>2260266</v>
      </c>
      <c r="G280" s="103"/>
      <c r="H280" s="103"/>
      <c r="I280" s="103"/>
      <c r="J280" s="103">
        <f t="shared" ref="J280" si="149">L280+O280</f>
        <v>0</v>
      </c>
      <c r="K280" s="103"/>
      <c r="L280" s="103"/>
      <c r="M280" s="103"/>
      <c r="N280" s="103"/>
      <c r="O280" s="103"/>
      <c r="P280" s="103">
        <f>E280+J280</f>
        <v>2260266</v>
      </c>
      <c r="Q280" s="188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106.5" customHeight="1" x14ac:dyDescent="0.25">
      <c r="A281" s="107" t="s">
        <v>301</v>
      </c>
      <c r="B281" s="42" t="str">
        <f>'дод 5'!A210</f>
        <v>7691</v>
      </c>
      <c r="C281" s="42" t="str">
        <f>'дод 5'!B210</f>
        <v>0490</v>
      </c>
      <c r="D281" s="36" t="str">
        <f>'дод 5'!C210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81" s="103">
        <f>F281+I281</f>
        <v>0</v>
      </c>
      <c r="F281" s="103"/>
      <c r="G281" s="103"/>
      <c r="H281" s="103"/>
      <c r="I281" s="103"/>
      <c r="J281" s="103">
        <f t="shared" si="136"/>
        <v>2596250.2999999998</v>
      </c>
      <c r="K281" s="103"/>
      <c r="L281" s="103">
        <f>1060391+1535859.3</f>
        <v>2596250.2999999998</v>
      </c>
      <c r="M281" s="103"/>
      <c r="N281" s="103"/>
      <c r="O281" s="103"/>
      <c r="P281" s="103">
        <f>E281+J281</f>
        <v>2596250.2999999998</v>
      </c>
      <c r="Q281" s="188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7" customFormat="1" ht="34.5" customHeight="1" x14ac:dyDescent="0.25">
      <c r="A282" s="114" t="s">
        <v>214</v>
      </c>
      <c r="B282" s="116"/>
      <c r="C282" s="116"/>
      <c r="D282" s="111" t="s">
        <v>43</v>
      </c>
      <c r="E282" s="99">
        <f>E283</f>
        <v>4340725</v>
      </c>
      <c r="F282" s="99">
        <f t="shared" ref="F282:J283" si="150">F283</f>
        <v>4340725</v>
      </c>
      <c r="G282" s="99">
        <f t="shared" si="150"/>
        <v>3301600</v>
      </c>
      <c r="H282" s="99">
        <f t="shared" si="150"/>
        <v>65425</v>
      </c>
      <c r="I282" s="99">
        <f t="shared" si="150"/>
        <v>0</v>
      </c>
      <c r="J282" s="99">
        <f t="shared" si="150"/>
        <v>0</v>
      </c>
      <c r="K282" s="99">
        <f t="shared" ref="K282:K283" si="151">K283</f>
        <v>0</v>
      </c>
      <c r="L282" s="99">
        <f t="shared" ref="L282:L283" si="152">L283</f>
        <v>0</v>
      </c>
      <c r="M282" s="99">
        <f t="shared" ref="M282:M283" si="153">M283</f>
        <v>0</v>
      </c>
      <c r="N282" s="99">
        <f t="shared" ref="N282:N283" si="154">N283</f>
        <v>0</v>
      </c>
      <c r="O282" s="99">
        <f t="shared" ref="O282:P283" si="155">O283</f>
        <v>0</v>
      </c>
      <c r="P282" s="99">
        <f t="shared" si="155"/>
        <v>4340725</v>
      </c>
      <c r="Q282" s="188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  <c r="IT282" s="32"/>
      <c r="IU282" s="32"/>
      <c r="IV282" s="32"/>
      <c r="IW282" s="32"/>
      <c r="IX282" s="32"/>
      <c r="IY282" s="32"/>
      <c r="IZ282" s="32"/>
      <c r="JA282" s="32"/>
      <c r="JB282" s="32"/>
      <c r="JC282" s="32"/>
      <c r="JD282" s="32"/>
      <c r="JE282" s="32"/>
      <c r="JF282" s="32"/>
      <c r="JG282" s="32"/>
      <c r="JH282" s="32"/>
      <c r="JI282" s="32"/>
      <c r="JJ282" s="32"/>
      <c r="JK282" s="32"/>
      <c r="JL282" s="32"/>
      <c r="JM282" s="32"/>
      <c r="JN282" s="32"/>
      <c r="JO282" s="32"/>
      <c r="JP282" s="32"/>
      <c r="JQ282" s="32"/>
      <c r="JR282" s="32"/>
      <c r="JS282" s="32"/>
      <c r="JT282" s="32"/>
      <c r="JU282" s="32"/>
      <c r="JV282" s="32"/>
      <c r="JW282" s="32"/>
      <c r="JX282" s="32"/>
      <c r="JY282" s="32"/>
      <c r="JZ282" s="32"/>
      <c r="KA282" s="32"/>
      <c r="KB282" s="32"/>
      <c r="KC282" s="32"/>
      <c r="KD282" s="32"/>
      <c r="KE282" s="32"/>
      <c r="KF282" s="32"/>
      <c r="KG282" s="32"/>
      <c r="KH282" s="32"/>
      <c r="KI282" s="32"/>
      <c r="KJ282" s="32"/>
      <c r="KK282" s="32"/>
      <c r="KL282" s="32"/>
      <c r="KM282" s="32"/>
      <c r="KN282" s="32"/>
      <c r="KO282" s="32"/>
      <c r="KP282" s="32"/>
      <c r="KQ282" s="32"/>
      <c r="KR282" s="32"/>
      <c r="KS282" s="32"/>
      <c r="KT282" s="32"/>
      <c r="KU282" s="32"/>
      <c r="KV282" s="32"/>
      <c r="KW282" s="32"/>
      <c r="KX282" s="32"/>
      <c r="KY282" s="32"/>
      <c r="KZ282" s="32"/>
      <c r="LA282" s="32"/>
      <c r="LB282" s="32"/>
      <c r="LC282" s="32"/>
      <c r="LD282" s="32"/>
      <c r="LE282" s="32"/>
      <c r="LF282" s="32"/>
      <c r="LG282" s="32"/>
      <c r="LH282" s="32"/>
      <c r="LI282" s="32"/>
      <c r="LJ282" s="32"/>
      <c r="LK282" s="32"/>
      <c r="LL282" s="32"/>
      <c r="LM282" s="32"/>
      <c r="LN282" s="32"/>
      <c r="LO282" s="32"/>
      <c r="LP282" s="32"/>
      <c r="LQ282" s="32"/>
      <c r="LR282" s="32"/>
      <c r="LS282" s="32"/>
      <c r="LT282" s="32"/>
      <c r="LU282" s="32"/>
      <c r="LV282" s="32"/>
      <c r="LW282" s="32"/>
      <c r="LX282" s="32"/>
      <c r="LY282" s="32"/>
      <c r="LZ282" s="32"/>
      <c r="MA282" s="32"/>
      <c r="MB282" s="32"/>
      <c r="MC282" s="32"/>
      <c r="MD282" s="32"/>
      <c r="ME282" s="32"/>
      <c r="MF282" s="32"/>
      <c r="MG282" s="32"/>
      <c r="MH282" s="32"/>
      <c r="MI282" s="32"/>
      <c r="MJ282" s="32"/>
      <c r="MK282" s="32"/>
      <c r="ML282" s="32"/>
      <c r="MM282" s="32"/>
      <c r="MN282" s="32"/>
      <c r="MO282" s="32"/>
      <c r="MP282" s="32"/>
      <c r="MQ282" s="32"/>
      <c r="MR282" s="32"/>
      <c r="MS282" s="32"/>
      <c r="MT282" s="32"/>
      <c r="MU282" s="32"/>
      <c r="MV282" s="32"/>
      <c r="MW282" s="32"/>
      <c r="MX282" s="32"/>
      <c r="MY282" s="32"/>
      <c r="MZ282" s="32"/>
      <c r="NA282" s="32"/>
      <c r="NB282" s="32"/>
      <c r="NC282" s="32"/>
      <c r="ND282" s="32"/>
      <c r="NE282" s="32"/>
      <c r="NF282" s="32"/>
      <c r="NG282" s="32"/>
      <c r="NH282" s="32"/>
      <c r="NI282" s="32"/>
      <c r="NJ282" s="32"/>
      <c r="NK282" s="32"/>
      <c r="NL282" s="32"/>
      <c r="NM282" s="32"/>
      <c r="NN282" s="32"/>
      <c r="NO282" s="32"/>
      <c r="NP282" s="32"/>
      <c r="NQ282" s="32"/>
      <c r="NR282" s="32"/>
      <c r="NS282" s="32"/>
      <c r="NT282" s="32"/>
      <c r="NU282" s="32"/>
      <c r="NV282" s="32"/>
      <c r="NW282" s="32"/>
      <c r="NX282" s="32"/>
      <c r="NY282" s="32"/>
      <c r="NZ282" s="32"/>
      <c r="OA282" s="32"/>
      <c r="OB282" s="32"/>
      <c r="OC282" s="32"/>
      <c r="OD282" s="32"/>
      <c r="OE282" s="32"/>
      <c r="OF282" s="32"/>
      <c r="OG282" s="32"/>
      <c r="OH282" s="32"/>
      <c r="OI282" s="32"/>
      <c r="OJ282" s="32"/>
      <c r="OK282" s="32"/>
      <c r="OL282" s="32"/>
      <c r="OM282" s="32"/>
      <c r="ON282" s="32"/>
      <c r="OO282" s="32"/>
      <c r="OP282" s="32"/>
      <c r="OQ282" s="32"/>
      <c r="OR282" s="32"/>
      <c r="OS282" s="32"/>
      <c r="OT282" s="32"/>
      <c r="OU282" s="32"/>
      <c r="OV282" s="32"/>
      <c r="OW282" s="32"/>
      <c r="OX282" s="32"/>
      <c r="OY282" s="32"/>
      <c r="OZ282" s="32"/>
      <c r="PA282" s="32"/>
      <c r="PB282" s="32"/>
      <c r="PC282" s="32"/>
      <c r="PD282" s="32"/>
      <c r="PE282" s="32"/>
      <c r="PF282" s="32"/>
      <c r="PG282" s="32"/>
      <c r="PH282" s="32"/>
      <c r="PI282" s="32"/>
      <c r="PJ282" s="32"/>
      <c r="PK282" s="32"/>
      <c r="PL282" s="32"/>
      <c r="PM282" s="32"/>
      <c r="PN282" s="32"/>
      <c r="PO282" s="32"/>
      <c r="PP282" s="32"/>
      <c r="PQ282" s="32"/>
      <c r="PR282" s="32"/>
      <c r="PS282" s="32"/>
      <c r="PT282" s="32"/>
      <c r="PU282" s="32"/>
      <c r="PV282" s="32"/>
      <c r="PW282" s="32"/>
      <c r="PX282" s="32"/>
      <c r="PY282" s="32"/>
      <c r="PZ282" s="32"/>
      <c r="QA282" s="32"/>
      <c r="QB282" s="32"/>
      <c r="QC282" s="32"/>
      <c r="QD282" s="32"/>
      <c r="QE282" s="32"/>
      <c r="QF282" s="32"/>
      <c r="QG282" s="32"/>
      <c r="QH282" s="32"/>
      <c r="QI282" s="32"/>
      <c r="QJ282" s="32"/>
      <c r="QK282" s="32"/>
      <c r="QL282" s="32"/>
      <c r="QM282" s="32"/>
      <c r="QN282" s="32"/>
      <c r="QO282" s="32"/>
      <c r="QP282" s="32"/>
      <c r="QQ282" s="32"/>
      <c r="QR282" s="32"/>
      <c r="QS282" s="32"/>
      <c r="QT282" s="32"/>
      <c r="QU282" s="32"/>
      <c r="QV282" s="32"/>
      <c r="QW282" s="32"/>
      <c r="QX282" s="32"/>
      <c r="QY282" s="32"/>
      <c r="QZ282" s="32"/>
      <c r="RA282" s="32"/>
      <c r="RB282" s="32"/>
      <c r="RC282" s="32"/>
      <c r="RD282" s="32"/>
      <c r="RE282" s="32"/>
      <c r="RF282" s="32"/>
      <c r="RG282" s="32"/>
      <c r="RH282" s="32"/>
      <c r="RI282" s="32"/>
      <c r="RJ282" s="32"/>
      <c r="RK282" s="32"/>
      <c r="RL282" s="32"/>
      <c r="RM282" s="32"/>
      <c r="RN282" s="32"/>
      <c r="RO282" s="32"/>
      <c r="RP282" s="32"/>
      <c r="RQ282" s="32"/>
      <c r="RR282" s="32"/>
      <c r="RS282" s="32"/>
      <c r="RT282" s="32"/>
      <c r="RU282" s="32"/>
      <c r="RV282" s="32"/>
      <c r="RW282" s="32"/>
      <c r="RX282" s="32"/>
      <c r="RY282" s="32"/>
      <c r="RZ282" s="32"/>
      <c r="SA282" s="32"/>
      <c r="SB282" s="32"/>
      <c r="SC282" s="32"/>
      <c r="SD282" s="32"/>
      <c r="SE282" s="32"/>
      <c r="SF282" s="32"/>
      <c r="SG282" s="32"/>
      <c r="SH282" s="32"/>
      <c r="SI282" s="32"/>
      <c r="SJ282" s="32"/>
      <c r="SK282" s="32"/>
      <c r="SL282" s="32"/>
      <c r="SM282" s="32"/>
      <c r="SN282" s="32"/>
      <c r="SO282" s="32"/>
      <c r="SP282" s="32"/>
      <c r="SQ282" s="32"/>
      <c r="SR282" s="32"/>
      <c r="SS282" s="32"/>
      <c r="ST282" s="32"/>
      <c r="SU282" s="32"/>
      <c r="SV282" s="32"/>
      <c r="SW282" s="32"/>
      <c r="SX282" s="32"/>
      <c r="SY282" s="32"/>
      <c r="SZ282" s="32"/>
      <c r="TA282" s="32"/>
      <c r="TB282" s="32"/>
      <c r="TC282" s="32"/>
      <c r="TD282" s="32"/>
      <c r="TE282" s="32"/>
      <c r="TF282" s="32"/>
      <c r="TG282" s="32"/>
    </row>
    <row r="283" spans="1:527" s="34" customFormat="1" ht="35.25" customHeight="1" x14ac:dyDescent="0.25">
      <c r="A283" s="100" t="s">
        <v>212</v>
      </c>
      <c r="B283" s="113"/>
      <c r="C283" s="113"/>
      <c r="D283" s="81" t="s">
        <v>43</v>
      </c>
      <c r="E283" s="102">
        <f>E284</f>
        <v>4340725</v>
      </c>
      <c r="F283" s="102">
        <f t="shared" si="150"/>
        <v>4340725</v>
      </c>
      <c r="G283" s="102">
        <f t="shared" si="150"/>
        <v>3301600</v>
      </c>
      <c r="H283" s="102">
        <f t="shared" si="150"/>
        <v>65425</v>
      </c>
      <c r="I283" s="102">
        <f t="shared" si="150"/>
        <v>0</v>
      </c>
      <c r="J283" s="102">
        <f t="shared" si="150"/>
        <v>0</v>
      </c>
      <c r="K283" s="102">
        <f t="shared" si="151"/>
        <v>0</v>
      </c>
      <c r="L283" s="102">
        <f t="shared" si="152"/>
        <v>0</v>
      </c>
      <c r="M283" s="102">
        <f t="shared" si="153"/>
        <v>0</v>
      </c>
      <c r="N283" s="102">
        <f t="shared" si="154"/>
        <v>0</v>
      </c>
      <c r="O283" s="102">
        <f t="shared" si="155"/>
        <v>0</v>
      </c>
      <c r="P283" s="102">
        <f t="shared" si="155"/>
        <v>4340725</v>
      </c>
      <c r="Q283" s="188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  <c r="QA283" s="33"/>
      <c r="QB283" s="33"/>
      <c r="QC283" s="33"/>
      <c r="QD283" s="33"/>
      <c r="QE283" s="33"/>
      <c r="QF283" s="33"/>
      <c r="QG283" s="33"/>
      <c r="QH283" s="33"/>
      <c r="QI283" s="33"/>
      <c r="QJ283" s="33"/>
      <c r="QK283" s="33"/>
      <c r="QL283" s="33"/>
      <c r="QM283" s="33"/>
      <c r="QN283" s="33"/>
      <c r="QO283" s="33"/>
      <c r="QP283" s="33"/>
      <c r="QQ283" s="33"/>
      <c r="QR283" s="33"/>
      <c r="QS283" s="33"/>
      <c r="QT283" s="33"/>
      <c r="QU283" s="33"/>
      <c r="QV283" s="33"/>
      <c r="QW283" s="33"/>
      <c r="QX283" s="33"/>
      <c r="QY283" s="33"/>
      <c r="QZ283" s="33"/>
      <c r="RA283" s="33"/>
      <c r="RB283" s="33"/>
      <c r="RC283" s="33"/>
      <c r="RD283" s="33"/>
      <c r="RE283" s="33"/>
      <c r="RF283" s="33"/>
      <c r="RG283" s="33"/>
      <c r="RH283" s="33"/>
      <c r="RI283" s="33"/>
      <c r="RJ283" s="33"/>
      <c r="RK283" s="33"/>
      <c r="RL283" s="33"/>
      <c r="RM283" s="33"/>
      <c r="RN283" s="33"/>
      <c r="RO283" s="33"/>
      <c r="RP283" s="33"/>
      <c r="RQ283" s="33"/>
      <c r="RR283" s="33"/>
      <c r="RS283" s="33"/>
      <c r="RT283" s="33"/>
      <c r="RU283" s="33"/>
      <c r="RV283" s="33"/>
      <c r="RW283" s="33"/>
      <c r="RX283" s="33"/>
      <c r="RY283" s="33"/>
      <c r="RZ283" s="33"/>
      <c r="SA283" s="33"/>
      <c r="SB283" s="33"/>
      <c r="SC283" s="33"/>
      <c r="SD283" s="33"/>
      <c r="SE283" s="33"/>
      <c r="SF283" s="33"/>
      <c r="SG283" s="33"/>
      <c r="SH283" s="33"/>
      <c r="SI283" s="33"/>
      <c r="SJ283" s="33"/>
      <c r="SK283" s="33"/>
      <c r="SL283" s="33"/>
      <c r="SM283" s="33"/>
      <c r="SN283" s="33"/>
      <c r="SO283" s="33"/>
      <c r="SP283" s="33"/>
      <c r="SQ283" s="33"/>
      <c r="SR283" s="33"/>
      <c r="SS283" s="33"/>
      <c r="ST283" s="33"/>
      <c r="SU283" s="33"/>
      <c r="SV283" s="33"/>
      <c r="SW283" s="33"/>
      <c r="SX283" s="33"/>
      <c r="SY283" s="33"/>
      <c r="SZ283" s="33"/>
      <c r="TA283" s="33"/>
      <c r="TB283" s="33"/>
      <c r="TC283" s="33"/>
      <c r="TD283" s="33"/>
      <c r="TE283" s="33"/>
      <c r="TF283" s="33"/>
      <c r="TG283" s="33"/>
    </row>
    <row r="284" spans="1:527" s="22" customFormat="1" ht="49.5" customHeight="1" x14ac:dyDescent="0.25">
      <c r="A284" s="60" t="s">
        <v>213</v>
      </c>
      <c r="B284" s="97" t="str">
        <f>'дод 5'!A20</f>
        <v>0160</v>
      </c>
      <c r="C284" s="97" t="str">
        <f>'дод 5'!B20</f>
        <v>0111</v>
      </c>
      <c r="D284" s="36" t="s">
        <v>503</v>
      </c>
      <c r="E284" s="103">
        <f>F284+I284</f>
        <v>4340725</v>
      </c>
      <c r="F284" s="103">
        <f>4301300+20000+19425</f>
        <v>4340725</v>
      </c>
      <c r="G284" s="103">
        <v>3301600</v>
      </c>
      <c r="H284" s="103">
        <f>46000+19425</f>
        <v>65425</v>
      </c>
      <c r="I284" s="103"/>
      <c r="J284" s="103">
        <f>L284+O284</f>
        <v>0</v>
      </c>
      <c r="K284" s="103"/>
      <c r="L284" s="103"/>
      <c r="M284" s="103"/>
      <c r="N284" s="103"/>
      <c r="O284" s="103"/>
      <c r="P284" s="103">
        <f>E284+J284</f>
        <v>4340725</v>
      </c>
      <c r="Q284" s="188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7" customFormat="1" ht="37.5" customHeight="1" x14ac:dyDescent="0.25">
      <c r="A285" s="114" t="s">
        <v>215</v>
      </c>
      <c r="B285" s="116"/>
      <c r="C285" s="116"/>
      <c r="D285" s="111" t="s">
        <v>40</v>
      </c>
      <c r="E285" s="99">
        <f>E286</f>
        <v>21483478</v>
      </c>
      <c r="F285" s="99">
        <f t="shared" ref="F285:J285" si="156">F286</f>
        <v>20983478</v>
      </c>
      <c r="G285" s="99">
        <f t="shared" si="156"/>
        <v>14962200</v>
      </c>
      <c r="H285" s="99">
        <f t="shared" si="156"/>
        <v>308778</v>
      </c>
      <c r="I285" s="99">
        <f t="shared" si="156"/>
        <v>500000</v>
      </c>
      <c r="J285" s="99">
        <f t="shared" si="156"/>
        <v>65000</v>
      </c>
      <c r="K285" s="99">
        <f t="shared" ref="K285" si="157">K286</f>
        <v>65000</v>
      </c>
      <c r="L285" s="99">
        <f t="shared" ref="L285" si="158">L286</f>
        <v>0</v>
      </c>
      <c r="M285" s="99">
        <f t="shared" ref="M285" si="159">M286</f>
        <v>0</v>
      </c>
      <c r="N285" s="99">
        <f t="shared" ref="N285" si="160">N286</f>
        <v>0</v>
      </c>
      <c r="O285" s="99">
        <f t="shared" ref="O285" si="161">O286</f>
        <v>65000</v>
      </c>
      <c r="P285" s="99">
        <f>P286</f>
        <v>21548478</v>
      </c>
      <c r="Q285" s="188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  <c r="IT285" s="32"/>
      <c r="IU285" s="32"/>
      <c r="IV285" s="32"/>
      <c r="IW285" s="32"/>
      <c r="IX285" s="32"/>
      <c r="IY285" s="32"/>
      <c r="IZ285" s="32"/>
      <c r="JA285" s="32"/>
      <c r="JB285" s="32"/>
      <c r="JC285" s="32"/>
      <c r="JD285" s="32"/>
      <c r="JE285" s="32"/>
      <c r="JF285" s="32"/>
      <c r="JG285" s="32"/>
      <c r="JH285" s="32"/>
      <c r="JI285" s="32"/>
      <c r="JJ285" s="32"/>
      <c r="JK285" s="32"/>
      <c r="JL285" s="32"/>
      <c r="JM285" s="32"/>
      <c r="JN285" s="32"/>
      <c r="JO285" s="32"/>
      <c r="JP285" s="32"/>
      <c r="JQ285" s="32"/>
      <c r="JR285" s="32"/>
      <c r="JS285" s="32"/>
      <c r="JT285" s="32"/>
      <c r="JU285" s="32"/>
      <c r="JV285" s="32"/>
      <c r="JW285" s="32"/>
      <c r="JX285" s="32"/>
      <c r="JY285" s="32"/>
      <c r="JZ285" s="32"/>
      <c r="KA285" s="32"/>
      <c r="KB285" s="32"/>
      <c r="KC285" s="32"/>
      <c r="KD285" s="32"/>
      <c r="KE285" s="32"/>
      <c r="KF285" s="32"/>
      <c r="KG285" s="32"/>
      <c r="KH285" s="32"/>
      <c r="KI285" s="32"/>
      <c r="KJ285" s="32"/>
      <c r="KK285" s="32"/>
      <c r="KL285" s="32"/>
      <c r="KM285" s="32"/>
      <c r="KN285" s="32"/>
      <c r="KO285" s="32"/>
      <c r="KP285" s="32"/>
      <c r="KQ285" s="32"/>
      <c r="KR285" s="32"/>
      <c r="KS285" s="32"/>
      <c r="KT285" s="32"/>
      <c r="KU285" s="32"/>
      <c r="KV285" s="32"/>
      <c r="KW285" s="32"/>
      <c r="KX285" s="32"/>
      <c r="KY285" s="32"/>
      <c r="KZ285" s="32"/>
      <c r="LA285" s="32"/>
      <c r="LB285" s="32"/>
      <c r="LC285" s="32"/>
      <c r="LD285" s="32"/>
      <c r="LE285" s="32"/>
      <c r="LF285" s="32"/>
      <c r="LG285" s="32"/>
      <c r="LH285" s="32"/>
      <c r="LI285" s="32"/>
      <c r="LJ285" s="32"/>
      <c r="LK285" s="32"/>
      <c r="LL285" s="32"/>
      <c r="LM285" s="32"/>
      <c r="LN285" s="32"/>
      <c r="LO285" s="32"/>
      <c r="LP285" s="32"/>
      <c r="LQ285" s="32"/>
      <c r="LR285" s="32"/>
      <c r="LS285" s="32"/>
      <c r="LT285" s="32"/>
      <c r="LU285" s="32"/>
      <c r="LV285" s="32"/>
      <c r="LW285" s="32"/>
      <c r="LX285" s="32"/>
      <c r="LY285" s="32"/>
      <c r="LZ285" s="32"/>
      <c r="MA285" s="32"/>
      <c r="MB285" s="32"/>
      <c r="MC285" s="32"/>
      <c r="MD285" s="32"/>
      <c r="ME285" s="32"/>
      <c r="MF285" s="32"/>
      <c r="MG285" s="32"/>
      <c r="MH285" s="32"/>
      <c r="MI285" s="32"/>
      <c r="MJ285" s="32"/>
      <c r="MK285" s="32"/>
      <c r="ML285" s="32"/>
      <c r="MM285" s="32"/>
      <c r="MN285" s="32"/>
      <c r="MO285" s="32"/>
      <c r="MP285" s="32"/>
      <c r="MQ285" s="32"/>
      <c r="MR285" s="32"/>
      <c r="MS285" s="32"/>
      <c r="MT285" s="32"/>
      <c r="MU285" s="32"/>
      <c r="MV285" s="32"/>
      <c r="MW285" s="32"/>
      <c r="MX285" s="32"/>
      <c r="MY285" s="32"/>
      <c r="MZ285" s="32"/>
      <c r="NA285" s="32"/>
      <c r="NB285" s="32"/>
      <c r="NC285" s="32"/>
      <c r="ND285" s="32"/>
      <c r="NE285" s="32"/>
      <c r="NF285" s="32"/>
      <c r="NG285" s="32"/>
      <c r="NH285" s="32"/>
      <c r="NI285" s="32"/>
      <c r="NJ285" s="32"/>
      <c r="NK285" s="32"/>
      <c r="NL285" s="32"/>
      <c r="NM285" s="32"/>
      <c r="NN285" s="32"/>
      <c r="NO285" s="32"/>
      <c r="NP285" s="32"/>
      <c r="NQ285" s="32"/>
      <c r="NR285" s="32"/>
      <c r="NS285" s="32"/>
      <c r="NT285" s="32"/>
      <c r="NU285" s="32"/>
      <c r="NV285" s="32"/>
      <c r="NW285" s="32"/>
      <c r="NX285" s="32"/>
      <c r="NY285" s="32"/>
      <c r="NZ285" s="32"/>
      <c r="OA285" s="32"/>
      <c r="OB285" s="32"/>
      <c r="OC285" s="32"/>
      <c r="OD285" s="32"/>
      <c r="OE285" s="32"/>
      <c r="OF285" s="32"/>
      <c r="OG285" s="32"/>
      <c r="OH285" s="32"/>
      <c r="OI285" s="32"/>
      <c r="OJ285" s="32"/>
      <c r="OK285" s="32"/>
      <c r="OL285" s="32"/>
      <c r="OM285" s="32"/>
      <c r="ON285" s="32"/>
      <c r="OO285" s="32"/>
      <c r="OP285" s="32"/>
      <c r="OQ285" s="32"/>
      <c r="OR285" s="32"/>
      <c r="OS285" s="32"/>
      <c r="OT285" s="32"/>
      <c r="OU285" s="32"/>
      <c r="OV285" s="32"/>
      <c r="OW285" s="32"/>
      <c r="OX285" s="32"/>
      <c r="OY285" s="32"/>
      <c r="OZ285" s="32"/>
      <c r="PA285" s="32"/>
      <c r="PB285" s="32"/>
      <c r="PC285" s="32"/>
      <c r="PD285" s="32"/>
      <c r="PE285" s="32"/>
      <c r="PF285" s="32"/>
      <c r="PG285" s="32"/>
      <c r="PH285" s="32"/>
      <c r="PI285" s="32"/>
      <c r="PJ285" s="32"/>
      <c r="PK285" s="32"/>
      <c r="PL285" s="32"/>
      <c r="PM285" s="32"/>
      <c r="PN285" s="32"/>
      <c r="PO285" s="32"/>
      <c r="PP285" s="32"/>
      <c r="PQ285" s="32"/>
      <c r="PR285" s="32"/>
      <c r="PS285" s="32"/>
      <c r="PT285" s="32"/>
      <c r="PU285" s="32"/>
      <c r="PV285" s="32"/>
      <c r="PW285" s="32"/>
      <c r="PX285" s="32"/>
      <c r="PY285" s="32"/>
      <c r="PZ285" s="32"/>
      <c r="QA285" s="32"/>
      <c r="QB285" s="32"/>
      <c r="QC285" s="32"/>
      <c r="QD285" s="32"/>
      <c r="QE285" s="32"/>
      <c r="QF285" s="32"/>
      <c r="QG285" s="32"/>
      <c r="QH285" s="32"/>
      <c r="QI285" s="32"/>
      <c r="QJ285" s="32"/>
      <c r="QK285" s="32"/>
      <c r="QL285" s="32"/>
      <c r="QM285" s="32"/>
      <c r="QN285" s="32"/>
      <c r="QO285" s="32"/>
      <c r="QP285" s="32"/>
      <c r="QQ285" s="32"/>
      <c r="QR285" s="32"/>
      <c r="QS285" s="32"/>
      <c r="QT285" s="32"/>
      <c r="QU285" s="32"/>
      <c r="QV285" s="32"/>
      <c r="QW285" s="32"/>
      <c r="QX285" s="32"/>
      <c r="QY285" s="32"/>
      <c r="QZ285" s="32"/>
      <c r="RA285" s="32"/>
      <c r="RB285" s="32"/>
      <c r="RC285" s="32"/>
      <c r="RD285" s="32"/>
      <c r="RE285" s="32"/>
      <c r="RF285" s="32"/>
      <c r="RG285" s="32"/>
      <c r="RH285" s="32"/>
      <c r="RI285" s="32"/>
      <c r="RJ285" s="32"/>
      <c r="RK285" s="32"/>
      <c r="RL285" s="32"/>
      <c r="RM285" s="32"/>
      <c r="RN285" s="32"/>
      <c r="RO285" s="32"/>
      <c r="RP285" s="32"/>
      <c r="RQ285" s="32"/>
      <c r="RR285" s="32"/>
      <c r="RS285" s="32"/>
      <c r="RT285" s="32"/>
      <c r="RU285" s="32"/>
      <c r="RV285" s="32"/>
      <c r="RW285" s="32"/>
      <c r="RX285" s="32"/>
      <c r="RY285" s="32"/>
      <c r="RZ285" s="32"/>
      <c r="SA285" s="32"/>
      <c r="SB285" s="32"/>
      <c r="SC285" s="32"/>
      <c r="SD285" s="32"/>
      <c r="SE285" s="32"/>
      <c r="SF285" s="32"/>
      <c r="SG285" s="32"/>
      <c r="SH285" s="32"/>
      <c r="SI285" s="32"/>
      <c r="SJ285" s="32"/>
      <c r="SK285" s="32"/>
      <c r="SL285" s="32"/>
      <c r="SM285" s="32"/>
      <c r="SN285" s="32"/>
      <c r="SO285" s="32"/>
      <c r="SP285" s="32"/>
      <c r="SQ285" s="32"/>
      <c r="SR285" s="32"/>
      <c r="SS285" s="32"/>
      <c r="ST285" s="32"/>
      <c r="SU285" s="32"/>
      <c r="SV285" s="32"/>
      <c r="SW285" s="32"/>
      <c r="SX285" s="32"/>
      <c r="SY285" s="32"/>
      <c r="SZ285" s="32"/>
      <c r="TA285" s="32"/>
      <c r="TB285" s="32"/>
      <c r="TC285" s="32"/>
      <c r="TD285" s="32"/>
      <c r="TE285" s="32"/>
      <c r="TF285" s="32"/>
      <c r="TG285" s="32"/>
    </row>
    <row r="286" spans="1:527" s="34" customFormat="1" ht="33.75" customHeight="1" x14ac:dyDescent="0.25">
      <c r="A286" s="100" t="s">
        <v>216</v>
      </c>
      <c r="B286" s="113"/>
      <c r="C286" s="113"/>
      <c r="D286" s="81" t="s">
        <v>40</v>
      </c>
      <c r="E286" s="102">
        <f>E287+E288++E289+E290+E291+E292</f>
        <v>21483478</v>
      </c>
      <c r="F286" s="102">
        <f t="shared" ref="F286:P286" si="162">F287+F288++F289+F290+F291+F292</f>
        <v>20983478</v>
      </c>
      <c r="G286" s="102">
        <f t="shared" si="162"/>
        <v>14962200</v>
      </c>
      <c r="H286" s="102">
        <f t="shared" si="162"/>
        <v>308778</v>
      </c>
      <c r="I286" s="102">
        <f t="shared" si="162"/>
        <v>500000</v>
      </c>
      <c r="J286" s="102">
        <f t="shared" si="162"/>
        <v>65000</v>
      </c>
      <c r="K286" s="102">
        <f>K287+K288++K289+K290+K291+K292</f>
        <v>65000</v>
      </c>
      <c r="L286" s="102">
        <f t="shared" si="162"/>
        <v>0</v>
      </c>
      <c r="M286" s="102">
        <f t="shared" si="162"/>
        <v>0</v>
      </c>
      <c r="N286" s="102">
        <f t="shared" si="162"/>
        <v>0</v>
      </c>
      <c r="O286" s="102">
        <f t="shared" si="162"/>
        <v>65000</v>
      </c>
      <c r="P286" s="102">
        <f t="shared" si="162"/>
        <v>21548478</v>
      </c>
      <c r="Q286" s="188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  <c r="QA286" s="33"/>
      <c r="QB286" s="33"/>
      <c r="QC286" s="33"/>
      <c r="QD286" s="33"/>
      <c r="QE286" s="33"/>
      <c r="QF286" s="33"/>
      <c r="QG286" s="33"/>
      <c r="QH286" s="33"/>
      <c r="QI286" s="33"/>
      <c r="QJ286" s="33"/>
      <c r="QK286" s="33"/>
      <c r="QL286" s="33"/>
      <c r="QM286" s="33"/>
      <c r="QN286" s="33"/>
      <c r="QO286" s="33"/>
      <c r="QP286" s="33"/>
      <c r="QQ286" s="33"/>
      <c r="QR286" s="33"/>
      <c r="QS286" s="33"/>
      <c r="QT286" s="33"/>
      <c r="QU286" s="33"/>
      <c r="QV286" s="33"/>
      <c r="QW286" s="33"/>
      <c r="QX286" s="33"/>
      <c r="QY286" s="33"/>
      <c r="QZ286" s="33"/>
      <c r="RA286" s="33"/>
      <c r="RB286" s="33"/>
      <c r="RC286" s="33"/>
      <c r="RD286" s="33"/>
      <c r="RE286" s="33"/>
      <c r="RF286" s="33"/>
      <c r="RG286" s="33"/>
      <c r="RH286" s="33"/>
      <c r="RI286" s="33"/>
      <c r="RJ286" s="33"/>
      <c r="RK286" s="33"/>
      <c r="RL286" s="33"/>
      <c r="RM286" s="33"/>
      <c r="RN286" s="33"/>
      <c r="RO286" s="33"/>
      <c r="RP286" s="33"/>
      <c r="RQ286" s="33"/>
      <c r="RR286" s="33"/>
      <c r="RS286" s="33"/>
      <c r="RT286" s="33"/>
      <c r="RU286" s="33"/>
      <c r="RV286" s="33"/>
      <c r="RW286" s="33"/>
      <c r="RX286" s="33"/>
      <c r="RY286" s="33"/>
      <c r="RZ286" s="33"/>
      <c r="SA286" s="33"/>
      <c r="SB286" s="33"/>
      <c r="SC286" s="33"/>
      <c r="SD286" s="33"/>
      <c r="SE286" s="33"/>
      <c r="SF286" s="33"/>
      <c r="SG286" s="33"/>
      <c r="SH286" s="33"/>
      <c r="SI286" s="33"/>
      <c r="SJ286" s="33"/>
      <c r="SK286" s="33"/>
      <c r="SL286" s="33"/>
      <c r="SM286" s="33"/>
      <c r="SN286" s="33"/>
      <c r="SO286" s="33"/>
      <c r="SP286" s="33"/>
      <c r="SQ286" s="33"/>
      <c r="SR286" s="33"/>
      <c r="SS286" s="33"/>
      <c r="ST286" s="33"/>
      <c r="SU286" s="33"/>
      <c r="SV286" s="33"/>
      <c r="SW286" s="33"/>
      <c r="SX286" s="33"/>
      <c r="SY286" s="33"/>
      <c r="SZ286" s="33"/>
      <c r="TA286" s="33"/>
      <c r="TB286" s="33"/>
      <c r="TC286" s="33"/>
      <c r="TD286" s="33"/>
      <c r="TE286" s="33"/>
      <c r="TF286" s="33"/>
      <c r="TG286" s="33"/>
    </row>
    <row r="287" spans="1:527" s="22" customFormat="1" ht="47.25" x14ac:dyDescent="0.25">
      <c r="A287" s="60" t="s">
        <v>217</v>
      </c>
      <c r="B287" s="97" t="str">
        <f>'дод 5'!A20</f>
        <v>0160</v>
      </c>
      <c r="C287" s="97" t="str">
        <f>'дод 5'!B20</f>
        <v>0111</v>
      </c>
      <c r="D287" s="36" t="s">
        <v>503</v>
      </c>
      <c r="E287" s="103">
        <f t="shared" ref="E287:E292" si="163">F287+I287</f>
        <v>19330478</v>
      </c>
      <c r="F287" s="103">
        <f>19290300+18000+22178</f>
        <v>19330478</v>
      </c>
      <c r="G287" s="103">
        <v>14962200</v>
      </c>
      <c r="H287" s="103">
        <f>286600+22178</f>
        <v>308778</v>
      </c>
      <c r="I287" s="103"/>
      <c r="J287" s="103">
        <f>L287+O287</f>
        <v>0</v>
      </c>
      <c r="K287" s="103">
        <f>18000-18000</f>
        <v>0</v>
      </c>
      <c r="L287" s="103"/>
      <c r="M287" s="103"/>
      <c r="N287" s="103"/>
      <c r="O287" s="103">
        <f>18000-18000</f>
        <v>0</v>
      </c>
      <c r="P287" s="103">
        <f t="shared" ref="P287:P292" si="164">E287+J287</f>
        <v>19330478</v>
      </c>
      <c r="Q287" s="188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5" customFormat="1" ht="25.5" customHeight="1" x14ac:dyDescent="0.25">
      <c r="A288" s="60" t="s">
        <v>218</v>
      </c>
      <c r="B288" s="97" t="str">
        <f>'дод 5'!A168</f>
        <v>7130</v>
      </c>
      <c r="C288" s="97" t="str">
        <f>'дод 5'!B168</f>
        <v>0421</v>
      </c>
      <c r="D288" s="61" t="str">
        <f>'дод 5'!C168</f>
        <v>Здійснення заходів із землеустрою</v>
      </c>
      <c r="E288" s="103">
        <f t="shared" si="163"/>
        <v>450000</v>
      </c>
      <c r="F288" s="103">
        <f>150000+300000</f>
        <v>450000</v>
      </c>
      <c r="G288" s="103"/>
      <c r="H288" s="103"/>
      <c r="I288" s="103"/>
      <c r="J288" s="103">
        <f t="shared" ref="J288:J292" si="165">L288+O288</f>
        <v>0</v>
      </c>
      <c r="K288" s="103"/>
      <c r="L288" s="103"/>
      <c r="M288" s="103"/>
      <c r="N288" s="103"/>
      <c r="O288" s="103"/>
      <c r="P288" s="103">
        <f t="shared" si="164"/>
        <v>450000</v>
      </c>
      <c r="Q288" s="188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  <c r="IW288" s="31"/>
      <c r="IX288" s="31"/>
      <c r="IY288" s="31"/>
      <c r="IZ288" s="31"/>
      <c r="JA288" s="31"/>
      <c r="JB288" s="31"/>
      <c r="JC288" s="31"/>
      <c r="JD288" s="31"/>
      <c r="JE288" s="31"/>
      <c r="JF288" s="31"/>
      <c r="JG288" s="31"/>
      <c r="JH288" s="31"/>
      <c r="JI288" s="31"/>
      <c r="JJ288" s="31"/>
      <c r="JK288" s="31"/>
      <c r="JL288" s="31"/>
      <c r="JM288" s="31"/>
      <c r="JN288" s="31"/>
      <c r="JO288" s="31"/>
      <c r="JP288" s="31"/>
      <c r="JQ288" s="31"/>
      <c r="JR288" s="31"/>
      <c r="JS288" s="31"/>
      <c r="JT288" s="31"/>
      <c r="JU288" s="31"/>
      <c r="JV288" s="31"/>
      <c r="JW288" s="31"/>
      <c r="JX288" s="31"/>
      <c r="JY288" s="31"/>
      <c r="JZ288" s="31"/>
      <c r="KA288" s="31"/>
      <c r="KB288" s="31"/>
      <c r="KC288" s="31"/>
      <c r="KD288" s="31"/>
      <c r="KE288" s="31"/>
      <c r="KF288" s="31"/>
      <c r="KG288" s="31"/>
      <c r="KH288" s="31"/>
      <c r="KI288" s="31"/>
      <c r="KJ288" s="31"/>
      <c r="KK288" s="31"/>
      <c r="KL288" s="31"/>
      <c r="KM288" s="31"/>
      <c r="KN288" s="31"/>
      <c r="KO288" s="31"/>
      <c r="KP288" s="31"/>
      <c r="KQ288" s="31"/>
      <c r="KR288" s="31"/>
      <c r="KS288" s="31"/>
      <c r="KT288" s="31"/>
      <c r="KU288" s="31"/>
      <c r="KV288" s="31"/>
      <c r="KW288" s="31"/>
      <c r="KX288" s="31"/>
      <c r="KY288" s="31"/>
      <c r="KZ288" s="31"/>
      <c r="LA288" s="31"/>
      <c r="LB288" s="31"/>
      <c r="LC288" s="31"/>
      <c r="LD288" s="31"/>
      <c r="LE288" s="31"/>
      <c r="LF288" s="31"/>
      <c r="LG288" s="31"/>
      <c r="LH288" s="31"/>
      <c r="LI288" s="31"/>
      <c r="LJ288" s="31"/>
      <c r="LK288" s="31"/>
      <c r="LL288" s="31"/>
      <c r="LM288" s="31"/>
      <c r="LN288" s="31"/>
      <c r="LO288" s="31"/>
      <c r="LP288" s="31"/>
      <c r="LQ288" s="31"/>
      <c r="LR288" s="31"/>
      <c r="LS288" s="31"/>
      <c r="LT288" s="31"/>
      <c r="LU288" s="31"/>
      <c r="LV288" s="31"/>
      <c r="LW288" s="31"/>
      <c r="LX288" s="31"/>
      <c r="LY288" s="31"/>
      <c r="LZ288" s="31"/>
      <c r="MA288" s="31"/>
      <c r="MB288" s="31"/>
      <c r="MC288" s="31"/>
      <c r="MD288" s="31"/>
      <c r="ME288" s="31"/>
      <c r="MF288" s="31"/>
      <c r="MG288" s="31"/>
      <c r="MH288" s="31"/>
      <c r="MI288" s="31"/>
      <c r="MJ288" s="31"/>
      <c r="MK288" s="31"/>
      <c r="ML288" s="31"/>
      <c r="MM288" s="31"/>
      <c r="MN288" s="31"/>
      <c r="MO288" s="31"/>
      <c r="MP288" s="31"/>
      <c r="MQ288" s="31"/>
      <c r="MR288" s="31"/>
      <c r="MS288" s="31"/>
      <c r="MT288" s="31"/>
      <c r="MU288" s="31"/>
      <c r="MV288" s="31"/>
      <c r="MW288" s="31"/>
      <c r="MX288" s="31"/>
      <c r="MY288" s="31"/>
      <c r="MZ288" s="31"/>
      <c r="NA288" s="31"/>
      <c r="NB288" s="31"/>
      <c r="NC288" s="31"/>
      <c r="ND288" s="31"/>
      <c r="NE288" s="31"/>
      <c r="NF288" s="31"/>
      <c r="NG288" s="31"/>
      <c r="NH288" s="31"/>
      <c r="NI288" s="31"/>
      <c r="NJ288" s="31"/>
      <c r="NK288" s="31"/>
      <c r="NL288" s="31"/>
      <c r="NM288" s="31"/>
      <c r="NN288" s="31"/>
      <c r="NO288" s="31"/>
      <c r="NP288" s="31"/>
      <c r="NQ288" s="31"/>
      <c r="NR288" s="31"/>
      <c r="NS288" s="31"/>
      <c r="NT288" s="31"/>
      <c r="NU288" s="31"/>
      <c r="NV288" s="31"/>
      <c r="NW288" s="31"/>
      <c r="NX288" s="31"/>
      <c r="NY288" s="31"/>
      <c r="NZ288" s="31"/>
      <c r="OA288" s="31"/>
      <c r="OB288" s="31"/>
      <c r="OC288" s="31"/>
      <c r="OD288" s="31"/>
      <c r="OE288" s="31"/>
      <c r="OF288" s="31"/>
      <c r="OG288" s="31"/>
      <c r="OH288" s="31"/>
      <c r="OI288" s="31"/>
      <c r="OJ288" s="31"/>
      <c r="OK288" s="31"/>
      <c r="OL288" s="31"/>
      <c r="OM288" s="31"/>
      <c r="ON288" s="31"/>
      <c r="OO288" s="31"/>
      <c r="OP288" s="31"/>
      <c r="OQ288" s="31"/>
      <c r="OR288" s="31"/>
      <c r="OS288" s="31"/>
      <c r="OT288" s="31"/>
      <c r="OU288" s="31"/>
      <c r="OV288" s="31"/>
      <c r="OW288" s="31"/>
      <c r="OX288" s="31"/>
      <c r="OY288" s="31"/>
      <c r="OZ288" s="31"/>
      <c r="PA288" s="31"/>
      <c r="PB288" s="31"/>
      <c r="PC288" s="31"/>
      <c r="PD288" s="31"/>
      <c r="PE288" s="31"/>
      <c r="PF288" s="31"/>
      <c r="PG288" s="31"/>
      <c r="PH288" s="31"/>
      <c r="PI288" s="31"/>
      <c r="PJ288" s="31"/>
      <c r="PK288" s="31"/>
      <c r="PL288" s="31"/>
      <c r="PM288" s="31"/>
      <c r="PN288" s="31"/>
      <c r="PO288" s="31"/>
      <c r="PP288" s="31"/>
      <c r="PQ288" s="31"/>
      <c r="PR288" s="31"/>
      <c r="PS288" s="31"/>
      <c r="PT288" s="31"/>
      <c r="PU288" s="31"/>
      <c r="PV288" s="31"/>
      <c r="PW288" s="31"/>
      <c r="PX288" s="31"/>
      <c r="PY288" s="31"/>
      <c r="PZ288" s="31"/>
      <c r="QA288" s="31"/>
      <c r="QB288" s="31"/>
      <c r="QC288" s="31"/>
      <c r="QD288" s="31"/>
      <c r="QE288" s="31"/>
      <c r="QF288" s="31"/>
      <c r="QG288" s="31"/>
      <c r="QH288" s="31"/>
      <c r="QI288" s="31"/>
      <c r="QJ288" s="31"/>
      <c r="QK288" s="31"/>
      <c r="QL288" s="31"/>
      <c r="QM288" s="31"/>
      <c r="QN288" s="31"/>
      <c r="QO288" s="31"/>
      <c r="QP288" s="31"/>
      <c r="QQ288" s="31"/>
      <c r="QR288" s="31"/>
      <c r="QS288" s="31"/>
      <c r="QT288" s="31"/>
      <c r="QU288" s="31"/>
      <c r="QV288" s="31"/>
      <c r="QW288" s="31"/>
      <c r="QX288" s="31"/>
      <c r="QY288" s="31"/>
      <c r="QZ288" s="31"/>
      <c r="RA288" s="31"/>
      <c r="RB288" s="31"/>
      <c r="RC288" s="31"/>
      <c r="RD288" s="31"/>
      <c r="RE288" s="31"/>
      <c r="RF288" s="31"/>
      <c r="RG288" s="31"/>
      <c r="RH288" s="31"/>
      <c r="RI288" s="31"/>
      <c r="RJ288" s="31"/>
      <c r="RK288" s="31"/>
      <c r="RL288" s="31"/>
      <c r="RM288" s="31"/>
      <c r="RN288" s="31"/>
      <c r="RO288" s="31"/>
      <c r="RP288" s="31"/>
      <c r="RQ288" s="31"/>
      <c r="RR288" s="31"/>
      <c r="RS288" s="31"/>
      <c r="RT288" s="31"/>
      <c r="RU288" s="31"/>
      <c r="RV288" s="31"/>
      <c r="RW288" s="31"/>
      <c r="RX288" s="31"/>
      <c r="RY288" s="31"/>
      <c r="RZ288" s="31"/>
      <c r="SA288" s="31"/>
      <c r="SB288" s="31"/>
      <c r="SC288" s="31"/>
      <c r="SD288" s="31"/>
      <c r="SE288" s="31"/>
      <c r="SF288" s="31"/>
      <c r="SG288" s="31"/>
      <c r="SH288" s="31"/>
      <c r="SI288" s="31"/>
      <c r="SJ288" s="31"/>
      <c r="SK288" s="31"/>
      <c r="SL288" s="31"/>
      <c r="SM288" s="31"/>
      <c r="SN288" s="31"/>
      <c r="SO288" s="31"/>
      <c r="SP288" s="31"/>
      <c r="SQ288" s="31"/>
      <c r="SR288" s="31"/>
      <c r="SS288" s="31"/>
      <c r="ST288" s="31"/>
      <c r="SU288" s="31"/>
      <c r="SV288" s="31"/>
      <c r="SW288" s="31"/>
      <c r="SX288" s="31"/>
      <c r="SY288" s="31"/>
      <c r="SZ288" s="31"/>
      <c r="TA288" s="31"/>
      <c r="TB288" s="31"/>
      <c r="TC288" s="31"/>
      <c r="TD288" s="31"/>
      <c r="TE288" s="31"/>
      <c r="TF288" s="31"/>
      <c r="TG288" s="31"/>
    </row>
    <row r="289" spans="1:527" s="22" customFormat="1" ht="29.25" customHeight="1" x14ac:dyDescent="0.25">
      <c r="A289" s="107" t="s">
        <v>219</v>
      </c>
      <c r="B289" s="42" t="str">
        <f>'дод 5'!A202</f>
        <v>7610</v>
      </c>
      <c r="C289" s="42" t="str">
        <f>'дод 5'!B202</f>
        <v>0411</v>
      </c>
      <c r="D289" s="36" t="str">
        <f>'дод 5'!C202</f>
        <v>Сприяння розвитку малого та середнього підприємництва</v>
      </c>
      <c r="E289" s="103">
        <f t="shared" si="163"/>
        <v>915000</v>
      </c>
      <c r="F289" s="103">
        <v>415000</v>
      </c>
      <c r="G289" s="103"/>
      <c r="H289" s="103"/>
      <c r="I289" s="103">
        <v>500000</v>
      </c>
      <c r="J289" s="103">
        <f t="shared" si="165"/>
        <v>0</v>
      </c>
      <c r="K289" s="103"/>
      <c r="L289" s="103"/>
      <c r="M289" s="103"/>
      <c r="N289" s="103"/>
      <c r="O289" s="103"/>
      <c r="P289" s="103">
        <f t="shared" si="164"/>
        <v>915000</v>
      </c>
      <c r="Q289" s="188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</row>
    <row r="290" spans="1:527" s="22" customFormat="1" ht="32.25" customHeight="1" x14ac:dyDescent="0.25">
      <c r="A290" s="107" t="s">
        <v>268</v>
      </c>
      <c r="B290" s="42" t="str">
        <f>'дод 5'!A205</f>
        <v>7650</v>
      </c>
      <c r="C290" s="42" t="str">
        <f>'дод 5'!B205</f>
        <v>0490</v>
      </c>
      <c r="D290" s="36" t="str">
        <f>'дод 5'!C205</f>
        <v>Проведення експертної грошової оцінки земельної ділянки чи права на неї</v>
      </c>
      <c r="E290" s="103">
        <f t="shared" si="163"/>
        <v>0</v>
      </c>
      <c r="F290" s="103"/>
      <c r="G290" s="103"/>
      <c r="H290" s="103"/>
      <c r="I290" s="103"/>
      <c r="J290" s="103">
        <f t="shared" si="165"/>
        <v>20000</v>
      </c>
      <c r="K290" s="103">
        <v>20000</v>
      </c>
      <c r="L290" s="103"/>
      <c r="M290" s="103"/>
      <c r="N290" s="103"/>
      <c r="O290" s="103">
        <v>20000</v>
      </c>
      <c r="P290" s="103">
        <f t="shared" si="164"/>
        <v>20000</v>
      </c>
      <c r="Q290" s="188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</row>
    <row r="291" spans="1:527" s="22" customFormat="1" ht="67.5" customHeight="1" x14ac:dyDescent="0.25">
      <c r="A291" s="107" t="s">
        <v>270</v>
      </c>
      <c r="B291" s="42" t="str">
        <f>'дод 5'!A206</f>
        <v>7660</v>
      </c>
      <c r="C291" s="42" t="str">
        <f>'дод 5'!B206</f>
        <v>0490</v>
      </c>
      <c r="D291" s="36" t="str">
        <f>'дод 5'!C206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1" s="103">
        <f t="shared" si="163"/>
        <v>0</v>
      </c>
      <c r="F291" s="103"/>
      <c r="G291" s="103"/>
      <c r="H291" s="103"/>
      <c r="I291" s="103"/>
      <c r="J291" s="103">
        <f t="shared" si="165"/>
        <v>45000</v>
      </c>
      <c r="K291" s="103">
        <v>45000</v>
      </c>
      <c r="L291" s="103"/>
      <c r="M291" s="103"/>
      <c r="N291" s="103"/>
      <c r="O291" s="103">
        <v>45000</v>
      </c>
      <c r="P291" s="103">
        <f t="shared" si="164"/>
        <v>45000</v>
      </c>
      <c r="Q291" s="188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2" customFormat="1" ht="23.25" customHeight="1" x14ac:dyDescent="0.25">
      <c r="A292" s="107" t="s">
        <v>266</v>
      </c>
      <c r="B292" s="42" t="str">
        <f>'дод 5'!A211</f>
        <v>7693</v>
      </c>
      <c r="C292" s="42" t="str">
        <f>'дод 5'!B211</f>
        <v>0490</v>
      </c>
      <c r="D292" s="36" t="str">
        <f>'дод 5'!C211</f>
        <v>Інші заходи, пов'язані з економічною діяльністю</v>
      </c>
      <c r="E292" s="103">
        <f t="shared" si="163"/>
        <v>788000</v>
      </c>
      <c r="F292" s="103">
        <f>788000</f>
        <v>788000</v>
      </c>
      <c r="G292" s="103"/>
      <c r="H292" s="103"/>
      <c r="I292" s="103"/>
      <c r="J292" s="103">
        <f t="shared" si="165"/>
        <v>0</v>
      </c>
      <c r="K292" s="103"/>
      <c r="L292" s="103"/>
      <c r="M292" s="103"/>
      <c r="N292" s="103"/>
      <c r="O292" s="103"/>
      <c r="P292" s="103">
        <f t="shared" si="164"/>
        <v>788000</v>
      </c>
      <c r="Q292" s="188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  <c r="TF292" s="23"/>
      <c r="TG292" s="23"/>
    </row>
    <row r="293" spans="1:527" s="22" customFormat="1" ht="35.25" customHeight="1" x14ac:dyDescent="0.25">
      <c r="A293" s="110" t="s">
        <v>428</v>
      </c>
      <c r="B293" s="39"/>
      <c r="C293" s="39"/>
      <c r="D293" s="111" t="s">
        <v>429</v>
      </c>
      <c r="E293" s="99">
        <f>E294</f>
        <v>20000</v>
      </c>
      <c r="F293" s="99">
        <f t="shared" ref="F293:P293" si="166">F294</f>
        <v>20000</v>
      </c>
      <c r="G293" s="99">
        <f t="shared" si="166"/>
        <v>0</v>
      </c>
      <c r="H293" s="99">
        <f t="shared" si="166"/>
        <v>0</v>
      </c>
      <c r="I293" s="99">
        <f t="shared" si="166"/>
        <v>0</v>
      </c>
      <c r="J293" s="99">
        <f t="shared" si="166"/>
        <v>0</v>
      </c>
      <c r="K293" s="99">
        <f t="shared" si="166"/>
        <v>0</v>
      </c>
      <c r="L293" s="99">
        <f t="shared" si="166"/>
        <v>0</v>
      </c>
      <c r="M293" s="99">
        <f t="shared" si="166"/>
        <v>0</v>
      </c>
      <c r="N293" s="99">
        <f t="shared" si="166"/>
        <v>0</v>
      </c>
      <c r="O293" s="99">
        <f t="shared" si="166"/>
        <v>0</v>
      </c>
      <c r="P293" s="99">
        <f t="shared" si="166"/>
        <v>20000</v>
      </c>
      <c r="Q293" s="188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  <c r="TF293" s="23"/>
      <c r="TG293" s="23"/>
    </row>
    <row r="294" spans="1:527" s="34" customFormat="1" ht="34.5" customHeight="1" x14ac:dyDescent="0.25">
      <c r="A294" s="112" t="s">
        <v>427</v>
      </c>
      <c r="B294" s="78"/>
      <c r="C294" s="78"/>
      <c r="D294" s="81" t="s">
        <v>429</v>
      </c>
      <c r="E294" s="102">
        <f>E295</f>
        <v>20000</v>
      </c>
      <c r="F294" s="102">
        <f t="shared" ref="F294:P294" si="167">F295</f>
        <v>20000</v>
      </c>
      <c r="G294" s="102">
        <f t="shared" si="167"/>
        <v>0</v>
      </c>
      <c r="H294" s="102">
        <f t="shared" si="167"/>
        <v>0</v>
      </c>
      <c r="I294" s="102">
        <f t="shared" si="167"/>
        <v>0</v>
      </c>
      <c r="J294" s="102">
        <f t="shared" si="167"/>
        <v>0</v>
      </c>
      <c r="K294" s="102">
        <f t="shared" si="167"/>
        <v>0</v>
      </c>
      <c r="L294" s="102">
        <f t="shared" si="167"/>
        <v>0</v>
      </c>
      <c r="M294" s="102">
        <f t="shared" si="167"/>
        <v>0</v>
      </c>
      <c r="N294" s="102">
        <f t="shared" si="167"/>
        <v>0</v>
      </c>
      <c r="O294" s="102">
        <f t="shared" si="167"/>
        <v>0</v>
      </c>
      <c r="P294" s="102">
        <f t="shared" si="167"/>
        <v>20000</v>
      </c>
      <c r="Q294" s="188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  <c r="QA294" s="33"/>
      <c r="QB294" s="33"/>
      <c r="QC294" s="33"/>
      <c r="QD294" s="33"/>
      <c r="QE294" s="33"/>
      <c r="QF294" s="33"/>
      <c r="QG294" s="33"/>
      <c r="QH294" s="33"/>
      <c r="QI294" s="33"/>
      <c r="QJ294" s="33"/>
      <c r="QK294" s="33"/>
      <c r="QL294" s="33"/>
      <c r="QM294" s="33"/>
      <c r="QN294" s="33"/>
      <c r="QO294" s="33"/>
      <c r="QP294" s="33"/>
      <c r="QQ294" s="33"/>
      <c r="QR294" s="33"/>
      <c r="QS294" s="33"/>
      <c r="QT294" s="33"/>
      <c r="QU294" s="33"/>
      <c r="QV294" s="33"/>
      <c r="QW294" s="33"/>
      <c r="QX294" s="33"/>
      <c r="QY294" s="33"/>
      <c r="QZ294" s="33"/>
      <c r="RA294" s="33"/>
      <c r="RB294" s="33"/>
      <c r="RC294" s="33"/>
      <c r="RD294" s="33"/>
      <c r="RE294" s="33"/>
      <c r="RF294" s="33"/>
      <c r="RG294" s="33"/>
      <c r="RH294" s="33"/>
      <c r="RI294" s="33"/>
      <c r="RJ294" s="33"/>
      <c r="RK294" s="33"/>
      <c r="RL294" s="33"/>
      <c r="RM294" s="33"/>
      <c r="RN294" s="33"/>
      <c r="RO294" s="33"/>
      <c r="RP294" s="33"/>
      <c r="RQ294" s="33"/>
      <c r="RR294" s="33"/>
      <c r="RS294" s="33"/>
      <c r="RT294" s="33"/>
      <c r="RU294" s="33"/>
      <c r="RV294" s="33"/>
      <c r="RW294" s="33"/>
      <c r="RX294" s="33"/>
      <c r="RY294" s="33"/>
      <c r="RZ294" s="33"/>
      <c r="SA294" s="33"/>
      <c r="SB294" s="33"/>
      <c r="SC294" s="33"/>
      <c r="SD294" s="33"/>
      <c r="SE294" s="33"/>
      <c r="SF294" s="33"/>
      <c r="SG294" s="33"/>
      <c r="SH294" s="33"/>
      <c r="SI294" s="33"/>
      <c r="SJ294" s="33"/>
      <c r="SK294" s="33"/>
      <c r="SL294" s="33"/>
      <c r="SM294" s="33"/>
      <c r="SN294" s="33"/>
      <c r="SO294" s="33"/>
      <c r="SP294" s="33"/>
      <c r="SQ294" s="33"/>
      <c r="SR294" s="33"/>
      <c r="SS294" s="33"/>
      <c r="ST294" s="33"/>
      <c r="SU294" s="33"/>
      <c r="SV294" s="33"/>
      <c r="SW294" s="33"/>
      <c r="SX294" s="33"/>
      <c r="SY294" s="33"/>
      <c r="SZ294" s="33"/>
      <c r="TA294" s="33"/>
      <c r="TB294" s="33"/>
      <c r="TC294" s="33"/>
      <c r="TD294" s="33"/>
      <c r="TE294" s="33"/>
      <c r="TF294" s="33"/>
      <c r="TG294" s="33"/>
    </row>
    <row r="295" spans="1:527" s="22" customFormat="1" ht="45.75" customHeight="1" x14ac:dyDescent="0.25">
      <c r="A295" s="107" t="s">
        <v>426</v>
      </c>
      <c r="B295" s="107" t="s">
        <v>121</v>
      </c>
      <c r="C295" s="107" t="s">
        <v>47</v>
      </c>
      <c r="D295" s="36" t="s">
        <v>503</v>
      </c>
      <c r="E295" s="103">
        <f t="shared" ref="E295" si="168">F295+I295</f>
        <v>20000</v>
      </c>
      <c r="F295" s="103">
        <v>20000</v>
      </c>
      <c r="G295" s="103"/>
      <c r="H295" s="103"/>
      <c r="I295" s="103"/>
      <c r="J295" s="103">
        <f>L295+O295</f>
        <v>0</v>
      </c>
      <c r="K295" s="103"/>
      <c r="L295" s="103"/>
      <c r="M295" s="103"/>
      <c r="N295" s="103"/>
      <c r="O295" s="103"/>
      <c r="P295" s="103">
        <f t="shared" ref="P295" si="169">E295+J295</f>
        <v>20000</v>
      </c>
      <c r="Q295" s="187">
        <v>17</v>
      </c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  <c r="TF295" s="23"/>
      <c r="TG295" s="23"/>
    </row>
    <row r="296" spans="1:527" s="27" customFormat="1" ht="38.25" customHeight="1" x14ac:dyDescent="0.25">
      <c r="A296" s="114" t="s">
        <v>220</v>
      </c>
      <c r="B296" s="116"/>
      <c r="C296" s="116"/>
      <c r="D296" s="111" t="s">
        <v>42</v>
      </c>
      <c r="E296" s="99">
        <f>E297</f>
        <v>137792555.44</v>
      </c>
      <c r="F296" s="99">
        <f t="shared" ref="F296:J296" si="170">F297</f>
        <v>123765812</v>
      </c>
      <c r="G296" s="99">
        <f t="shared" si="170"/>
        <v>15760200</v>
      </c>
      <c r="H296" s="99">
        <f t="shared" si="170"/>
        <v>272273</v>
      </c>
      <c r="I296" s="99">
        <f t="shared" si="170"/>
        <v>0</v>
      </c>
      <c r="J296" s="99">
        <f t="shared" si="170"/>
        <v>502000</v>
      </c>
      <c r="K296" s="99">
        <f t="shared" ref="K296" si="171">K297</f>
        <v>0</v>
      </c>
      <c r="L296" s="99">
        <f t="shared" ref="L296" si="172">L297</f>
        <v>502000</v>
      </c>
      <c r="M296" s="99">
        <f t="shared" ref="M296" si="173">M297</f>
        <v>0</v>
      </c>
      <c r="N296" s="99">
        <f t="shared" ref="N296" si="174">N297</f>
        <v>0</v>
      </c>
      <c r="O296" s="99">
        <f t="shared" ref="O296:P296" si="175">O297</f>
        <v>0</v>
      </c>
      <c r="P296" s="99">
        <f t="shared" si="175"/>
        <v>138294555.44</v>
      </c>
      <c r="Q296" s="187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</row>
    <row r="297" spans="1:527" s="34" customFormat="1" ht="34.5" customHeight="1" x14ac:dyDescent="0.25">
      <c r="A297" s="100" t="s">
        <v>221</v>
      </c>
      <c r="B297" s="113"/>
      <c r="C297" s="113"/>
      <c r="D297" s="81" t="s">
        <v>42</v>
      </c>
      <c r="E297" s="102">
        <f>SUM(E298+E299+E300+E302+E303+E304+E305+E301)</f>
        <v>137792555.44</v>
      </c>
      <c r="F297" s="102">
        <f t="shared" ref="F297:P297" si="176">SUM(F298+F299+F300+F302+F303+F304+F305+F301)</f>
        <v>123765812</v>
      </c>
      <c r="G297" s="102">
        <f t="shared" si="176"/>
        <v>15760200</v>
      </c>
      <c r="H297" s="102">
        <f t="shared" si="176"/>
        <v>272273</v>
      </c>
      <c r="I297" s="102">
        <f t="shared" si="176"/>
        <v>0</v>
      </c>
      <c r="J297" s="102">
        <f t="shared" si="176"/>
        <v>502000</v>
      </c>
      <c r="K297" s="102">
        <f t="shared" si="176"/>
        <v>0</v>
      </c>
      <c r="L297" s="102">
        <f t="shared" si="176"/>
        <v>502000</v>
      </c>
      <c r="M297" s="102">
        <f t="shared" si="176"/>
        <v>0</v>
      </c>
      <c r="N297" s="102">
        <f t="shared" si="176"/>
        <v>0</v>
      </c>
      <c r="O297" s="102">
        <f t="shared" si="176"/>
        <v>0</v>
      </c>
      <c r="P297" s="102">
        <f t="shared" si="176"/>
        <v>138294555.44</v>
      </c>
      <c r="Q297" s="187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3"/>
      <c r="LZ297" s="33"/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  <c r="MZ297" s="33"/>
      <c r="NA297" s="33"/>
      <c r="NB297" s="33"/>
      <c r="NC297" s="33"/>
      <c r="ND297" s="33"/>
      <c r="NE297" s="33"/>
      <c r="NF297" s="33"/>
      <c r="NG297" s="33"/>
      <c r="NH297" s="33"/>
      <c r="NI297" s="33"/>
      <c r="NJ297" s="33"/>
      <c r="NK297" s="33"/>
      <c r="NL297" s="33"/>
      <c r="NM297" s="33"/>
      <c r="NN297" s="33"/>
      <c r="NO297" s="33"/>
      <c r="NP297" s="33"/>
      <c r="NQ297" s="33"/>
      <c r="NR297" s="33"/>
      <c r="NS297" s="33"/>
      <c r="NT297" s="33"/>
      <c r="NU297" s="33"/>
      <c r="NV297" s="33"/>
      <c r="NW297" s="33"/>
      <c r="NX297" s="33"/>
      <c r="NY297" s="33"/>
      <c r="NZ297" s="33"/>
      <c r="OA297" s="33"/>
      <c r="OB297" s="33"/>
      <c r="OC297" s="33"/>
      <c r="OD297" s="33"/>
      <c r="OE297" s="33"/>
      <c r="OF297" s="33"/>
      <c r="OG297" s="33"/>
      <c r="OH297" s="33"/>
      <c r="OI297" s="33"/>
      <c r="OJ297" s="33"/>
      <c r="OK297" s="33"/>
      <c r="OL297" s="33"/>
      <c r="OM297" s="33"/>
      <c r="ON297" s="33"/>
      <c r="OO297" s="33"/>
      <c r="OP297" s="33"/>
      <c r="OQ297" s="33"/>
      <c r="OR297" s="33"/>
      <c r="OS297" s="33"/>
      <c r="OT297" s="33"/>
      <c r="OU297" s="33"/>
      <c r="OV297" s="33"/>
      <c r="OW297" s="33"/>
      <c r="OX297" s="33"/>
      <c r="OY297" s="33"/>
      <c r="OZ297" s="33"/>
      <c r="PA297" s="33"/>
      <c r="PB297" s="33"/>
      <c r="PC297" s="33"/>
      <c r="PD297" s="33"/>
      <c r="PE297" s="33"/>
      <c r="PF297" s="33"/>
      <c r="PG297" s="33"/>
      <c r="PH297" s="33"/>
      <c r="PI297" s="33"/>
      <c r="PJ297" s="33"/>
      <c r="PK297" s="33"/>
      <c r="PL297" s="33"/>
      <c r="PM297" s="33"/>
      <c r="PN297" s="33"/>
      <c r="PO297" s="33"/>
      <c r="PP297" s="33"/>
      <c r="PQ297" s="33"/>
      <c r="PR297" s="33"/>
      <c r="PS297" s="33"/>
      <c r="PT297" s="33"/>
      <c r="PU297" s="33"/>
      <c r="PV297" s="33"/>
      <c r="PW297" s="33"/>
      <c r="PX297" s="33"/>
      <c r="PY297" s="33"/>
      <c r="PZ297" s="33"/>
      <c r="QA297" s="33"/>
      <c r="QB297" s="33"/>
      <c r="QC297" s="33"/>
      <c r="QD297" s="33"/>
      <c r="QE297" s="33"/>
      <c r="QF297" s="33"/>
      <c r="QG297" s="33"/>
      <c r="QH297" s="33"/>
      <c r="QI297" s="33"/>
      <c r="QJ297" s="33"/>
      <c r="QK297" s="33"/>
      <c r="QL297" s="33"/>
      <c r="QM297" s="33"/>
      <c r="QN297" s="33"/>
      <c r="QO297" s="33"/>
      <c r="QP297" s="33"/>
      <c r="QQ297" s="33"/>
      <c r="QR297" s="33"/>
      <c r="QS297" s="33"/>
      <c r="QT297" s="33"/>
      <c r="QU297" s="33"/>
      <c r="QV297" s="33"/>
      <c r="QW297" s="33"/>
      <c r="QX297" s="33"/>
      <c r="QY297" s="33"/>
      <c r="QZ297" s="33"/>
      <c r="RA297" s="33"/>
      <c r="RB297" s="33"/>
      <c r="RC297" s="33"/>
      <c r="RD297" s="33"/>
      <c r="RE297" s="33"/>
      <c r="RF297" s="33"/>
      <c r="RG297" s="33"/>
      <c r="RH297" s="33"/>
      <c r="RI297" s="33"/>
      <c r="RJ297" s="33"/>
      <c r="RK297" s="33"/>
      <c r="RL297" s="33"/>
      <c r="RM297" s="33"/>
      <c r="RN297" s="33"/>
      <c r="RO297" s="33"/>
      <c r="RP297" s="33"/>
      <c r="RQ297" s="33"/>
      <c r="RR297" s="33"/>
      <c r="RS297" s="33"/>
      <c r="RT297" s="33"/>
      <c r="RU297" s="33"/>
      <c r="RV297" s="33"/>
      <c r="RW297" s="33"/>
      <c r="RX297" s="33"/>
      <c r="RY297" s="33"/>
      <c r="RZ297" s="33"/>
      <c r="SA297" s="33"/>
      <c r="SB297" s="33"/>
      <c r="SC297" s="33"/>
      <c r="SD297" s="33"/>
      <c r="SE297" s="33"/>
      <c r="SF297" s="33"/>
      <c r="SG297" s="33"/>
      <c r="SH297" s="33"/>
      <c r="SI297" s="33"/>
      <c r="SJ297" s="33"/>
      <c r="SK297" s="33"/>
      <c r="SL297" s="33"/>
      <c r="SM297" s="33"/>
      <c r="SN297" s="33"/>
      <c r="SO297" s="33"/>
      <c r="SP297" s="33"/>
      <c r="SQ297" s="33"/>
      <c r="SR297" s="33"/>
      <c r="SS297" s="33"/>
      <c r="ST297" s="33"/>
      <c r="SU297" s="33"/>
      <c r="SV297" s="33"/>
      <c r="SW297" s="33"/>
      <c r="SX297" s="33"/>
      <c r="SY297" s="33"/>
      <c r="SZ297" s="33"/>
      <c r="TA297" s="33"/>
      <c r="TB297" s="33"/>
      <c r="TC297" s="33"/>
      <c r="TD297" s="33"/>
      <c r="TE297" s="33"/>
      <c r="TF297" s="33"/>
      <c r="TG297" s="33"/>
    </row>
    <row r="298" spans="1:527" s="22" customFormat="1" ht="46.5" customHeight="1" x14ac:dyDescent="0.25">
      <c r="A298" s="60" t="s">
        <v>222</v>
      </c>
      <c r="B298" s="97" t="str">
        <f>'дод 5'!A20</f>
        <v>0160</v>
      </c>
      <c r="C298" s="97" t="str">
        <f>'дод 5'!B20</f>
        <v>0111</v>
      </c>
      <c r="D298" s="36" t="s">
        <v>503</v>
      </c>
      <c r="E298" s="103">
        <f t="shared" ref="E298:E303" si="177">F298+I298</f>
        <v>20146673</v>
      </c>
      <c r="F298" s="103">
        <f>20122100+1000000-1000000+10000+14573</f>
        <v>20146673</v>
      </c>
      <c r="G298" s="103">
        <v>15760200</v>
      </c>
      <c r="H298" s="103">
        <f>257700+14573</f>
        <v>272273</v>
      </c>
      <c r="I298" s="103"/>
      <c r="J298" s="103">
        <f>L298+O298</f>
        <v>0</v>
      </c>
      <c r="K298" s="103"/>
      <c r="L298" s="103"/>
      <c r="M298" s="103"/>
      <c r="N298" s="103"/>
      <c r="O298" s="103"/>
      <c r="P298" s="103">
        <f t="shared" ref="P298:P305" si="178">E298+J298</f>
        <v>20146673</v>
      </c>
      <c r="Q298" s="187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  <c r="TG298" s="23"/>
    </row>
    <row r="299" spans="1:527" s="22" customFormat="1" ht="21" customHeight="1" x14ac:dyDescent="0.25">
      <c r="A299" s="60" t="s">
        <v>260</v>
      </c>
      <c r="B299" s="97" t="str">
        <f>'дод 5'!A203</f>
        <v>7640</v>
      </c>
      <c r="C299" s="97" t="str">
        <f>'дод 5'!B203</f>
        <v>0470</v>
      </c>
      <c r="D299" s="61" t="s">
        <v>424</v>
      </c>
      <c r="E299" s="103">
        <f t="shared" si="177"/>
        <v>416200</v>
      </c>
      <c r="F299" s="103">
        <f>426000-9800</f>
        <v>416200</v>
      </c>
      <c r="G299" s="103"/>
      <c r="H299" s="103"/>
      <c r="I299" s="103"/>
      <c r="J299" s="103">
        <f t="shared" ref="J299:J305" si="179">L299+O299</f>
        <v>0</v>
      </c>
      <c r="K299" s="103"/>
      <c r="L299" s="103"/>
      <c r="M299" s="103"/>
      <c r="N299" s="103"/>
      <c r="O299" s="103"/>
      <c r="P299" s="103">
        <f t="shared" si="178"/>
        <v>416200</v>
      </c>
      <c r="Q299" s="187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  <c r="TF299" s="23"/>
      <c r="TG299" s="23"/>
    </row>
    <row r="300" spans="1:527" s="22" customFormat="1" ht="29.25" customHeight="1" x14ac:dyDescent="0.25">
      <c r="A300" s="60" t="s">
        <v>332</v>
      </c>
      <c r="B300" s="97" t="str">
        <f>'дод 5'!A211</f>
        <v>7693</v>
      </c>
      <c r="C300" s="97" t="str">
        <f>'дод 5'!B211</f>
        <v>0490</v>
      </c>
      <c r="D300" s="61" t="str">
        <f>'дод 5'!C211</f>
        <v>Інші заходи, пов'язані з економічною діяльністю</v>
      </c>
      <c r="E300" s="103">
        <f t="shared" si="177"/>
        <v>293000</v>
      </c>
      <c r="F300" s="103">
        <f>483750-130750-10000-50000</f>
        <v>293000</v>
      </c>
      <c r="G300" s="103"/>
      <c r="H300" s="103"/>
      <c r="I300" s="103"/>
      <c r="J300" s="103">
        <f t="shared" si="179"/>
        <v>0</v>
      </c>
      <c r="K300" s="103"/>
      <c r="L300" s="103"/>
      <c r="M300" s="103"/>
      <c r="N300" s="103"/>
      <c r="O300" s="103"/>
      <c r="P300" s="103">
        <f t="shared" si="178"/>
        <v>293000</v>
      </c>
      <c r="Q300" s="187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</row>
    <row r="301" spans="1:527" s="22" customFormat="1" ht="42.75" customHeight="1" x14ac:dyDescent="0.25">
      <c r="A301" s="60">
        <v>3718330</v>
      </c>
      <c r="B301" s="97">
        <f>'дод 5'!A224</f>
        <v>8330</v>
      </c>
      <c r="C301" s="60" t="s">
        <v>94</v>
      </c>
      <c r="D301" s="61" t="str">
        <f>'дод 5'!C224</f>
        <v xml:space="preserve">Інша діяльність у сфері екології та охорони природних ресурсів </v>
      </c>
      <c r="E301" s="103">
        <f t="shared" si="177"/>
        <v>75000</v>
      </c>
      <c r="F301" s="103">
        <v>75000</v>
      </c>
      <c r="G301" s="103"/>
      <c r="H301" s="103"/>
      <c r="I301" s="103"/>
      <c r="J301" s="103">
        <f t="shared" si="179"/>
        <v>0</v>
      </c>
      <c r="K301" s="103"/>
      <c r="L301" s="103"/>
      <c r="M301" s="103"/>
      <c r="N301" s="103"/>
      <c r="O301" s="103"/>
      <c r="P301" s="103">
        <f t="shared" si="178"/>
        <v>75000</v>
      </c>
      <c r="Q301" s="187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  <c r="TF301" s="23"/>
      <c r="TG301" s="23"/>
    </row>
    <row r="302" spans="1:527" s="22" customFormat="1" ht="30.75" customHeight="1" x14ac:dyDescent="0.25">
      <c r="A302" s="60" t="s">
        <v>223</v>
      </c>
      <c r="B302" s="97" t="str">
        <f>'дод 5'!A225</f>
        <v>8340</v>
      </c>
      <c r="C302" s="60" t="str">
        <f>'дод 5'!B225</f>
        <v>0540</v>
      </c>
      <c r="D302" s="61" t="str">
        <f>'дод 5'!C225</f>
        <v>Природоохоронні заходи за рахунок цільових фондів</v>
      </c>
      <c r="E302" s="103">
        <f t="shared" si="177"/>
        <v>0</v>
      </c>
      <c r="F302" s="103"/>
      <c r="G302" s="103"/>
      <c r="H302" s="103"/>
      <c r="I302" s="103"/>
      <c r="J302" s="103">
        <f t="shared" si="179"/>
        <v>502000</v>
      </c>
      <c r="K302" s="103"/>
      <c r="L302" s="103">
        <f>103000+399000</f>
        <v>502000</v>
      </c>
      <c r="M302" s="103"/>
      <c r="N302" s="103"/>
      <c r="O302" s="103"/>
      <c r="P302" s="103">
        <f t="shared" si="178"/>
        <v>502000</v>
      </c>
      <c r="Q302" s="187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  <c r="TG302" s="23"/>
    </row>
    <row r="303" spans="1:527" s="22" customFormat="1" ht="21.75" customHeight="1" x14ac:dyDescent="0.25">
      <c r="A303" s="60" t="s">
        <v>224</v>
      </c>
      <c r="B303" s="97" t="str">
        <f>'дод 5'!A228</f>
        <v>8600</v>
      </c>
      <c r="C303" s="97" t="str">
        <f>'дод 5'!B228</f>
        <v>0170</v>
      </c>
      <c r="D303" s="61" t="str">
        <f>'дод 5'!C228</f>
        <v>Обслуговування місцевого боргу</v>
      </c>
      <c r="E303" s="103">
        <f t="shared" si="177"/>
        <v>1964239</v>
      </c>
      <c r="F303" s="103">
        <f>1833489+130750</f>
        <v>1964239</v>
      </c>
      <c r="G303" s="103"/>
      <c r="H303" s="103"/>
      <c r="I303" s="103"/>
      <c r="J303" s="103">
        <f t="shared" si="179"/>
        <v>0</v>
      </c>
      <c r="K303" s="103"/>
      <c r="L303" s="103"/>
      <c r="M303" s="103"/>
      <c r="N303" s="103"/>
      <c r="O303" s="103"/>
      <c r="P303" s="103">
        <f t="shared" si="178"/>
        <v>1964239</v>
      </c>
      <c r="Q303" s="187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  <c r="TF303" s="23"/>
      <c r="TG303" s="23"/>
    </row>
    <row r="304" spans="1:527" s="22" customFormat="1" ht="22.5" customHeight="1" x14ac:dyDescent="0.25">
      <c r="A304" s="60" t="s">
        <v>526</v>
      </c>
      <c r="B304" s="97">
        <v>8710</v>
      </c>
      <c r="C304" s="97" t="str">
        <f>'дод 5'!B229</f>
        <v>0133</v>
      </c>
      <c r="D304" s="61" t="str">
        <f>'дод 5'!C229</f>
        <v>Резервний фонд місцевого бюджету</v>
      </c>
      <c r="E304" s="103">
        <f>16076686.44+30260-2902100-6378100+81980-1553963+117260-370000-4100550-30000-1773800-1500000-1764511-50000+18143581</f>
        <v>14026743.439999999</v>
      </c>
      <c r="F304" s="103"/>
      <c r="G304" s="103"/>
      <c r="H304" s="103"/>
      <c r="I304" s="103"/>
      <c r="J304" s="103">
        <f t="shared" si="179"/>
        <v>0</v>
      </c>
      <c r="K304" s="103"/>
      <c r="L304" s="103"/>
      <c r="M304" s="103"/>
      <c r="N304" s="103"/>
      <c r="O304" s="103"/>
      <c r="P304" s="103">
        <f t="shared" si="178"/>
        <v>14026743.439999999</v>
      </c>
      <c r="Q304" s="187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  <c r="TF304" s="23"/>
      <c r="TG304" s="23"/>
    </row>
    <row r="305" spans="1:527" s="22" customFormat="1" ht="24.75" customHeight="1" x14ac:dyDescent="0.25">
      <c r="A305" s="60" t="s">
        <v>234</v>
      </c>
      <c r="B305" s="97" t="str">
        <f>'дод 5'!A233</f>
        <v>9110</v>
      </c>
      <c r="C305" s="97" t="str">
        <f>'дод 5'!B233</f>
        <v>0180</v>
      </c>
      <c r="D305" s="61" t="str">
        <f>'дод 5'!C233</f>
        <v>Реверсна дотація</v>
      </c>
      <c r="E305" s="103">
        <f>F305+I305</f>
        <v>100870700</v>
      </c>
      <c r="F305" s="103">
        <v>100870700</v>
      </c>
      <c r="G305" s="103"/>
      <c r="H305" s="103"/>
      <c r="I305" s="103"/>
      <c r="J305" s="103">
        <f t="shared" si="179"/>
        <v>0</v>
      </c>
      <c r="K305" s="103"/>
      <c r="L305" s="103"/>
      <c r="M305" s="103"/>
      <c r="N305" s="103"/>
      <c r="O305" s="103"/>
      <c r="P305" s="103">
        <f t="shared" si="178"/>
        <v>100870700</v>
      </c>
      <c r="Q305" s="187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  <c r="TG305" s="23"/>
    </row>
    <row r="306" spans="1:527" s="27" customFormat="1" ht="22.5" customHeight="1" x14ac:dyDescent="0.25">
      <c r="A306" s="122"/>
      <c r="B306" s="116"/>
      <c r="C306" s="143"/>
      <c r="D306" s="111" t="s">
        <v>410</v>
      </c>
      <c r="E306" s="99">
        <f t="shared" ref="E306:P306" si="180">E17+E62+E121+E155+E196+E204+E215+E252+E255+E275+E282+E285+E293+E296</f>
        <v>2296845778.4500003</v>
      </c>
      <c r="F306" s="99">
        <f t="shared" si="180"/>
        <v>2196977880.5299997</v>
      </c>
      <c r="G306" s="99">
        <f t="shared" si="180"/>
        <v>1078837255</v>
      </c>
      <c r="H306" s="99">
        <f t="shared" si="180"/>
        <v>107607651</v>
      </c>
      <c r="I306" s="99">
        <f t="shared" si="180"/>
        <v>85841154.480000004</v>
      </c>
      <c r="J306" s="99">
        <f t="shared" si="180"/>
        <v>713726839.55999994</v>
      </c>
      <c r="K306" s="99">
        <f t="shared" si="180"/>
        <v>648653545.03999996</v>
      </c>
      <c r="L306" s="99">
        <f t="shared" si="180"/>
        <v>47765901.869999997</v>
      </c>
      <c r="M306" s="99">
        <f t="shared" si="180"/>
        <v>6033355</v>
      </c>
      <c r="N306" s="99">
        <f t="shared" si="180"/>
        <v>266522</v>
      </c>
      <c r="O306" s="99">
        <f t="shared" si="180"/>
        <v>665960937.69000006</v>
      </c>
      <c r="P306" s="99">
        <f t="shared" si="180"/>
        <v>3010572618.0100002</v>
      </c>
      <c r="Q306" s="187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</row>
    <row r="307" spans="1:527" s="34" customFormat="1" ht="39.75" customHeight="1" x14ac:dyDescent="0.25">
      <c r="A307" s="123"/>
      <c r="B307" s="113"/>
      <c r="C307" s="101"/>
      <c r="D307" s="81" t="s">
        <v>403</v>
      </c>
      <c r="E307" s="102">
        <f t="shared" ref="E307:P307" si="181">E64+E71+E219+E220+E74+E128</f>
        <v>485377355.60000002</v>
      </c>
      <c r="F307" s="102">
        <f t="shared" si="181"/>
        <v>485377355.60000002</v>
      </c>
      <c r="G307" s="102">
        <f t="shared" si="181"/>
        <v>396066000</v>
      </c>
      <c r="H307" s="102">
        <f t="shared" si="181"/>
        <v>0</v>
      </c>
      <c r="I307" s="102">
        <f t="shared" si="181"/>
        <v>0</v>
      </c>
      <c r="J307" s="102">
        <f t="shared" si="181"/>
        <v>14076649.18</v>
      </c>
      <c r="K307" s="102">
        <f t="shared" si="181"/>
        <v>14076649.18</v>
      </c>
      <c r="L307" s="102">
        <f t="shared" si="181"/>
        <v>0</v>
      </c>
      <c r="M307" s="102">
        <f t="shared" si="181"/>
        <v>0</v>
      </c>
      <c r="N307" s="102">
        <f t="shared" si="181"/>
        <v>0</v>
      </c>
      <c r="O307" s="102">
        <f t="shared" si="181"/>
        <v>14076649.18</v>
      </c>
      <c r="P307" s="102">
        <f t="shared" si="181"/>
        <v>499454004.77999997</v>
      </c>
      <c r="Q307" s="187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</row>
    <row r="308" spans="1:527" s="34" customFormat="1" ht="37.5" customHeight="1" x14ac:dyDescent="0.25">
      <c r="A308" s="123"/>
      <c r="B308" s="113"/>
      <c r="C308" s="101"/>
      <c r="D308" s="81" t="s">
        <v>404</v>
      </c>
      <c r="E308" s="102">
        <f>E19+E67+E69+E159+E66+E70+E127+E72+E73+E75+E160+E161</f>
        <v>30695366.240000002</v>
      </c>
      <c r="F308" s="102">
        <f t="shared" ref="F308:P308" si="182">F19+F67+F69+F159+F66+F70+F127+F72+F73+F75+F160+F161</f>
        <v>30695366.240000002</v>
      </c>
      <c r="G308" s="102">
        <f t="shared" si="182"/>
        <v>4133559</v>
      </c>
      <c r="H308" s="102">
        <f t="shared" si="182"/>
        <v>0</v>
      </c>
      <c r="I308" s="102">
        <f t="shared" si="182"/>
        <v>0</v>
      </c>
      <c r="J308" s="102">
        <f t="shared" si="182"/>
        <v>7933192.0500000007</v>
      </c>
      <c r="K308" s="102">
        <f t="shared" si="182"/>
        <v>7933192.0500000007</v>
      </c>
      <c r="L308" s="102">
        <f t="shared" si="182"/>
        <v>0</v>
      </c>
      <c r="M308" s="102">
        <f t="shared" si="182"/>
        <v>0</v>
      </c>
      <c r="N308" s="102">
        <f t="shared" si="182"/>
        <v>0</v>
      </c>
      <c r="O308" s="102">
        <f t="shared" si="182"/>
        <v>7933192.0500000007</v>
      </c>
      <c r="P308" s="102">
        <f t="shared" si="182"/>
        <v>38628558.290000007</v>
      </c>
      <c r="Q308" s="187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  <c r="QA308" s="33"/>
      <c r="QB308" s="33"/>
      <c r="QC308" s="33"/>
      <c r="QD308" s="33"/>
      <c r="QE308" s="33"/>
      <c r="QF308" s="33"/>
      <c r="QG308" s="33"/>
      <c r="QH308" s="33"/>
      <c r="QI308" s="33"/>
      <c r="QJ308" s="33"/>
      <c r="QK308" s="33"/>
      <c r="QL308" s="33"/>
      <c r="QM308" s="33"/>
      <c r="QN308" s="33"/>
      <c r="QO308" s="33"/>
      <c r="QP308" s="33"/>
      <c r="QQ308" s="33"/>
      <c r="QR308" s="33"/>
      <c r="QS308" s="33"/>
      <c r="QT308" s="33"/>
      <c r="QU308" s="33"/>
      <c r="QV308" s="33"/>
      <c r="QW308" s="33"/>
      <c r="QX308" s="33"/>
      <c r="QY308" s="33"/>
      <c r="QZ308" s="33"/>
      <c r="RA308" s="33"/>
      <c r="RB308" s="33"/>
      <c r="RC308" s="33"/>
      <c r="RD308" s="33"/>
      <c r="RE308" s="33"/>
      <c r="RF308" s="33"/>
      <c r="RG308" s="33"/>
      <c r="RH308" s="33"/>
      <c r="RI308" s="33"/>
      <c r="RJ308" s="33"/>
      <c r="RK308" s="33"/>
      <c r="RL308" s="33"/>
      <c r="RM308" s="33"/>
      <c r="RN308" s="33"/>
      <c r="RO308" s="33"/>
      <c r="RP308" s="33"/>
      <c r="RQ308" s="33"/>
      <c r="RR308" s="33"/>
      <c r="RS308" s="33"/>
      <c r="RT308" s="33"/>
      <c r="RU308" s="33"/>
      <c r="RV308" s="33"/>
      <c r="RW308" s="33"/>
      <c r="RX308" s="33"/>
      <c r="RY308" s="33"/>
      <c r="RZ308" s="33"/>
      <c r="SA308" s="33"/>
      <c r="SB308" s="33"/>
      <c r="SC308" s="33"/>
      <c r="SD308" s="33"/>
      <c r="SE308" s="33"/>
      <c r="SF308" s="33"/>
      <c r="SG308" s="33"/>
      <c r="SH308" s="33"/>
      <c r="SI308" s="33"/>
      <c r="SJ308" s="33"/>
      <c r="SK308" s="33"/>
      <c r="SL308" s="33"/>
      <c r="SM308" s="33"/>
      <c r="SN308" s="33"/>
      <c r="SO308" s="33"/>
      <c r="SP308" s="33"/>
      <c r="SQ308" s="33"/>
      <c r="SR308" s="33"/>
      <c r="SS308" s="33"/>
      <c r="ST308" s="33"/>
      <c r="SU308" s="33"/>
      <c r="SV308" s="33"/>
      <c r="SW308" s="33"/>
      <c r="SX308" s="33"/>
      <c r="SY308" s="33"/>
      <c r="SZ308" s="33"/>
      <c r="TA308" s="33"/>
      <c r="TB308" s="33"/>
      <c r="TC308" s="33"/>
      <c r="TD308" s="33"/>
      <c r="TE308" s="33"/>
      <c r="TF308" s="33"/>
      <c r="TG308" s="33"/>
    </row>
    <row r="309" spans="1:527" s="34" customFormat="1" ht="26.25" customHeight="1" x14ac:dyDescent="0.25">
      <c r="A309" s="100"/>
      <c r="B309" s="113"/>
      <c r="C309" s="113"/>
      <c r="D309" s="87" t="s">
        <v>421</v>
      </c>
      <c r="E309" s="102">
        <f t="shared" ref="E309:P309" si="183">E129+E257+E221</f>
        <v>0</v>
      </c>
      <c r="F309" s="102">
        <f t="shared" si="183"/>
        <v>0</v>
      </c>
      <c r="G309" s="102">
        <f t="shared" si="183"/>
        <v>0</v>
      </c>
      <c r="H309" s="102">
        <f t="shared" si="183"/>
        <v>0</v>
      </c>
      <c r="I309" s="102">
        <f t="shared" si="183"/>
        <v>0</v>
      </c>
      <c r="J309" s="102">
        <f t="shared" si="183"/>
        <v>127771665.12</v>
      </c>
      <c r="K309" s="102">
        <f t="shared" si="183"/>
        <v>127771665.12</v>
      </c>
      <c r="L309" s="102">
        <f t="shared" si="183"/>
        <v>0</v>
      </c>
      <c r="M309" s="102">
        <f t="shared" si="183"/>
        <v>0</v>
      </c>
      <c r="N309" s="102">
        <f t="shared" si="183"/>
        <v>0</v>
      </c>
      <c r="O309" s="102">
        <f t="shared" si="183"/>
        <v>127771665.12</v>
      </c>
      <c r="P309" s="102">
        <f t="shared" si="183"/>
        <v>127771665.12</v>
      </c>
      <c r="Q309" s="187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  <c r="IW309" s="33"/>
      <c r="IX309" s="33"/>
      <c r="IY309" s="33"/>
      <c r="IZ309" s="33"/>
      <c r="JA309" s="33"/>
      <c r="JB309" s="33"/>
      <c r="JC309" s="33"/>
      <c r="JD309" s="33"/>
      <c r="JE309" s="33"/>
      <c r="JF309" s="33"/>
      <c r="JG309" s="33"/>
      <c r="JH309" s="33"/>
      <c r="JI309" s="33"/>
      <c r="JJ309" s="33"/>
      <c r="JK309" s="33"/>
      <c r="JL309" s="33"/>
      <c r="JM309" s="33"/>
      <c r="JN309" s="33"/>
      <c r="JO309" s="33"/>
      <c r="JP309" s="33"/>
      <c r="JQ309" s="33"/>
      <c r="JR309" s="33"/>
      <c r="JS309" s="33"/>
      <c r="JT309" s="33"/>
      <c r="JU309" s="33"/>
      <c r="JV309" s="33"/>
      <c r="JW309" s="33"/>
      <c r="JX309" s="33"/>
      <c r="JY309" s="33"/>
      <c r="JZ309" s="33"/>
      <c r="KA309" s="33"/>
      <c r="KB309" s="33"/>
      <c r="KC309" s="33"/>
      <c r="KD309" s="33"/>
      <c r="KE309" s="33"/>
      <c r="KF309" s="33"/>
      <c r="KG309" s="33"/>
      <c r="KH309" s="33"/>
      <c r="KI309" s="33"/>
      <c r="KJ309" s="33"/>
      <c r="KK309" s="33"/>
      <c r="KL309" s="33"/>
      <c r="KM309" s="33"/>
      <c r="KN309" s="33"/>
      <c r="KO309" s="33"/>
      <c r="KP309" s="33"/>
      <c r="KQ309" s="33"/>
      <c r="KR309" s="33"/>
      <c r="KS309" s="33"/>
      <c r="KT309" s="33"/>
      <c r="KU309" s="33"/>
      <c r="KV309" s="33"/>
      <c r="KW309" s="33"/>
      <c r="KX309" s="33"/>
      <c r="KY309" s="33"/>
      <c r="KZ309" s="33"/>
      <c r="LA309" s="33"/>
      <c r="LB309" s="33"/>
      <c r="LC309" s="33"/>
      <c r="LD309" s="33"/>
      <c r="LE309" s="33"/>
      <c r="LF309" s="33"/>
      <c r="LG309" s="33"/>
      <c r="LH309" s="33"/>
      <c r="LI309" s="33"/>
      <c r="LJ309" s="33"/>
      <c r="LK309" s="33"/>
      <c r="LL309" s="33"/>
      <c r="LM309" s="33"/>
      <c r="LN309" s="33"/>
      <c r="LO309" s="33"/>
      <c r="LP309" s="33"/>
      <c r="LQ309" s="33"/>
      <c r="LR309" s="33"/>
      <c r="LS309" s="33"/>
      <c r="LT309" s="33"/>
      <c r="LU309" s="33"/>
      <c r="LV309" s="33"/>
      <c r="LW309" s="33"/>
      <c r="LX309" s="33"/>
      <c r="LY309" s="33"/>
      <c r="LZ309" s="33"/>
      <c r="MA309" s="33"/>
      <c r="MB309" s="33"/>
      <c r="MC309" s="33"/>
      <c r="MD309" s="33"/>
      <c r="ME309" s="33"/>
      <c r="MF309" s="33"/>
      <c r="MG309" s="33"/>
      <c r="MH309" s="33"/>
      <c r="MI309" s="33"/>
      <c r="MJ309" s="33"/>
      <c r="MK309" s="33"/>
      <c r="ML309" s="33"/>
      <c r="MM309" s="33"/>
      <c r="MN309" s="33"/>
      <c r="MO309" s="33"/>
      <c r="MP309" s="33"/>
      <c r="MQ309" s="33"/>
      <c r="MR309" s="33"/>
      <c r="MS309" s="33"/>
      <c r="MT309" s="33"/>
      <c r="MU309" s="33"/>
      <c r="MV309" s="33"/>
      <c r="MW309" s="33"/>
      <c r="MX309" s="33"/>
      <c r="MY309" s="33"/>
      <c r="MZ309" s="33"/>
      <c r="NA309" s="33"/>
      <c r="NB309" s="33"/>
      <c r="NC309" s="33"/>
      <c r="ND309" s="33"/>
      <c r="NE309" s="33"/>
      <c r="NF309" s="33"/>
      <c r="NG309" s="33"/>
      <c r="NH309" s="33"/>
      <c r="NI309" s="33"/>
      <c r="NJ309" s="33"/>
      <c r="NK309" s="33"/>
      <c r="NL309" s="33"/>
      <c r="NM309" s="33"/>
      <c r="NN309" s="33"/>
      <c r="NO309" s="33"/>
      <c r="NP309" s="33"/>
      <c r="NQ309" s="33"/>
      <c r="NR309" s="33"/>
      <c r="NS309" s="33"/>
      <c r="NT309" s="33"/>
      <c r="NU309" s="33"/>
      <c r="NV309" s="33"/>
      <c r="NW309" s="33"/>
      <c r="NX309" s="33"/>
      <c r="NY309" s="33"/>
      <c r="NZ309" s="33"/>
      <c r="OA309" s="33"/>
      <c r="OB309" s="33"/>
      <c r="OC309" s="33"/>
      <c r="OD309" s="33"/>
      <c r="OE309" s="33"/>
      <c r="OF309" s="33"/>
      <c r="OG309" s="33"/>
      <c r="OH309" s="33"/>
      <c r="OI309" s="33"/>
      <c r="OJ309" s="33"/>
      <c r="OK309" s="33"/>
      <c r="OL309" s="33"/>
      <c r="OM309" s="33"/>
      <c r="ON309" s="33"/>
      <c r="OO309" s="33"/>
      <c r="OP309" s="33"/>
      <c r="OQ309" s="33"/>
      <c r="OR309" s="33"/>
      <c r="OS309" s="33"/>
      <c r="OT309" s="33"/>
      <c r="OU309" s="33"/>
      <c r="OV309" s="33"/>
      <c r="OW309" s="33"/>
      <c r="OX309" s="33"/>
      <c r="OY309" s="33"/>
      <c r="OZ309" s="33"/>
      <c r="PA309" s="33"/>
      <c r="PB309" s="33"/>
      <c r="PC309" s="33"/>
      <c r="PD309" s="33"/>
      <c r="PE309" s="33"/>
      <c r="PF309" s="33"/>
      <c r="PG309" s="33"/>
      <c r="PH309" s="33"/>
      <c r="PI309" s="33"/>
      <c r="PJ309" s="33"/>
      <c r="PK309" s="33"/>
      <c r="PL309" s="33"/>
      <c r="PM309" s="33"/>
      <c r="PN309" s="33"/>
      <c r="PO309" s="33"/>
      <c r="PP309" s="33"/>
      <c r="PQ309" s="33"/>
      <c r="PR309" s="33"/>
      <c r="PS309" s="33"/>
      <c r="PT309" s="33"/>
      <c r="PU309" s="33"/>
      <c r="PV309" s="33"/>
      <c r="PW309" s="33"/>
      <c r="PX309" s="33"/>
      <c r="PY309" s="33"/>
      <c r="PZ309" s="33"/>
      <c r="QA309" s="33"/>
      <c r="QB309" s="33"/>
      <c r="QC309" s="33"/>
      <c r="QD309" s="33"/>
      <c r="QE309" s="33"/>
      <c r="QF309" s="33"/>
      <c r="QG309" s="33"/>
      <c r="QH309" s="33"/>
      <c r="QI309" s="33"/>
      <c r="QJ309" s="33"/>
      <c r="QK309" s="33"/>
      <c r="QL309" s="33"/>
      <c r="QM309" s="33"/>
      <c r="QN309" s="33"/>
      <c r="QO309" s="33"/>
      <c r="QP309" s="33"/>
      <c r="QQ309" s="33"/>
      <c r="QR309" s="33"/>
      <c r="QS309" s="33"/>
      <c r="QT309" s="33"/>
      <c r="QU309" s="33"/>
      <c r="QV309" s="33"/>
      <c r="QW309" s="33"/>
      <c r="QX309" s="33"/>
      <c r="QY309" s="33"/>
      <c r="QZ309" s="33"/>
      <c r="RA309" s="33"/>
      <c r="RB309" s="33"/>
      <c r="RC309" s="33"/>
      <c r="RD309" s="33"/>
      <c r="RE309" s="33"/>
      <c r="RF309" s="33"/>
      <c r="RG309" s="33"/>
      <c r="RH309" s="33"/>
      <c r="RI309" s="33"/>
      <c r="RJ309" s="33"/>
      <c r="RK309" s="33"/>
      <c r="RL309" s="33"/>
      <c r="RM309" s="33"/>
      <c r="RN309" s="33"/>
      <c r="RO309" s="33"/>
      <c r="RP309" s="33"/>
      <c r="RQ309" s="33"/>
      <c r="RR309" s="33"/>
      <c r="RS309" s="33"/>
      <c r="RT309" s="33"/>
      <c r="RU309" s="33"/>
      <c r="RV309" s="33"/>
      <c r="RW309" s="33"/>
      <c r="RX309" s="33"/>
      <c r="RY309" s="33"/>
      <c r="RZ309" s="33"/>
      <c r="SA309" s="33"/>
      <c r="SB309" s="33"/>
      <c r="SC309" s="33"/>
      <c r="SD309" s="33"/>
      <c r="SE309" s="33"/>
      <c r="SF309" s="33"/>
      <c r="SG309" s="33"/>
      <c r="SH309" s="33"/>
      <c r="SI309" s="33"/>
      <c r="SJ309" s="33"/>
      <c r="SK309" s="33"/>
      <c r="SL309" s="33"/>
      <c r="SM309" s="33"/>
      <c r="SN309" s="33"/>
      <c r="SO309" s="33"/>
      <c r="SP309" s="33"/>
      <c r="SQ309" s="33"/>
      <c r="SR309" s="33"/>
      <c r="SS309" s="33"/>
      <c r="ST309" s="33"/>
      <c r="SU309" s="33"/>
      <c r="SV309" s="33"/>
      <c r="SW309" s="33"/>
      <c r="SX309" s="33"/>
      <c r="SY309" s="33"/>
      <c r="SZ309" s="33"/>
      <c r="TA309" s="33"/>
      <c r="TB309" s="33"/>
      <c r="TC309" s="33"/>
      <c r="TD309" s="33"/>
      <c r="TE309" s="33"/>
      <c r="TF309" s="33"/>
      <c r="TG309" s="33"/>
    </row>
    <row r="310" spans="1:527" s="27" customFormat="1" ht="39" customHeight="1" x14ac:dyDescent="0.2">
      <c r="A310" s="70"/>
      <c r="B310" s="71"/>
      <c r="C310" s="72"/>
      <c r="D310" s="73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187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  <c r="IU310" s="32"/>
      <c r="IV310" s="32"/>
      <c r="IW310" s="32"/>
      <c r="IX310" s="32"/>
      <c r="IY310" s="32"/>
      <c r="IZ310" s="32"/>
      <c r="JA310" s="32"/>
      <c r="JB310" s="32"/>
      <c r="JC310" s="32"/>
      <c r="JD310" s="32"/>
      <c r="JE310" s="32"/>
      <c r="JF310" s="32"/>
      <c r="JG310" s="32"/>
      <c r="JH310" s="32"/>
      <c r="JI310" s="32"/>
      <c r="JJ310" s="32"/>
      <c r="JK310" s="32"/>
      <c r="JL310" s="32"/>
      <c r="JM310" s="32"/>
      <c r="JN310" s="32"/>
      <c r="JO310" s="32"/>
      <c r="JP310" s="32"/>
      <c r="JQ310" s="32"/>
      <c r="JR310" s="32"/>
      <c r="JS310" s="32"/>
      <c r="JT310" s="32"/>
      <c r="JU310" s="32"/>
      <c r="JV310" s="32"/>
      <c r="JW310" s="32"/>
      <c r="JX310" s="32"/>
      <c r="JY310" s="32"/>
      <c r="JZ310" s="32"/>
      <c r="KA310" s="32"/>
      <c r="KB310" s="32"/>
      <c r="KC310" s="32"/>
      <c r="KD310" s="32"/>
      <c r="KE310" s="32"/>
      <c r="KF310" s="32"/>
      <c r="KG310" s="32"/>
      <c r="KH310" s="32"/>
      <c r="KI310" s="32"/>
      <c r="KJ310" s="32"/>
      <c r="KK310" s="32"/>
      <c r="KL310" s="32"/>
      <c r="KM310" s="32"/>
      <c r="KN310" s="32"/>
      <c r="KO310" s="32"/>
      <c r="KP310" s="32"/>
      <c r="KQ310" s="32"/>
      <c r="KR310" s="32"/>
      <c r="KS310" s="32"/>
      <c r="KT310" s="32"/>
      <c r="KU310" s="32"/>
      <c r="KV310" s="32"/>
      <c r="KW310" s="32"/>
      <c r="KX310" s="32"/>
      <c r="KY310" s="32"/>
      <c r="KZ310" s="32"/>
      <c r="LA310" s="32"/>
      <c r="LB310" s="32"/>
      <c r="LC310" s="32"/>
      <c r="LD310" s="32"/>
      <c r="LE310" s="32"/>
      <c r="LF310" s="32"/>
      <c r="LG310" s="32"/>
      <c r="LH310" s="32"/>
      <c r="LI310" s="32"/>
      <c r="LJ310" s="32"/>
      <c r="LK310" s="32"/>
      <c r="LL310" s="32"/>
      <c r="LM310" s="32"/>
      <c r="LN310" s="32"/>
      <c r="LO310" s="32"/>
      <c r="LP310" s="32"/>
      <c r="LQ310" s="32"/>
      <c r="LR310" s="32"/>
      <c r="LS310" s="32"/>
      <c r="LT310" s="32"/>
      <c r="LU310" s="32"/>
      <c r="LV310" s="32"/>
      <c r="LW310" s="32"/>
      <c r="LX310" s="32"/>
      <c r="LY310" s="32"/>
      <c r="LZ310" s="32"/>
      <c r="MA310" s="32"/>
      <c r="MB310" s="32"/>
      <c r="MC310" s="32"/>
      <c r="MD310" s="32"/>
      <c r="ME310" s="32"/>
      <c r="MF310" s="32"/>
      <c r="MG310" s="32"/>
      <c r="MH310" s="32"/>
      <c r="MI310" s="32"/>
      <c r="MJ310" s="32"/>
      <c r="MK310" s="32"/>
      <c r="ML310" s="32"/>
      <c r="MM310" s="32"/>
      <c r="MN310" s="32"/>
      <c r="MO310" s="32"/>
      <c r="MP310" s="32"/>
      <c r="MQ310" s="32"/>
      <c r="MR310" s="32"/>
      <c r="MS310" s="32"/>
      <c r="MT310" s="32"/>
      <c r="MU310" s="32"/>
      <c r="MV310" s="32"/>
      <c r="MW310" s="32"/>
      <c r="MX310" s="32"/>
      <c r="MY310" s="32"/>
      <c r="MZ310" s="32"/>
      <c r="NA310" s="32"/>
      <c r="NB310" s="32"/>
      <c r="NC310" s="32"/>
      <c r="ND310" s="32"/>
      <c r="NE310" s="32"/>
      <c r="NF310" s="32"/>
      <c r="NG310" s="32"/>
      <c r="NH310" s="32"/>
      <c r="NI310" s="32"/>
      <c r="NJ310" s="32"/>
      <c r="NK310" s="32"/>
      <c r="NL310" s="32"/>
      <c r="NM310" s="32"/>
      <c r="NN310" s="32"/>
      <c r="NO310" s="32"/>
      <c r="NP310" s="32"/>
      <c r="NQ310" s="32"/>
      <c r="NR310" s="32"/>
      <c r="NS310" s="32"/>
      <c r="NT310" s="32"/>
      <c r="NU310" s="32"/>
      <c r="NV310" s="32"/>
      <c r="NW310" s="32"/>
      <c r="NX310" s="32"/>
      <c r="NY310" s="32"/>
      <c r="NZ310" s="32"/>
      <c r="OA310" s="32"/>
      <c r="OB310" s="32"/>
      <c r="OC310" s="32"/>
      <c r="OD310" s="32"/>
      <c r="OE310" s="32"/>
      <c r="OF310" s="32"/>
      <c r="OG310" s="32"/>
      <c r="OH310" s="32"/>
      <c r="OI310" s="32"/>
      <c r="OJ310" s="32"/>
      <c r="OK310" s="32"/>
      <c r="OL310" s="32"/>
      <c r="OM310" s="32"/>
      <c r="ON310" s="32"/>
      <c r="OO310" s="32"/>
      <c r="OP310" s="32"/>
      <c r="OQ310" s="32"/>
      <c r="OR310" s="32"/>
      <c r="OS310" s="32"/>
      <c r="OT310" s="32"/>
      <c r="OU310" s="32"/>
      <c r="OV310" s="32"/>
      <c r="OW310" s="32"/>
      <c r="OX310" s="32"/>
      <c r="OY310" s="32"/>
      <c r="OZ310" s="32"/>
      <c r="PA310" s="32"/>
      <c r="PB310" s="32"/>
      <c r="PC310" s="32"/>
      <c r="PD310" s="32"/>
      <c r="PE310" s="32"/>
      <c r="PF310" s="32"/>
      <c r="PG310" s="32"/>
      <c r="PH310" s="32"/>
      <c r="PI310" s="32"/>
      <c r="PJ310" s="32"/>
      <c r="PK310" s="32"/>
      <c r="PL310" s="32"/>
      <c r="PM310" s="32"/>
      <c r="PN310" s="32"/>
      <c r="PO310" s="32"/>
      <c r="PP310" s="32"/>
      <c r="PQ310" s="32"/>
      <c r="PR310" s="32"/>
      <c r="PS310" s="32"/>
      <c r="PT310" s="32"/>
      <c r="PU310" s="32"/>
      <c r="PV310" s="32"/>
      <c r="PW310" s="32"/>
      <c r="PX310" s="32"/>
      <c r="PY310" s="32"/>
      <c r="PZ310" s="32"/>
      <c r="QA310" s="32"/>
      <c r="QB310" s="32"/>
      <c r="QC310" s="32"/>
      <c r="QD310" s="32"/>
      <c r="QE310" s="32"/>
      <c r="QF310" s="32"/>
      <c r="QG310" s="32"/>
      <c r="QH310" s="32"/>
      <c r="QI310" s="32"/>
      <c r="QJ310" s="32"/>
      <c r="QK310" s="32"/>
      <c r="QL310" s="32"/>
      <c r="QM310" s="32"/>
      <c r="QN310" s="32"/>
      <c r="QO310" s="32"/>
      <c r="QP310" s="32"/>
      <c r="QQ310" s="32"/>
      <c r="QR310" s="32"/>
      <c r="QS310" s="32"/>
      <c r="QT310" s="32"/>
      <c r="QU310" s="32"/>
      <c r="QV310" s="32"/>
      <c r="QW310" s="32"/>
      <c r="QX310" s="32"/>
      <c r="QY310" s="32"/>
      <c r="QZ310" s="32"/>
      <c r="RA310" s="32"/>
      <c r="RB310" s="32"/>
      <c r="RC310" s="32"/>
      <c r="RD310" s="32"/>
      <c r="RE310" s="32"/>
      <c r="RF310" s="32"/>
      <c r="RG310" s="32"/>
      <c r="RH310" s="32"/>
      <c r="RI310" s="32"/>
      <c r="RJ310" s="32"/>
      <c r="RK310" s="32"/>
      <c r="RL310" s="32"/>
      <c r="RM310" s="32"/>
      <c r="RN310" s="32"/>
      <c r="RO310" s="32"/>
      <c r="RP310" s="32"/>
      <c r="RQ310" s="32"/>
      <c r="RR310" s="32"/>
      <c r="RS310" s="32"/>
      <c r="RT310" s="32"/>
      <c r="RU310" s="32"/>
      <c r="RV310" s="32"/>
      <c r="RW310" s="32"/>
      <c r="RX310" s="32"/>
      <c r="RY310" s="32"/>
      <c r="RZ310" s="32"/>
      <c r="SA310" s="32"/>
      <c r="SB310" s="32"/>
      <c r="SC310" s="32"/>
      <c r="SD310" s="32"/>
      <c r="SE310" s="32"/>
      <c r="SF310" s="32"/>
      <c r="SG310" s="32"/>
      <c r="SH310" s="32"/>
      <c r="SI310" s="32"/>
      <c r="SJ310" s="32"/>
      <c r="SK310" s="32"/>
      <c r="SL310" s="32"/>
      <c r="SM310" s="32"/>
      <c r="SN310" s="32"/>
      <c r="SO310" s="32"/>
      <c r="SP310" s="32"/>
      <c r="SQ310" s="32"/>
      <c r="SR310" s="32"/>
      <c r="SS310" s="32"/>
      <c r="ST310" s="32"/>
      <c r="SU310" s="32"/>
      <c r="SV310" s="32"/>
      <c r="SW310" s="32"/>
      <c r="SX310" s="32"/>
      <c r="SY310" s="32"/>
      <c r="SZ310" s="32"/>
      <c r="TA310" s="32"/>
      <c r="TB310" s="32"/>
      <c r="TC310" s="32"/>
      <c r="TD310" s="32"/>
      <c r="TE310" s="32"/>
      <c r="TF310" s="32"/>
      <c r="TG310" s="32"/>
    </row>
    <row r="311" spans="1:527" s="27" customFormat="1" ht="39" customHeight="1" x14ac:dyDescent="0.25">
      <c r="A311" s="70"/>
      <c r="B311" s="71"/>
      <c r="C311" s="72"/>
      <c r="D311" s="73"/>
      <c r="E311" s="157">
        <f>E307-'дод 5'!D244</f>
        <v>0</v>
      </c>
      <c r="F311" s="157">
        <f>F307-'дод 5'!E244</f>
        <v>0</v>
      </c>
      <c r="G311" s="157">
        <f>G307-'дод 5'!F244</f>
        <v>0</v>
      </c>
      <c r="H311" s="157">
        <f>H307-'дод 5'!G244</f>
        <v>0</v>
      </c>
      <c r="I311" s="157">
        <f>I307-'дод 5'!H244</f>
        <v>0</v>
      </c>
      <c r="J311" s="157">
        <f>J307-'дод 5'!I244</f>
        <v>0</v>
      </c>
      <c r="K311" s="157">
        <f>K307-'дод 5'!J244</f>
        <v>0</v>
      </c>
      <c r="L311" s="157">
        <f>L307-'дод 5'!K244</f>
        <v>0</v>
      </c>
      <c r="M311" s="157">
        <f>M307-'дод 5'!L244</f>
        <v>0</v>
      </c>
      <c r="N311" s="157">
        <f>N307-'дод 5'!M244</f>
        <v>0</v>
      </c>
      <c r="O311" s="157">
        <f>O307-'дод 5'!N244</f>
        <v>0</v>
      </c>
      <c r="P311" s="157">
        <f>P307-'дод 5'!O244</f>
        <v>0</v>
      </c>
      <c r="Q311" s="187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  <c r="IU311" s="32"/>
      <c r="IV311" s="32"/>
      <c r="IW311" s="32"/>
      <c r="IX311" s="32"/>
      <c r="IY311" s="32"/>
      <c r="IZ311" s="32"/>
      <c r="JA311" s="32"/>
      <c r="JB311" s="32"/>
      <c r="JC311" s="32"/>
      <c r="JD311" s="32"/>
      <c r="JE311" s="32"/>
      <c r="JF311" s="32"/>
      <c r="JG311" s="32"/>
      <c r="JH311" s="32"/>
      <c r="JI311" s="32"/>
      <c r="JJ311" s="32"/>
      <c r="JK311" s="32"/>
      <c r="JL311" s="32"/>
      <c r="JM311" s="32"/>
      <c r="JN311" s="32"/>
      <c r="JO311" s="32"/>
      <c r="JP311" s="32"/>
      <c r="JQ311" s="32"/>
      <c r="JR311" s="32"/>
      <c r="JS311" s="32"/>
      <c r="JT311" s="32"/>
      <c r="JU311" s="32"/>
      <c r="JV311" s="32"/>
      <c r="JW311" s="32"/>
      <c r="JX311" s="32"/>
      <c r="JY311" s="32"/>
      <c r="JZ311" s="32"/>
      <c r="KA311" s="32"/>
      <c r="KB311" s="32"/>
      <c r="KC311" s="32"/>
      <c r="KD311" s="32"/>
      <c r="KE311" s="32"/>
      <c r="KF311" s="32"/>
      <c r="KG311" s="32"/>
      <c r="KH311" s="32"/>
      <c r="KI311" s="32"/>
      <c r="KJ311" s="32"/>
      <c r="KK311" s="32"/>
      <c r="KL311" s="32"/>
      <c r="KM311" s="32"/>
      <c r="KN311" s="32"/>
      <c r="KO311" s="32"/>
      <c r="KP311" s="32"/>
      <c r="KQ311" s="32"/>
      <c r="KR311" s="32"/>
      <c r="KS311" s="32"/>
      <c r="KT311" s="32"/>
      <c r="KU311" s="32"/>
      <c r="KV311" s="32"/>
      <c r="KW311" s="32"/>
      <c r="KX311" s="32"/>
      <c r="KY311" s="32"/>
      <c r="KZ311" s="32"/>
      <c r="LA311" s="32"/>
      <c r="LB311" s="32"/>
      <c r="LC311" s="32"/>
      <c r="LD311" s="32"/>
      <c r="LE311" s="32"/>
      <c r="LF311" s="32"/>
      <c r="LG311" s="32"/>
      <c r="LH311" s="32"/>
      <c r="LI311" s="32"/>
      <c r="LJ311" s="32"/>
      <c r="LK311" s="32"/>
      <c r="LL311" s="32"/>
      <c r="LM311" s="32"/>
      <c r="LN311" s="32"/>
      <c r="LO311" s="32"/>
      <c r="LP311" s="32"/>
      <c r="LQ311" s="32"/>
      <c r="LR311" s="32"/>
      <c r="LS311" s="32"/>
      <c r="LT311" s="32"/>
      <c r="LU311" s="32"/>
      <c r="LV311" s="32"/>
      <c r="LW311" s="32"/>
      <c r="LX311" s="32"/>
      <c r="LY311" s="32"/>
      <c r="LZ311" s="32"/>
      <c r="MA311" s="32"/>
      <c r="MB311" s="32"/>
      <c r="MC311" s="32"/>
      <c r="MD311" s="32"/>
      <c r="ME311" s="32"/>
      <c r="MF311" s="32"/>
      <c r="MG311" s="32"/>
      <c r="MH311" s="32"/>
      <c r="MI311" s="32"/>
      <c r="MJ311" s="32"/>
      <c r="MK311" s="32"/>
      <c r="ML311" s="32"/>
      <c r="MM311" s="32"/>
      <c r="MN311" s="32"/>
      <c r="MO311" s="32"/>
      <c r="MP311" s="32"/>
      <c r="MQ311" s="32"/>
      <c r="MR311" s="32"/>
      <c r="MS311" s="32"/>
      <c r="MT311" s="32"/>
      <c r="MU311" s="32"/>
      <c r="MV311" s="32"/>
      <c r="MW311" s="32"/>
      <c r="MX311" s="32"/>
      <c r="MY311" s="32"/>
      <c r="MZ311" s="32"/>
      <c r="NA311" s="32"/>
      <c r="NB311" s="32"/>
      <c r="NC311" s="32"/>
      <c r="ND311" s="32"/>
      <c r="NE311" s="32"/>
      <c r="NF311" s="32"/>
      <c r="NG311" s="32"/>
      <c r="NH311" s="32"/>
      <c r="NI311" s="32"/>
      <c r="NJ311" s="32"/>
      <c r="NK311" s="32"/>
      <c r="NL311" s="32"/>
      <c r="NM311" s="32"/>
      <c r="NN311" s="32"/>
      <c r="NO311" s="32"/>
      <c r="NP311" s="32"/>
      <c r="NQ311" s="32"/>
      <c r="NR311" s="32"/>
      <c r="NS311" s="32"/>
      <c r="NT311" s="32"/>
      <c r="NU311" s="32"/>
      <c r="NV311" s="32"/>
      <c r="NW311" s="32"/>
      <c r="NX311" s="32"/>
      <c r="NY311" s="32"/>
      <c r="NZ311" s="32"/>
      <c r="OA311" s="32"/>
      <c r="OB311" s="32"/>
      <c r="OC311" s="32"/>
      <c r="OD311" s="32"/>
      <c r="OE311" s="32"/>
      <c r="OF311" s="32"/>
      <c r="OG311" s="32"/>
      <c r="OH311" s="32"/>
      <c r="OI311" s="32"/>
      <c r="OJ311" s="32"/>
      <c r="OK311" s="32"/>
      <c r="OL311" s="32"/>
      <c r="OM311" s="32"/>
      <c r="ON311" s="32"/>
      <c r="OO311" s="32"/>
      <c r="OP311" s="32"/>
      <c r="OQ311" s="32"/>
      <c r="OR311" s="32"/>
      <c r="OS311" s="32"/>
      <c r="OT311" s="32"/>
      <c r="OU311" s="32"/>
      <c r="OV311" s="32"/>
      <c r="OW311" s="32"/>
      <c r="OX311" s="32"/>
      <c r="OY311" s="32"/>
      <c r="OZ311" s="32"/>
      <c r="PA311" s="32"/>
      <c r="PB311" s="32"/>
      <c r="PC311" s="32"/>
      <c r="PD311" s="32"/>
      <c r="PE311" s="32"/>
      <c r="PF311" s="32"/>
      <c r="PG311" s="32"/>
      <c r="PH311" s="32"/>
      <c r="PI311" s="32"/>
      <c r="PJ311" s="32"/>
      <c r="PK311" s="32"/>
      <c r="PL311" s="32"/>
      <c r="PM311" s="32"/>
      <c r="PN311" s="32"/>
      <c r="PO311" s="32"/>
      <c r="PP311" s="32"/>
      <c r="PQ311" s="32"/>
      <c r="PR311" s="32"/>
      <c r="PS311" s="32"/>
      <c r="PT311" s="32"/>
      <c r="PU311" s="32"/>
      <c r="PV311" s="32"/>
      <c r="PW311" s="32"/>
      <c r="PX311" s="32"/>
      <c r="PY311" s="32"/>
      <c r="PZ311" s="32"/>
      <c r="QA311" s="32"/>
      <c r="QB311" s="32"/>
      <c r="QC311" s="32"/>
      <c r="QD311" s="32"/>
      <c r="QE311" s="32"/>
      <c r="QF311" s="32"/>
      <c r="QG311" s="32"/>
      <c r="QH311" s="32"/>
      <c r="QI311" s="32"/>
      <c r="QJ311" s="32"/>
      <c r="QK311" s="32"/>
      <c r="QL311" s="32"/>
      <c r="QM311" s="32"/>
      <c r="QN311" s="32"/>
      <c r="QO311" s="32"/>
      <c r="QP311" s="32"/>
      <c r="QQ311" s="32"/>
      <c r="QR311" s="32"/>
      <c r="QS311" s="32"/>
      <c r="QT311" s="32"/>
      <c r="QU311" s="32"/>
      <c r="QV311" s="32"/>
      <c r="QW311" s="32"/>
      <c r="QX311" s="32"/>
      <c r="QY311" s="32"/>
      <c r="QZ311" s="32"/>
      <c r="RA311" s="32"/>
      <c r="RB311" s="32"/>
      <c r="RC311" s="32"/>
      <c r="RD311" s="32"/>
      <c r="RE311" s="32"/>
      <c r="RF311" s="32"/>
      <c r="RG311" s="32"/>
      <c r="RH311" s="32"/>
      <c r="RI311" s="32"/>
      <c r="RJ311" s="32"/>
      <c r="RK311" s="32"/>
      <c r="RL311" s="32"/>
      <c r="RM311" s="32"/>
      <c r="RN311" s="32"/>
      <c r="RO311" s="32"/>
      <c r="RP311" s="32"/>
      <c r="RQ311" s="32"/>
      <c r="RR311" s="32"/>
      <c r="RS311" s="32"/>
      <c r="RT311" s="32"/>
      <c r="RU311" s="32"/>
      <c r="RV311" s="32"/>
      <c r="RW311" s="32"/>
      <c r="RX311" s="32"/>
      <c r="RY311" s="32"/>
      <c r="RZ311" s="32"/>
      <c r="SA311" s="32"/>
      <c r="SB311" s="32"/>
      <c r="SC311" s="32"/>
      <c r="SD311" s="32"/>
      <c r="SE311" s="32"/>
      <c r="SF311" s="32"/>
      <c r="SG311" s="32"/>
      <c r="SH311" s="32"/>
      <c r="SI311" s="32"/>
      <c r="SJ311" s="32"/>
      <c r="SK311" s="32"/>
      <c r="SL311" s="32"/>
      <c r="SM311" s="32"/>
      <c r="SN311" s="32"/>
      <c r="SO311" s="32"/>
      <c r="SP311" s="32"/>
      <c r="SQ311" s="32"/>
      <c r="SR311" s="32"/>
      <c r="SS311" s="32"/>
      <c r="ST311" s="32"/>
      <c r="SU311" s="32"/>
      <c r="SV311" s="32"/>
      <c r="SW311" s="32"/>
      <c r="SX311" s="32"/>
      <c r="SY311" s="32"/>
      <c r="SZ311" s="32"/>
      <c r="TA311" s="32"/>
      <c r="TB311" s="32"/>
      <c r="TC311" s="32"/>
      <c r="TD311" s="32"/>
      <c r="TE311" s="32"/>
      <c r="TF311" s="32"/>
      <c r="TG311" s="32"/>
    </row>
    <row r="312" spans="1:527" s="27" customFormat="1" ht="43.5" customHeight="1" x14ac:dyDescent="0.25">
      <c r="A312" s="70"/>
      <c r="B312" s="71"/>
      <c r="C312" s="72"/>
      <c r="D312" s="73"/>
      <c r="E312" s="157">
        <f>E308-'дод 5'!D245</f>
        <v>0</v>
      </c>
      <c r="F312" s="157">
        <f>F308-'дод 5'!E245</f>
        <v>0</v>
      </c>
      <c r="G312" s="157">
        <f>G308-'дод 5'!F245</f>
        <v>0</v>
      </c>
      <c r="H312" s="157">
        <f>H308-'дод 5'!G245</f>
        <v>0</v>
      </c>
      <c r="I312" s="157">
        <f>I308-'дод 5'!H245</f>
        <v>0</v>
      </c>
      <c r="J312" s="157">
        <f>J308-'дод 5'!I245</f>
        <v>0</v>
      </c>
      <c r="K312" s="157">
        <f>K308-'дод 5'!J245</f>
        <v>0</v>
      </c>
      <c r="L312" s="157">
        <f>L308-'дод 5'!K245</f>
        <v>0</v>
      </c>
      <c r="M312" s="157">
        <f>M308-'дод 5'!L245</f>
        <v>0</v>
      </c>
      <c r="N312" s="157">
        <f>N308-'дод 5'!M245</f>
        <v>0</v>
      </c>
      <c r="O312" s="157">
        <f>O308-'дод 5'!N245</f>
        <v>0</v>
      </c>
      <c r="P312" s="157">
        <f>P308-'дод 5'!O245</f>
        <v>0</v>
      </c>
      <c r="Q312" s="187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  <c r="IQ312" s="32"/>
      <c r="IR312" s="32"/>
      <c r="IS312" s="32"/>
      <c r="IT312" s="32"/>
      <c r="IU312" s="32"/>
      <c r="IV312" s="32"/>
      <c r="IW312" s="32"/>
      <c r="IX312" s="32"/>
      <c r="IY312" s="32"/>
      <c r="IZ312" s="32"/>
      <c r="JA312" s="32"/>
      <c r="JB312" s="32"/>
      <c r="JC312" s="32"/>
      <c r="JD312" s="32"/>
      <c r="JE312" s="32"/>
      <c r="JF312" s="32"/>
      <c r="JG312" s="32"/>
      <c r="JH312" s="32"/>
      <c r="JI312" s="32"/>
      <c r="JJ312" s="32"/>
      <c r="JK312" s="32"/>
      <c r="JL312" s="32"/>
      <c r="JM312" s="32"/>
      <c r="JN312" s="32"/>
      <c r="JO312" s="32"/>
      <c r="JP312" s="32"/>
      <c r="JQ312" s="32"/>
      <c r="JR312" s="32"/>
      <c r="JS312" s="32"/>
      <c r="JT312" s="32"/>
      <c r="JU312" s="32"/>
      <c r="JV312" s="32"/>
      <c r="JW312" s="32"/>
      <c r="JX312" s="32"/>
      <c r="JY312" s="32"/>
      <c r="JZ312" s="32"/>
      <c r="KA312" s="32"/>
      <c r="KB312" s="32"/>
      <c r="KC312" s="32"/>
      <c r="KD312" s="32"/>
      <c r="KE312" s="32"/>
      <c r="KF312" s="32"/>
      <c r="KG312" s="32"/>
      <c r="KH312" s="32"/>
      <c r="KI312" s="32"/>
      <c r="KJ312" s="32"/>
      <c r="KK312" s="32"/>
      <c r="KL312" s="32"/>
      <c r="KM312" s="32"/>
      <c r="KN312" s="32"/>
      <c r="KO312" s="32"/>
      <c r="KP312" s="32"/>
      <c r="KQ312" s="32"/>
      <c r="KR312" s="32"/>
      <c r="KS312" s="32"/>
      <c r="KT312" s="32"/>
      <c r="KU312" s="32"/>
      <c r="KV312" s="32"/>
      <c r="KW312" s="32"/>
      <c r="KX312" s="32"/>
      <c r="KY312" s="32"/>
      <c r="KZ312" s="32"/>
      <c r="LA312" s="32"/>
      <c r="LB312" s="32"/>
      <c r="LC312" s="32"/>
      <c r="LD312" s="32"/>
      <c r="LE312" s="32"/>
      <c r="LF312" s="32"/>
      <c r="LG312" s="32"/>
      <c r="LH312" s="32"/>
      <c r="LI312" s="32"/>
      <c r="LJ312" s="32"/>
      <c r="LK312" s="32"/>
      <c r="LL312" s="32"/>
      <c r="LM312" s="32"/>
      <c r="LN312" s="32"/>
      <c r="LO312" s="32"/>
      <c r="LP312" s="32"/>
      <c r="LQ312" s="32"/>
      <c r="LR312" s="32"/>
      <c r="LS312" s="32"/>
      <c r="LT312" s="32"/>
      <c r="LU312" s="32"/>
      <c r="LV312" s="32"/>
      <c r="LW312" s="32"/>
      <c r="LX312" s="32"/>
      <c r="LY312" s="32"/>
      <c r="LZ312" s="32"/>
      <c r="MA312" s="32"/>
      <c r="MB312" s="32"/>
      <c r="MC312" s="32"/>
      <c r="MD312" s="32"/>
      <c r="ME312" s="32"/>
      <c r="MF312" s="32"/>
      <c r="MG312" s="32"/>
      <c r="MH312" s="32"/>
      <c r="MI312" s="32"/>
      <c r="MJ312" s="32"/>
      <c r="MK312" s="32"/>
      <c r="ML312" s="32"/>
      <c r="MM312" s="32"/>
      <c r="MN312" s="32"/>
      <c r="MO312" s="32"/>
      <c r="MP312" s="32"/>
      <c r="MQ312" s="32"/>
      <c r="MR312" s="32"/>
      <c r="MS312" s="32"/>
      <c r="MT312" s="32"/>
      <c r="MU312" s="32"/>
      <c r="MV312" s="32"/>
      <c r="MW312" s="32"/>
      <c r="MX312" s="32"/>
      <c r="MY312" s="32"/>
      <c r="MZ312" s="32"/>
      <c r="NA312" s="32"/>
      <c r="NB312" s="32"/>
      <c r="NC312" s="32"/>
      <c r="ND312" s="32"/>
      <c r="NE312" s="32"/>
      <c r="NF312" s="32"/>
      <c r="NG312" s="32"/>
      <c r="NH312" s="32"/>
      <c r="NI312" s="32"/>
      <c r="NJ312" s="32"/>
      <c r="NK312" s="32"/>
      <c r="NL312" s="32"/>
      <c r="NM312" s="32"/>
      <c r="NN312" s="32"/>
      <c r="NO312" s="32"/>
      <c r="NP312" s="32"/>
      <c r="NQ312" s="32"/>
      <c r="NR312" s="32"/>
      <c r="NS312" s="32"/>
      <c r="NT312" s="32"/>
      <c r="NU312" s="32"/>
      <c r="NV312" s="32"/>
      <c r="NW312" s="32"/>
      <c r="NX312" s="32"/>
      <c r="NY312" s="32"/>
      <c r="NZ312" s="32"/>
      <c r="OA312" s="32"/>
      <c r="OB312" s="32"/>
      <c r="OC312" s="32"/>
      <c r="OD312" s="32"/>
      <c r="OE312" s="32"/>
      <c r="OF312" s="32"/>
      <c r="OG312" s="32"/>
      <c r="OH312" s="32"/>
      <c r="OI312" s="32"/>
      <c r="OJ312" s="32"/>
      <c r="OK312" s="32"/>
      <c r="OL312" s="32"/>
      <c r="OM312" s="32"/>
      <c r="ON312" s="32"/>
      <c r="OO312" s="32"/>
      <c r="OP312" s="32"/>
      <c r="OQ312" s="32"/>
      <c r="OR312" s="32"/>
      <c r="OS312" s="32"/>
      <c r="OT312" s="32"/>
      <c r="OU312" s="32"/>
      <c r="OV312" s="32"/>
      <c r="OW312" s="32"/>
      <c r="OX312" s="32"/>
      <c r="OY312" s="32"/>
      <c r="OZ312" s="32"/>
      <c r="PA312" s="32"/>
      <c r="PB312" s="32"/>
      <c r="PC312" s="32"/>
      <c r="PD312" s="32"/>
      <c r="PE312" s="32"/>
      <c r="PF312" s="32"/>
      <c r="PG312" s="32"/>
      <c r="PH312" s="32"/>
      <c r="PI312" s="32"/>
      <c r="PJ312" s="32"/>
      <c r="PK312" s="32"/>
      <c r="PL312" s="32"/>
      <c r="PM312" s="32"/>
      <c r="PN312" s="32"/>
      <c r="PO312" s="32"/>
      <c r="PP312" s="32"/>
      <c r="PQ312" s="32"/>
      <c r="PR312" s="32"/>
      <c r="PS312" s="32"/>
      <c r="PT312" s="32"/>
      <c r="PU312" s="32"/>
      <c r="PV312" s="32"/>
      <c r="PW312" s="32"/>
      <c r="PX312" s="32"/>
      <c r="PY312" s="32"/>
      <c r="PZ312" s="32"/>
      <c r="QA312" s="32"/>
      <c r="QB312" s="32"/>
      <c r="QC312" s="32"/>
      <c r="QD312" s="32"/>
      <c r="QE312" s="32"/>
      <c r="QF312" s="32"/>
      <c r="QG312" s="32"/>
      <c r="QH312" s="32"/>
      <c r="QI312" s="32"/>
      <c r="QJ312" s="32"/>
      <c r="QK312" s="32"/>
      <c r="QL312" s="32"/>
      <c r="QM312" s="32"/>
      <c r="QN312" s="32"/>
      <c r="QO312" s="32"/>
      <c r="QP312" s="32"/>
      <c r="QQ312" s="32"/>
      <c r="QR312" s="32"/>
      <c r="QS312" s="32"/>
      <c r="QT312" s="32"/>
      <c r="QU312" s="32"/>
      <c r="QV312" s="32"/>
      <c r="QW312" s="32"/>
      <c r="QX312" s="32"/>
      <c r="QY312" s="32"/>
      <c r="QZ312" s="32"/>
      <c r="RA312" s="32"/>
      <c r="RB312" s="32"/>
      <c r="RC312" s="32"/>
      <c r="RD312" s="32"/>
      <c r="RE312" s="32"/>
      <c r="RF312" s="32"/>
      <c r="RG312" s="32"/>
      <c r="RH312" s="32"/>
      <c r="RI312" s="32"/>
      <c r="RJ312" s="32"/>
      <c r="RK312" s="32"/>
      <c r="RL312" s="32"/>
      <c r="RM312" s="32"/>
      <c r="RN312" s="32"/>
      <c r="RO312" s="32"/>
      <c r="RP312" s="32"/>
      <c r="RQ312" s="32"/>
      <c r="RR312" s="32"/>
      <c r="RS312" s="32"/>
      <c r="RT312" s="32"/>
      <c r="RU312" s="32"/>
      <c r="RV312" s="32"/>
      <c r="RW312" s="32"/>
      <c r="RX312" s="32"/>
      <c r="RY312" s="32"/>
      <c r="RZ312" s="32"/>
      <c r="SA312" s="32"/>
      <c r="SB312" s="32"/>
      <c r="SC312" s="32"/>
      <c r="SD312" s="32"/>
      <c r="SE312" s="32"/>
      <c r="SF312" s="32"/>
      <c r="SG312" s="32"/>
      <c r="SH312" s="32"/>
      <c r="SI312" s="32"/>
      <c r="SJ312" s="32"/>
      <c r="SK312" s="32"/>
      <c r="SL312" s="32"/>
      <c r="SM312" s="32"/>
      <c r="SN312" s="32"/>
      <c r="SO312" s="32"/>
      <c r="SP312" s="32"/>
      <c r="SQ312" s="32"/>
      <c r="SR312" s="32"/>
      <c r="SS312" s="32"/>
      <c r="ST312" s="32"/>
      <c r="SU312" s="32"/>
      <c r="SV312" s="32"/>
      <c r="SW312" s="32"/>
      <c r="SX312" s="32"/>
      <c r="SY312" s="32"/>
      <c r="SZ312" s="32"/>
      <c r="TA312" s="32"/>
      <c r="TB312" s="32"/>
      <c r="TC312" s="32"/>
      <c r="TD312" s="32"/>
      <c r="TE312" s="32"/>
      <c r="TF312" s="32"/>
      <c r="TG312" s="32"/>
    </row>
    <row r="313" spans="1:527" s="27" customFormat="1" ht="45" customHeight="1" x14ac:dyDescent="0.25">
      <c r="A313" s="70"/>
      <c r="B313" s="71"/>
      <c r="C313" s="72"/>
      <c r="D313" s="73"/>
      <c r="E313" s="157">
        <f>E309-'дод 5'!D246</f>
        <v>0</v>
      </c>
      <c r="F313" s="157">
        <f>F309-'дод 5'!E246</f>
        <v>0</v>
      </c>
      <c r="G313" s="157">
        <f>G309-'дод 5'!F246</f>
        <v>0</v>
      </c>
      <c r="H313" s="157">
        <f>H309-'дод 5'!G246</f>
        <v>0</v>
      </c>
      <c r="I313" s="157">
        <f>I309-'дод 5'!H246</f>
        <v>0</v>
      </c>
      <c r="J313" s="157">
        <f>J309-'дод 5'!I246</f>
        <v>0</v>
      </c>
      <c r="K313" s="157">
        <f>K309-'дод 5'!J246</f>
        <v>0</v>
      </c>
      <c r="L313" s="157">
        <f>L309-'дод 5'!K246</f>
        <v>0</v>
      </c>
      <c r="M313" s="157">
        <f>M309-'дод 5'!L246</f>
        <v>0</v>
      </c>
      <c r="N313" s="157">
        <f>N309-'дод 5'!M246</f>
        <v>0</v>
      </c>
      <c r="O313" s="157">
        <f>O309-'дод 5'!N246</f>
        <v>0</v>
      </c>
      <c r="P313" s="157">
        <f>P309-'дод 5'!O246</f>
        <v>0</v>
      </c>
      <c r="Q313" s="187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  <c r="IU313" s="32"/>
      <c r="IV313" s="32"/>
      <c r="IW313" s="32"/>
      <c r="IX313" s="32"/>
      <c r="IY313" s="32"/>
      <c r="IZ313" s="32"/>
      <c r="JA313" s="32"/>
      <c r="JB313" s="32"/>
      <c r="JC313" s="32"/>
      <c r="JD313" s="32"/>
      <c r="JE313" s="32"/>
      <c r="JF313" s="32"/>
      <c r="JG313" s="32"/>
      <c r="JH313" s="32"/>
      <c r="JI313" s="32"/>
      <c r="JJ313" s="32"/>
      <c r="JK313" s="32"/>
      <c r="JL313" s="32"/>
      <c r="JM313" s="32"/>
      <c r="JN313" s="32"/>
      <c r="JO313" s="32"/>
      <c r="JP313" s="32"/>
      <c r="JQ313" s="32"/>
      <c r="JR313" s="32"/>
      <c r="JS313" s="32"/>
      <c r="JT313" s="32"/>
      <c r="JU313" s="32"/>
      <c r="JV313" s="32"/>
      <c r="JW313" s="32"/>
      <c r="JX313" s="32"/>
      <c r="JY313" s="32"/>
      <c r="JZ313" s="32"/>
      <c r="KA313" s="32"/>
      <c r="KB313" s="32"/>
      <c r="KC313" s="32"/>
      <c r="KD313" s="32"/>
      <c r="KE313" s="32"/>
      <c r="KF313" s="32"/>
      <c r="KG313" s="32"/>
      <c r="KH313" s="32"/>
      <c r="KI313" s="32"/>
      <c r="KJ313" s="32"/>
      <c r="KK313" s="32"/>
      <c r="KL313" s="32"/>
      <c r="KM313" s="32"/>
      <c r="KN313" s="32"/>
      <c r="KO313" s="32"/>
      <c r="KP313" s="32"/>
      <c r="KQ313" s="32"/>
      <c r="KR313" s="32"/>
      <c r="KS313" s="32"/>
      <c r="KT313" s="32"/>
      <c r="KU313" s="32"/>
      <c r="KV313" s="32"/>
      <c r="KW313" s="32"/>
      <c r="KX313" s="32"/>
      <c r="KY313" s="32"/>
      <c r="KZ313" s="32"/>
      <c r="LA313" s="32"/>
      <c r="LB313" s="32"/>
      <c r="LC313" s="32"/>
      <c r="LD313" s="32"/>
      <c r="LE313" s="32"/>
      <c r="LF313" s="32"/>
      <c r="LG313" s="32"/>
      <c r="LH313" s="32"/>
      <c r="LI313" s="32"/>
      <c r="LJ313" s="32"/>
      <c r="LK313" s="32"/>
      <c r="LL313" s="32"/>
      <c r="LM313" s="32"/>
      <c r="LN313" s="32"/>
      <c r="LO313" s="32"/>
      <c r="LP313" s="32"/>
      <c r="LQ313" s="32"/>
      <c r="LR313" s="32"/>
      <c r="LS313" s="32"/>
      <c r="LT313" s="32"/>
      <c r="LU313" s="32"/>
      <c r="LV313" s="32"/>
      <c r="LW313" s="32"/>
      <c r="LX313" s="32"/>
      <c r="LY313" s="32"/>
      <c r="LZ313" s="32"/>
      <c r="MA313" s="32"/>
      <c r="MB313" s="32"/>
      <c r="MC313" s="32"/>
      <c r="MD313" s="32"/>
      <c r="ME313" s="32"/>
      <c r="MF313" s="32"/>
      <c r="MG313" s="32"/>
      <c r="MH313" s="32"/>
      <c r="MI313" s="32"/>
      <c r="MJ313" s="32"/>
      <c r="MK313" s="32"/>
      <c r="ML313" s="32"/>
      <c r="MM313" s="32"/>
      <c r="MN313" s="32"/>
      <c r="MO313" s="32"/>
      <c r="MP313" s="32"/>
      <c r="MQ313" s="32"/>
      <c r="MR313" s="32"/>
      <c r="MS313" s="32"/>
      <c r="MT313" s="32"/>
      <c r="MU313" s="32"/>
      <c r="MV313" s="32"/>
      <c r="MW313" s="32"/>
      <c r="MX313" s="32"/>
      <c r="MY313" s="32"/>
      <c r="MZ313" s="32"/>
      <c r="NA313" s="32"/>
      <c r="NB313" s="32"/>
      <c r="NC313" s="32"/>
      <c r="ND313" s="32"/>
      <c r="NE313" s="32"/>
      <c r="NF313" s="32"/>
      <c r="NG313" s="32"/>
      <c r="NH313" s="32"/>
      <c r="NI313" s="32"/>
      <c r="NJ313" s="32"/>
      <c r="NK313" s="32"/>
      <c r="NL313" s="32"/>
      <c r="NM313" s="32"/>
      <c r="NN313" s="32"/>
      <c r="NO313" s="32"/>
      <c r="NP313" s="32"/>
      <c r="NQ313" s="32"/>
      <c r="NR313" s="32"/>
      <c r="NS313" s="32"/>
      <c r="NT313" s="32"/>
      <c r="NU313" s="32"/>
      <c r="NV313" s="32"/>
      <c r="NW313" s="32"/>
      <c r="NX313" s="32"/>
      <c r="NY313" s="32"/>
      <c r="NZ313" s="32"/>
      <c r="OA313" s="32"/>
      <c r="OB313" s="32"/>
      <c r="OC313" s="32"/>
      <c r="OD313" s="32"/>
      <c r="OE313" s="32"/>
      <c r="OF313" s="32"/>
      <c r="OG313" s="32"/>
      <c r="OH313" s="32"/>
      <c r="OI313" s="32"/>
      <c r="OJ313" s="32"/>
      <c r="OK313" s="32"/>
      <c r="OL313" s="32"/>
      <c r="OM313" s="32"/>
      <c r="ON313" s="32"/>
      <c r="OO313" s="32"/>
      <c r="OP313" s="32"/>
      <c r="OQ313" s="32"/>
      <c r="OR313" s="32"/>
      <c r="OS313" s="32"/>
      <c r="OT313" s="32"/>
      <c r="OU313" s="32"/>
      <c r="OV313" s="32"/>
      <c r="OW313" s="32"/>
      <c r="OX313" s="32"/>
      <c r="OY313" s="32"/>
      <c r="OZ313" s="32"/>
      <c r="PA313" s="32"/>
      <c r="PB313" s="32"/>
      <c r="PC313" s="32"/>
      <c r="PD313" s="32"/>
      <c r="PE313" s="32"/>
      <c r="PF313" s="32"/>
      <c r="PG313" s="32"/>
      <c r="PH313" s="32"/>
      <c r="PI313" s="32"/>
      <c r="PJ313" s="32"/>
      <c r="PK313" s="32"/>
      <c r="PL313" s="32"/>
      <c r="PM313" s="32"/>
      <c r="PN313" s="32"/>
      <c r="PO313" s="32"/>
      <c r="PP313" s="32"/>
      <c r="PQ313" s="32"/>
      <c r="PR313" s="32"/>
      <c r="PS313" s="32"/>
      <c r="PT313" s="32"/>
      <c r="PU313" s="32"/>
      <c r="PV313" s="32"/>
      <c r="PW313" s="32"/>
      <c r="PX313" s="32"/>
      <c r="PY313" s="32"/>
      <c r="PZ313" s="32"/>
      <c r="QA313" s="32"/>
      <c r="QB313" s="32"/>
      <c r="QC313" s="32"/>
      <c r="QD313" s="32"/>
      <c r="QE313" s="32"/>
      <c r="QF313" s="32"/>
      <c r="QG313" s="32"/>
      <c r="QH313" s="32"/>
      <c r="QI313" s="32"/>
      <c r="QJ313" s="32"/>
      <c r="QK313" s="32"/>
      <c r="QL313" s="32"/>
      <c r="QM313" s="32"/>
      <c r="QN313" s="32"/>
      <c r="QO313" s="32"/>
      <c r="QP313" s="32"/>
      <c r="QQ313" s="32"/>
      <c r="QR313" s="32"/>
      <c r="QS313" s="32"/>
      <c r="QT313" s="32"/>
      <c r="QU313" s="32"/>
      <c r="QV313" s="32"/>
      <c r="QW313" s="32"/>
      <c r="QX313" s="32"/>
      <c r="QY313" s="32"/>
      <c r="QZ313" s="32"/>
      <c r="RA313" s="32"/>
      <c r="RB313" s="32"/>
      <c r="RC313" s="32"/>
      <c r="RD313" s="32"/>
      <c r="RE313" s="32"/>
      <c r="RF313" s="32"/>
      <c r="RG313" s="32"/>
      <c r="RH313" s="32"/>
      <c r="RI313" s="32"/>
      <c r="RJ313" s="32"/>
      <c r="RK313" s="32"/>
      <c r="RL313" s="32"/>
      <c r="RM313" s="32"/>
      <c r="RN313" s="32"/>
      <c r="RO313" s="32"/>
      <c r="RP313" s="32"/>
      <c r="RQ313" s="32"/>
      <c r="RR313" s="32"/>
      <c r="RS313" s="32"/>
      <c r="RT313" s="32"/>
      <c r="RU313" s="32"/>
      <c r="RV313" s="32"/>
      <c r="RW313" s="32"/>
      <c r="RX313" s="32"/>
      <c r="RY313" s="32"/>
      <c r="RZ313" s="32"/>
      <c r="SA313" s="32"/>
      <c r="SB313" s="32"/>
      <c r="SC313" s="32"/>
      <c r="SD313" s="32"/>
      <c r="SE313" s="32"/>
      <c r="SF313" s="32"/>
      <c r="SG313" s="32"/>
      <c r="SH313" s="32"/>
      <c r="SI313" s="32"/>
      <c r="SJ313" s="32"/>
      <c r="SK313" s="32"/>
      <c r="SL313" s="32"/>
      <c r="SM313" s="32"/>
      <c r="SN313" s="32"/>
      <c r="SO313" s="32"/>
      <c r="SP313" s="32"/>
      <c r="SQ313" s="32"/>
      <c r="SR313" s="32"/>
      <c r="SS313" s="32"/>
      <c r="ST313" s="32"/>
      <c r="SU313" s="32"/>
      <c r="SV313" s="32"/>
      <c r="SW313" s="32"/>
      <c r="SX313" s="32"/>
      <c r="SY313" s="32"/>
      <c r="SZ313" s="32"/>
      <c r="TA313" s="32"/>
      <c r="TB313" s="32"/>
      <c r="TC313" s="32"/>
      <c r="TD313" s="32"/>
      <c r="TE313" s="32"/>
      <c r="TF313" s="32"/>
      <c r="TG313" s="32"/>
    </row>
    <row r="314" spans="1:527" s="161" customFormat="1" ht="54" customHeight="1" x14ac:dyDescent="0.55000000000000004">
      <c r="A314" s="158" t="s">
        <v>476</v>
      </c>
      <c r="B314" s="159"/>
      <c r="C314" s="160"/>
      <c r="D314" s="149"/>
      <c r="E314" s="150"/>
      <c r="F314" s="149"/>
      <c r="G314" s="149"/>
      <c r="H314" s="149"/>
      <c r="I314" s="149"/>
      <c r="J314" s="149"/>
      <c r="M314" s="149"/>
      <c r="N314" s="149" t="s">
        <v>477</v>
      </c>
      <c r="O314" s="150"/>
      <c r="P314" s="150"/>
      <c r="Q314" s="187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162"/>
      <c r="DA314" s="162"/>
      <c r="DB314" s="162"/>
      <c r="DC314" s="162"/>
      <c r="DD314" s="162"/>
      <c r="DE314" s="162"/>
      <c r="DF314" s="162"/>
      <c r="DG314" s="162"/>
      <c r="DH314" s="162"/>
      <c r="DI314" s="162"/>
      <c r="DJ314" s="162"/>
      <c r="DK314" s="162"/>
      <c r="DL314" s="162"/>
      <c r="DM314" s="162"/>
      <c r="DN314" s="162"/>
      <c r="DO314" s="162"/>
      <c r="DP314" s="162"/>
      <c r="DQ314" s="162"/>
      <c r="DR314" s="162"/>
      <c r="DS314" s="162"/>
      <c r="DT314" s="162"/>
      <c r="DU314" s="162"/>
      <c r="DV314" s="162"/>
      <c r="DW314" s="162"/>
      <c r="DX314" s="162"/>
      <c r="DY314" s="162"/>
      <c r="DZ314" s="162"/>
      <c r="EA314" s="162"/>
      <c r="EB314" s="162"/>
      <c r="EC314" s="162"/>
      <c r="ED314" s="162"/>
      <c r="EE314" s="162"/>
      <c r="EF314" s="162"/>
      <c r="EG314" s="162"/>
      <c r="EH314" s="162"/>
      <c r="EI314" s="162"/>
      <c r="EJ314" s="162"/>
      <c r="EK314" s="162"/>
      <c r="EL314" s="162"/>
      <c r="EM314" s="162"/>
      <c r="EN314" s="162"/>
      <c r="EO314" s="162"/>
      <c r="EP314" s="162"/>
      <c r="EQ314" s="162"/>
      <c r="ER314" s="162"/>
      <c r="ES314" s="162"/>
      <c r="ET314" s="162"/>
      <c r="EU314" s="162"/>
      <c r="EV314" s="162"/>
      <c r="EW314" s="162"/>
      <c r="EX314" s="162"/>
      <c r="EY314" s="162"/>
      <c r="EZ314" s="162"/>
      <c r="FA314" s="162"/>
      <c r="FB314" s="162"/>
      <c r="FC314" s="162"/>
      <c r="FD314" s="162"/>
      <c r="FE314" s="162"/>
      <c r="FF314" s="162"/>
      <c r="FG314" s="162"/>
      <c r="FH314" s="162"/>
      <c r="FI314" s="162"/>
      <c r="FJ314" s="162"/>
      <c r="FK314" s="162"/>
      <c r="FL314" s="162"/>
      <c r="FM314" s="162"/>
      <c r="FN314" s="162"/>
      <c r="FO314" s="162"/>
      <c r="FP314" s="162"/>
      <c r="FQ314" s="162"/>
      <c r="FR314" s="162"/>
      <c r="FS314" s="162"/>
      <c r="FT314" s="162"/>
      <c r="FU314" s="162"/>
      <c r="FV314" s="162"/>
      <c r="FW314" s="162"/>
      <c r="FX314" s="162"/>
      <c r="FY314" s="162"/>
      <c r="FZ314" s="162"/>
      <c r="GA314" s="162"/>
      <c r="GB314" s="162"/>
      <c r="GC314" s="162"/>
      <c r="GD314" s="162"/>
      <c r="GE314" s="162"/>
      <c r="GF314" s="162"/>
      <c r="GG314" s="162"/>
      <c r="GH314" s="162"/>
      <c r="GI314" s="162"/>
      <c r="GJ314" s="162"/>
      <c r="GK314" s="162"/>
      <c r="GL314" s="162"/>
      <c r="GM314" s="162"/>
      <c r="GN314" s="162"/>
      <c r="GO314" s="162"/>
      <c r="GP314" s="162"/>
      <c r="GQ314" s="162"/>
      <c r="GR314" s="162"/>
      <c r="GS314" s="162"/>
      <c r="GT314" s="162"/>
      <c r="GU314" s="162"/>
      <c r="GV314" s="162"/>
      <c r="GW314" s="162"/>
      <c r="GX314" s="162"/>
      <c r="GY314" s="162"/>
      <c r="GZ314" s="162"/>
      <c r="HA314" s="162"/>
      <c r="HB314" s="162"/>
      <c r="HC314" s="162"/>
      <c r="HD314" s="162"/>
      <c r="HE314" s="162"/>
      <c r="HF314" s="162"/>
      <c r="HG314" s="162"/>
      <c r="HH314" s="162"/>
      <c r="HI314" s="162"/>
      <c r="HJ314" s="162"/>
      <c r="HK314" s="162"/>
      <c r="HL314" s="162"/>
      <c r="HM314" s="162"/>
      <c r="HN314" s="162"/>
      <c r="HO314" s="162"/>
      <c r="HP314" s="162"/>
      <c r="HQ314" s="162"/>
      <c r="HR314" s="162"/>
      <c r="HS314" s="162"/>
      <c r="HT314" s="162"/>
      <c r="HU314" s="162"/>
      <c r="HV314" s="162"/>
      <c r="HW314" s="162"/>
      <c r="HX314" s="162"/>
      <c r="HY314" s="162"/>
      <c r="HZ314" s="162"/>
      <c r="IA314" s="162"/>
      <c r="IB314" s="162"/>
      <c r="IC314" s="162"/>
      <c r="ID314" s="162"/>
      <c r="IE314" s="162"/>
      <c r="IF314" s="162"/>
      <c r="IG314" s="162"/>
      <c r="IH314" s="162"/>
      <c r="II314" s="162"/>
      <c r="IJ314" s="162"/>
      <c r="IK314" s="162"/>
      <c r="IL314" s="162"/>
      <c r="IM314" s="162"/>
      <c r="IN314" s="162"/>
      <c r="IO314" s="162"/>
      <c r="IP314" s="162"/>
      <c r="IQ314" s="162"/>
      <c r="IR314" s="162"/>
      <c r="IS314" s="162"/>
      <c r="IT314" s="162"/>
      <c r="IU314" s="162"/>
      <c r="IV314" s="162"/>
      <c r="IW314" s="162"/>
      <c r="IX314" s="162"/>
      <c r="IY314" s="162"/>
      <c r="IZ314" s="162"/>
      <c r="JA314" s="162"/>
      <c r="JB314" s="162"/>
      <c r="JC314" s="162"/>
      <c r="JD314" s="162"/>
      <c r="JE314" s="162"/>
      <c r="JF314" s="162"/>
      <c r="JG314" s="162"/>
      <c r="JH314" s="162"/>
      <c r="JI314" s="162"/>
      <c r="JJ314" s="162"/>
      <c r="JK314" s="162"/>
      <c r="JL314" s="162"/>
      <c r="JM314" s="162"/>
      <c r="JN314" s="162"/>
      <c r="JO314" s="162"/>
      <c r="JP314" s="162"/>
      <c r="JQ314" s="162"/>
      <c r="JR314" s="162"/>
      <c r="JS314" s="162"/>
      <c r="JT314" s="162"/>
      <c r="JU314" s="162"/>
      <c r="JV314" s="162"/>
      <c r="JW314" s="162"/>
      <c r="JX314" s="162"/>
      <c r="JY314" s="162"/>
      <c r="JZ314" s="162"/>
      <c r="KA314" s="162"/>
      <c r="KB314" s="162"/>
      <c r="KC314" s="162"/>
      <c r="KD314" s="162"/>
      <c r="KE314" s="162"/>
      <c r="KF314" s="162"/>
      <c r="KG314" s="162"/>
      <c r="KH314" s="162"/>
      <c r="KI314" s="162"/>
      <c r="KJ314" s="162"/>
      <c r="KK314" s="162"/>
      <c r="KL314" s="162"/>
      <c r="KM314" s="162"/>
      <c r="KN314" s="162"/>
      <c r="KO314" s="162"/>
      <c r="KP314" s="162"/>
      <c r="KQ314" s="162"/>
      <c r="KR314" s="162"/>
      <c r="KS314" s="162"/>
      <c r="KT314" s="162"/>
      <c r="KU314" s="162"/>
      <c r="KV314" s="162"/>
      <c r="KW314" s="162"/>
      <c r="KX314" s="162"/>
      <c r="KY314" s="162"/>
      <c r="KZ314" s="162"/>
      <c r="LA314" s="162"/>
      <c r="LB314" s="162"/>
      <c r="LC314" s="162"/>
      <c r="LD314" s="162"/>
      <c r="LE314" s="162"/>
      <c r="LF314" s="162"/>
      <c r="LG314" s="162"/>
      <c r="LH314" s="162"/>
      <c r="LI314" s="162"/>
      <c r="LJ314" s="162"/>
      <c r="LK314" s="162"/>
      <c r="LL314" s="162"/>
      <c r="LM314" s="162"/>
      <c r="LN314" s="162"/>
      <c r="LO314" s="162"/>
      <c r="LP314" s="162"/>
      <c r="LQ314" s="162"/>
      <c r="LR314" s="162"/>
      <c r="LS314" s="162"/>
      <c r="LT314" s="162"/>
      <c r="LU314" s="162"/>
      <c r="LV314" s="162"/>
      <c r="LW314" s="162"/>
      <c r="LX314" s="162"/>
      <c r="LY314" s="162"/>
      <c r="LZ314" s="162"/>
      <c r="MA314" s="162"/>
      <c r="MB314" s="162"/>
      <c r="MC314" s="162"/>
      <c r="MD314" s="162"/>
      <c r="ME314" s="162"/>
      <c r="MF314" s="162"/>
      <c r="MG314" s="162"/>
      <c r="MH314" s="162"/>
      <c r="MI314" s="162"/>
      <c r="MJ314" s="162"/>
      <c r="MK314" s="162"/>
      <c r="ML314" s="162"/>
      <c r="MM314" s="162"/>
      <c r="MN314" s="162"/>
      <c r="MO314" s="162"/>
      <c r="MP314" s="162"/>
      <c r="MQ314" s="162"/>
      <c r="MR314" s="162"/>
      <c r="MS314" s="162"/>
      <c r="MT314" s="162"/>
      <c r="MU314" s="162"/>
      <c r="MV314" s="162"/>
      <c r="MW314" s="162"/>
      <c r="MX314" s="162"/>
      <c r="MY314" s="162"/>
      <c r="MZ314" s="162"/>
      <c r="NA314" s="162"/>
      <c r="NB314" s="162"/>
      <c r="NC314" s="162"/>
      <c r="ND314" s="162"/>
      <c r="NE314" s="162"/>
      <c r="NF314" s="162"/>
      <c r="NG314" s="162"/>
      <c r="NH314" s="162"/>
      <c r="NI314" s="162"/>
      <c r="NJ314" s="162"/>
      <c r="NK314" s="162"/>
      <c r="NL314" s="162"/>
      <c r="NM314" s="162"/>
      <c r="NN314" s="162"/>
      <c r="NO314" s="162"/>
      <c r="NP314" s="162"/>
      <c r="NQ314" s="162"/>
      <c r="NR314" s="162"/>
      <c r="NS314" s="162"/>
      <c r="NT314" s="162"/>
      <c r="NU314" s="162"/>
      <c r="NV314" s="162"/>
      <c r="NW314" s="162"/>
      <c r="NX314" s="162"/>
      <c r="NY314" s="162"/>
      <c r="NZ314" s="162"/>
      <c r="OA314" s="162"/>
      <c r="OB314" s="162"/>
      <c r="OC314" s="162"/>
      <c r="OD314" s="162"/>
      <c r="OE314" s="162"/>
      <c r="OF314" s="162"/>
      <c r="OG314" s="162"/>
      <c r="OH314" s="162"/>
      <c r="OI314" s="162"/>
      <c r="OJ314" s="162"/>
      <c r="OK314" s="162"/>
      <c r="OL314" s="162"/>
      <c r="OM314" s="162"/>
      <c r="ON314" s="162"/>
      <c r="OO314" s="162"/>
      <c r="OP314" s="162"/>
      <c r="OQ314" s="162"/>
      <c r="OR314" s="162"/>
      <c r="OS314" s="162"/>
      <c r="OT314" s="162"/>
      <c r="OU314" s="162"/>
      <c r="OV314" s="162"/>
      <c r="OW314" s="162"/>
      <c r="OX314" s="162"/>
      <c r="OY314" s="162"/>
      <c r="OZ314" s="162"/>
      <c r="PA314" s="162"/>
      <c r="PB314" s="162"/>
      <c r="PC314" s="162"/>
      <c r="PD314" s="162"/>
      <c r="PE314" s="162"/>
      <c r="PF314" s="162"/>
      <c r="PG314" s="162"/>
      <c r="PH314" s="162"/>
      <c r="PI314" s="162"/>
      <c r="PJ314" s="162"/>
      <c r="PK314" s="162"/>
      <c r="PL314" s="162"/>
      <c r="PM314" s="162"/>
      <c r="PN314" s="162"/>
      <c r="PO314" s="162"/>
      <c r="PP314" s="162"/>
      <c r="PQ314" s="162"/>
      <c r="PR314" s="162"/>
      <c r="PS314" s="162"/>
      <c r="PT314" s="162"/>
      <c r="PU314" s="162"/>
      <c r="PV314" s="162"/>
      <c r="PW314" s="162"/>
      <c r="PX314" s="162"/>
      <c r="PY314" s="162"/>
      <c r="PZ314" s="162"/>
      <c r="QA314" s="162"/>
      <c r="QB314" s="162"/>
      <c r="QC314" s="162"/>
      <c r="QD314" s="162"/>
      <c r="QE314" s="162"/>
      <c r="QF314" s="162"/>
      <c r="QG314" s="162"/>
      <c r="QH314" s="162"/>
      <c r="QI314" s="162"/>
      <c r="QJ314" s="162"/>
      <c r="QK314" s="162"/>
      <c r="QL314" s="162"/>
      <c r="QM314" s="162"/>
      <c r="QN314" s="162"/>
      <c r="QO314" s="162"/>
      <c r="QP314" s="162"/>
      <c r="QQ314" s="162"/>
      <c r="QR314" s="162"/>
      <c r="QS314" s="162"/>
      <c r="QT314" s="162"/>
      <c r="QU314" s="162"/>
      <c r="QV314" s="162"/>
      <c r="QW314" s="162"/>
      <c r="QX314" s="162"/>
      <c r="QY314" s="162"/>
      <c r="QZ314" s="162"/>
      <c r="RA314" s="162"/>
      <c r="RB314" s="162"/>
      <c r="RC314" s="162"/>
      <c r="RD314" s="162"/>
      <c r="RE314" s="162"/>
      <c r="RF314" s="162"/>
      <c r="RG314" s="162"/>
      <c r="RH314" s="162"/>
      <c r="RI314" s="162"/>
      <c r="RJ314" s="162"/>
      <c r="RK314" s="162"/>
      <c r="RL314" s="162"/>
      <c r="RM314" s="162"/>
      <c r="RN314" s="162"/>
      <c r="RO314" s="162"/>
      <c r="RP314" s="162"/>
      <c r="RQ314" s="162"/>
      <c r="RR314" s="162"/>
      <c r="RS314" s="162"/>
      <c r="RT314" s="162"/>
      <c r="RU314" s="162"/>
      <c r="RV314" s="162"/>
      <c r="RW314" s="162"/>
      <c r="RX314" s="162"/>
      <c r="RY314" s="162"/>
      <c r="RZ314" s="162"/>
      <c r="SA314" s="162"/>
      <c r="SB314" s="162"/>
      <c r="SC314" s="162"/>
      <c r="SD314" s="162"/>
      <c r="SE314" s="162"/>
      <c r="SF314" s="162"/>
      <c r="SG314" s="162"/>
      <c r="SH314" s="162"/>
      <c r="SI314" s="162"/>
      <c r="SJ314" s="162"/>
      <c r="SK314" s="162"/>
      <c r="SL314" s="162"/>
      <c r="SM314" s="162"/>
      <c r="SN314" s="162"/>
      <c r="SO314" s="162"/>
      <c r="SP314" s="162"/>
      <c r="SQ314" s="162"/>
      <c r="SR314" s="162"/>
      <c r="SS314" s="162"/>
      <c r="ST314" s="162"/>
      <c r="SU314" s="162"/>
      <c r="SV314" s="162"/>
      <c r="SW314" s="162"/>
      <c r="SX314" s="162"/>
      <c r="SY314" s="162"/>
      <c r="SZ314" s="162"/>
      <c r="TA314" s="162"/>
      <c r="TB314" s="162"/>
      <c r="TC314" s="162"/>
      <c r="TD314" s="162"/>
      <c r="TE314" s="162"/>
      <c r="TF314" s="162"/>
      <c r="TG314" s="162"/>
    </row>
    <row r="315" spans="1:527" s="28" customFormat="1" ht="34.5" customHeigh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147"/>
      <c r="Q315" s="187"/>
    </row>
    <row r="316" spans="1:527" s="153" customFormat="1" ht="41.25" customHeight="1" x14ac:dyDescent="0.45">
      <c r="A316" s="151" t="s">
        <v>478</v>
      </c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87"/>
    </row>
    <row r="317" spans="1:527" s="135" customFormat="1" ht="39.75" customHeight="1" x14ac:dyDescent="0.4">
      <c r="A317" s="179" t="s">
        <v>567</v>
      </c>
      <c r="B317" s="179"/>
      <c r="C317" s="179"/>
      <c r="D317" s="179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87"/>
    </row>
    <row r="318" spans="1:527" s="135" customFormat="1" ht="26.25" x14ac:dyDescent="0.4">
      <c r="A318" s="136"/>
      <c r="B318" s="137"/>
      <c r="C318" s="137"/>
      <c r="D318" s="138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87"/>
    </row>
    <row r="319" spans="1:527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187"/>
    </row>
    <row r="320" spans="1:527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164"/>
    </row>
    <row r="321" spans="1:17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164"/>
    </row>
    <row r="322" spans="1:17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164"/>
    </row>
    <row r="323" spans="1:17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147"/>
      <c r="Q323" s="164"/>
    </row>
    <row r="324" spans="1:17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147"/>
      <c r="Q324" s="164"/>
    </row>
    <row r="325" spans="1:17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147"/>
      <c r="Q325" s="164"/>
    </row>
    <row r="326" spans="1:17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147"/>
      <c r="Q326" s="164"/>
    </row>
    <row r="327" spans="1:17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147"/>
      <c r="Q327" s="164"/>
    </row>
    <row r="328" spans="1:17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147"/>
      <c r="Q328" s="164"/>
    </row>
    <row r="329" spans="1:17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147"/>
      <c r="Q329" s="164"/>
    </row>
    <row r="330" spans="1:17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147"/>
      <c r="Q330" s="164"/>
    </row>
    <row r="331" spans="1:17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147"/>
      <c r="Q331" s="164"/>
    </row>
    <row r="332" spans="1:17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147"/>
      <c r="Q332" s="164"/>
    </row>
    <row r="333" spans="1:17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147"/>
      <c r="Q333" s="164"/>
    </row>
    <row r="334" spans="1:17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147"/>
      <c r="Q334" s="164"/>
    </row>
    <row r="335" spans="1:17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147"/>
      <c r="Q335" s="164"/>
    </row>
    <row r="336" spans="1:17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147"/>
      <c r="Q336" s="164"/>
    </row>
    <row r="337" spans="1:17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147"/>
      <c r="Q337" s="164"/>
    </row>
    <row r="338" spans="1:17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147"/>
      <c r="Q338" s="164"/>
    </row>
    <row r="339" spans="1:17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47"/>
      <c r="Q339" s="164"/>
    </row>
    <row r="340" spans="1:17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47"/>
      <c r="Q340" s="164"/>
    </row>
    <row r="341" spans="1:17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47"/>
      <c r="Q341" s="164"/>
    </row>
    <row r="342" spans="1:17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47"/>
      <c r="Q342" s="164"/>
    </row>
    <row r="343" spans="1:17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47"/>
      <c r="Q343" s="164"/>
    </row>
    <row r="344" spans="1:17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47"/>
      <c r="Q344" s="164"/>
    </row>
    <row r="345" spans="1:17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47"/>
      <c r="Q345" s="164"/>
    </row>
    <row r="346" spans="1:17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47"/>
      <c r="Q346" s="164"/>
    </row>
    <row r="347" spans="1:17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47"/>
      <c r="Q347" s="164"/>
    </row>
    <row r="348" spans="1:17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47"/>
      <c r="Q348" s="164"/>
    </row>
    <row r="349" spans="1:17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47"/>
      <c r="Q349" s="164"/>
    </row>
    <row r="350" spans="1:17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47"/>
      <c r="Q350" s="164"/>
    </row>
    <row r="351" spans="1:17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47"/>
      <c r="Q351" s="164"/>
    </row>
    <row r="352" spans="1:17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47"/>
      <c r="Q352" s="164"/>
    </row>
    <row r="353" spans="1:17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47"/>
      <c r="Q353" s="164"/>
    </row>
    <row r="354" spans="1:17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47"/>
      <c r="Q354" s="164"/>
    </row>
    <row r="355" spans="1:17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47"/>
      <c r="Q355" s="164"/>
    </row>
    <row r="356" spans="1:17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47"/>
      <c r="Q356" s="164"/>
    </row>
    <row r="357" spans="1:17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47"/>
      <c r="Q357" s="164"/>
    </row>
    <row r="358" spans="1:17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47"/>
      <c r="Q358" s="164"/>
    </row>
    <row r="359" spans="1:17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47"/>
      <c r="Q359" s="164"/>
    </row>
    <row r="360" spans="1:17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47"/>
      <c r="Q360" s="164"/>
    </row>
    <row r="361" spans="1:17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47"/>
      <c r="Q361" s="164"/>
    </row>
    <row r="362" spans="1:17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47"/>
      <c r="Q362" s="164"/>
    </row>
    <row r="363" spans="1:17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47"/>
      <c r="Q363" s="164"/>
    </row>
    <row r="364" spans="1:17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47"/>
      <c r="Q364" s="164"/>
    </row>
    <row r="365" spans="1:17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47"/>
      <c r="Q365" s="164"/>
    </row>
    <row r="366" spans="1:17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47"/>
      <c r="Q366" s="164"/>
    </row>
    <row r="367" spans="1:17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47"/>
      <c r="Q367" s="164"/>
    </row>
    <row r="368" spans="1:17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47"/>
      <c r="Q368" s="164"/>
    </row>
    <row r="369" spans="1:17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47"/>
      <c r="Q369" s="164"/>
    </row>
    <row r="370" spans="1:17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47"/>
      <c r="Q370" s="164"/>
    </row>
    <row r="371" spans="1:17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47"/>
      <c r="Q371" s="164"/>
    </row>
    <row r="372" spans="1:17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47"/>
      <c r="Q372" s="164"/>
    </row>
    <row r="373" spans="1:17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47"/>
      <c r="Q373" s="164"/>
    </row>
    <row r="374" spans="1:17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47"/>
      <c r="Q374" s="164"/>
    </row>
    <row r="375" spans="1:17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47"/>
      <c r="Q375" s="164"/>
    </row>
    <row r="376" spans="1:17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47"/>
      <c r="Q376" s="164"/>
    </row>
    <row r="377" spans="1:17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47"/>
      <c r="Q377" s="164"/>
    </row>
    <row r="378" spans="1:17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47"/>
      <c r="Q378" s="164"/>
    </row>
    <row r="379" spans="1:17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47"/>
      <c r="Q379" s="164"/>
    </row>
    <row r="380" spans="1:17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47"/>
      <c r="Q380" s="164"/>
    </row>
    <row r="381" spans="1:17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47"/>
      <c r="Q381" s="164"/>
    </row>
    <row r="382" spans="1:17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47"/>
      <c r="Q382" s="164"/>
    </row>
    <row r="383" spans="1:17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47"/>
      <c r="Q383" s="164"/>
    </row>
    <row r="384" spans="1:17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47"/>
      <c r="Q384" s="164"/>
    </row>
    <row r="385" spans="1:17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47"/>
      <c r="Q385" s="164"/>
    </row>
    <row r="386" spans="1:17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47"/>
      <c r="Q386" s="164"/>
    </row>
    <row r="387" spans="1:17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47"/>
      <c r="Q387" s="164"/>
    </row>
    <row r="388" spans="1:17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47"/>
      <c r="Q388" s="164"/>
    </row>
    <row r="389" spans="1:17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47"/>
      <c r="Q389" s="164"/>
    </row>
    <row r="390" spans="1:17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47"/>
      <c r="Q390" s="164"/>
    </row>
    <row r="391" spans="1:17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47"/>
      <c r="Q391" s="164"/>
    </row>
    <row r="392" spans="1:17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47"/>
      <c r="Q392" s="164"/>
    </row>
    <row r="393" spans="1:17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47"/>
      <c r="Q393" s="164"/>
    </row>
    <row r="394" spans="1:17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47"/>
      <c r="Q394" s="164"/>
    </row>
    <row r="395" spans="1:17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47"/>
      <c r="Q395" s="164"/>
    </row>
    <row r="396" spans="1:17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47"/>
      <c r="Q396" s="164"/>
    </row>
    <row r="397" spans="1:17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47"/>
      <c r="Q397" s="164"/>
    </row>
    <row r="398" spans="1:17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47"/>
      <c r="Q398" s="164"/>
    </row>
    <row r="399" spans="1:17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47"/>
      <c r="Q399" s="164"/>
    </row>
    <row r="400" spans="1:17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47"/>
      <c r="Q400" s="164"/>
    </row>
    <row r="401" spans="1:17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47"/>
      <c r="Q401" s="164"/>
    </row>
    <row r="402" spans="1:17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47"/>
      <c r="Q402" s="164"/>
    </row>
    <row r="403" spans="1:17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47"/>
      <c r="Q403" s="164"/>
    </row>
    <row r="404" spans="1:17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47"/>
      <c r="Q404" s="164"/>
    </row>
    <row r="405" spans="1:17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47"/>
      <c r="Q405" s="164"/>
    </row>
    <row r="406" spans="1:17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47"/>
      <c r="Q406" s="164"/>
    </row>
    <row r="407" spans="1:17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47"/>
      <c r="Q407" s="164"/>
    </row>
    <row r="408" spans="1:17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47"/>
      <c r="Q408" s="164"/>
    </row>
    <row r="409" spans="1:17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47"/>
      <c r="Q409" s="164"/>
    </row>
    <row r="410" spans="1:17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47"/>
      <c r="Q410" s="164"/>
    </row>
    <row r="411" spans="1:17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47"/>
      <c r="Q411" s="164"/>
    </row>
    <row r="412" spans="1:17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47"/>
      <c r="Q412" s="164"/>
    </row>
    <row r="413" spans="1:17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47"/>
      <c r="Q413" s="164"/>
    </row>
    <row r="414" spans="1:17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47"/>
      <c r="Q414" s="164"/>
    </row>
    <row r="415" spans="1:17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47"/>
      <c r="Q415" s="164"/>
    </row>
    <row r="416" spans="1:17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47"/>
      <c r="Q416" s="164"/>
    </row>
    <row r="417" spans="1:17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47"/>
      <c r="Q417" s="164"/>
    </row>
    <row r="418" spans="1:17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47"/>
      <c r="Q418" s="164"/>
    </row>
    <row r="419" spans="1:17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47"/>
      <c r="Q419" s="164"/>
    </row>
    <row r="420" spans="1:17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47"/>
      <c r="Q420" s="164"/>
    </row>
    <row r="421" spans="1:17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47"/>
      <c r="Q421" s="164"/>
    </row>
    <row r="422" spans="1:17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47"/>
      <c r="Q422" s="164"/>
    </row>
    <row r="423" spans="1:17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47"/>
      <c r="Q423" s="164"/>
    </row>
    <row r="424" spans="1:17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47"/>
      <c r="Q424" s="164"/>
    </row>
    <row r="425" spans="1:17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47"/>
      <c r="Q425" s="164"/>
    </row>
    <row r="426" spans="1:17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47"/>
      <c r="Q426" s="164"/>
    </row>
    <row r="427" spans="1:17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47"/>
      <c r="Q427" s="164"/>
    </row>
    <row r="428" spans="1:17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47"/>
      <c r="Q428" s="164"/>
    </row>
    <row r="429" spans="1:17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47"/>
      <c r="Q429" s="164"/>
    </row>
    <row r="430" spans="1:17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47"/>
      <c r="Q430" s="164"/>
    </row>
    <row r="431" spans="1:17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47"/>
      <c r="Q431" s="164"/>
    </row>
    <row r="432" spans="1:17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47"/>
      <c r="Q432" s="164"/>
    </row>
    <row r="433" spans="1:17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47"/>
      <c r="Q433" s="164"/>
    </row>
    <row r="434" spans="1:17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47"/>
      <c r="Q434" s="164"/>
    </row>
    <row r="435" spans="1:17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47"/>
      <c r="Q435" s="164"/>
    </row>
    <row r="436" spans="1:17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47"/>
      <c r="Q436" s="164"/>
    </row>
    <row r="437" spans="1:17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47"/>
      <c r="Q437" s="164"/>
    </row>
    <row r="438" spans="1:17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47"/>
      <c r="Q438" s="164"/>
    </row>
    <row r="439" spans="1:17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47"/>
      <c r="Q439" s="164"/>
    </row>
    <row r="440" spans="1:17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47"/>
      <c r="Q440" s="164"/>
    </row>
    <row r="441" spans="1:17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47"/>
      <c r="Q441" s="164"/>
    </row>
    <row r="442" spans="1:17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47"/>
      <c r="Q442" s="164"/>
    </row>
    <row r="443" spans="1:17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47"/>
      <c r="Q443" s="164"/>
    </row>
    <row r="444" spans="1:17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47"/>
      <c r="Q444" s="164"/>
    </row>
    <row r="445" spans="1:17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47"/>
      <c r="Q445" s="164"/>
    </row>
    <row r="446" spans="1:17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47"/>
      <c r="Q446" s="164"/>
    </row>
    <row r="447" spans="1:17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47"/>
      <c r="Q447" s="164"/>
    </row>
    <row r="448" spans="1:17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47"/>
      <c r="Q448" s="164"/>
    </row>
    <row r="449" spans="1:17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47"/>
      <c r="Q449" s="164"/>
    </row>
    <row r="450" spans="1:17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47"/>
      <c r="Q450" s="164"/>
    </row>
    <row r="451" spans="1:17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47"/>
      <c r="Q451" s="164"/>
    </row>
    <row r="452" spans="1:17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47"/>
      <c r="Q452" s="164"/>
    </row>
    <row r="453" spans="1:17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47"/>
      <c r="Q453" s="164"/>
    </row>
    <row r="454" spans="1:17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47"/>
      <c r="Q454" s="164"/>
    </row>
    <row r="455" spans="1:17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47"/>
      <c r="Q455" s="164"/>
    </row>
    <row r="456" spans="1:17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47"/>
      <c r="Q456" s="164"/>
    </row>
    <row r="457" spans="1:17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47"/>
      <c r="Q457" s="164"/>
    </row>
    <row r="458" spans="1:17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47"/>
      <c r="Q458" s="164"/>
    </row>
    <row r="459" spans="1:17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47"/>
      <c r="Q459" s="164"/>
    </row>
    <row r="460" spans="1:17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47"/>
      <c r="Q460" s="164"/>
    </row>
    <row r="461" spans="1:17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47"/>
      <c r="Q461" s="164"/>
    </row>
    <row r="462" spans="1:17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47"/>
      <c r="Q462" s="164"/>
    </row>
    <row r="463" spans="1:17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47"/>
      <c r="Q463" s="164"/>
    </row>
    <row r="464" spans="1:17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47"/>
      <c r="Q464" s="164"/>
    </row>
    <row r="465" spans="1:17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47"/>
      <c r="Q465" s="164"/>
    </row>
    <row r="466" spans="1:17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47"/>
      <c r="Q466" s="164"/>
    </row>
    <row r="467" spans="1:17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47"/>
      <c r="Q467" s="164"/>
    </row>
    <row r="468" spans="1:17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47"/>
      <c r="Q468" s="164"/>
    </row>
    <row r="469" spans="1:17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47"/>
      <c r="Q469" s="164"/>
    </row>
    <row r="470" spans="1:17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47"/>
      <c r="Q470" s="164"/>
    </row>
    <row r="471" spans="1:17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47"/>
      <c r="Q471" s="164"/>
    </row>
    <row r="472" spans="1:17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47"/>
      <c r="Q472" s="164"/>
    </row>
    <row r="473" spans="1:17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47"/>
      <c r="Q473" s="164"/>
    </row>
    <row r="474" spans="1:17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47"/>
      <c r="Q474" s="164"/>
    </row>
    <row r="475" spans="1:17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47"/>
      <c r="Q475" s="164"/>
    </row>
    <row r="476" spans="1:17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47"/>
      <c r="Q476" s="164"/>
    </row>
    <row r="477" spans="1:17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47"/>
      <c r="Q477" s="164"/>
    </row>
    <row r="478" spans="1:17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47"/>
      <c r="Q478" s="164"/>
    </row>
    <row r="479" spans="1:17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47"/>
      <c r="Q479" s="164"/>
    </row>
    <row r="480" spans="1:17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47"/>
      <c r="Q480" s="164"/>
    </row>
    <row r="481" spans="1:17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47"/>
      <c r="Q481" s="164"/>
    </row>
    <row r="482" spans="1:17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47"/>
      <c r="Q482" s="164"/>
    </row>
    <row r="483" spans="1:17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47"/>
      <c r="Q483" s="164"/>
    </row>
    <row r="484" spans="1:17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47"/>
      <c r="Q484" s="164"/>
    </row>
    <row r="485" spans="1:17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47"/>
      <c r="Q485" s="164"/>
    </row>
    <row r="486" spans="1:17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47"/>
      <c r="Q486" s="164"/>
    </row>
    <row r="487" spans="1:17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47"/>
      <c r="Q487" s="164"/>
    </row>
    <row r="488" spans="1:17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47"/>
      <c r="Q488" s="164"/>
    </row>
    <row r="489" spans="1:17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47"/>
      <c r="Q489" s="164"/>
    </row>
    <row r="490" spans="1:17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47"/>
      <c r="Q490" s="164"/>
    </row>
    <row r="491" spans="1:17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47"/>
      <c r="Q491" s="164"/>
    </row>
    <row r="492" spans="1:17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47"/>
      <c r="Q492" s="164"/>
    </row>
    <row r="493" spans="1:17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47"/>
      <c r="Q493" s="164"/>
    </row>
    <row r="494" spans="1:17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47"/>
      <c r="Q494" s="164"/>
    </row>
    <row r="495" spans="1:17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47"/>
      <c r="Q495" s="164"/>
    </row>
    <row r="496" spans="1:17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47"/>
      <c r="Q496" s="164"/>
    </row>
    <row r="497" spans="1:17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47"/>
      <c r="Q497" s="164"/>
    </row>
    <row r="498" spans="1:17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47"/>
      <c r="Q498" s="164"/>
    </row>
    <row r="499" spans="1:17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47"/>
      <c r="Q499" s="164"/>
    </row>
    <row r="500" spans="1:17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47"/>
      <c r="Q500" s="164"/>
    </row>
    <row r="501" spans="1:17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47"/>
      <c r="Q501" s="164"/>
    </row>
    <row r="502" spans="1:17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47"/>
      <c r="Q502" s="164"/>
    </row>
    <row r="503" spans="1:17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47"/>
      <c r="Q503" s="164"/>
    </row>
    <row r="504" spans="1:17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47"/>
      <c r="Q504" s="164"/>
    </row>
    <row r="505" spans="1:17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47"/>
      <c r="Q505" s="164"/>
    </row>
    <row r="506" spans="1:17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47"/>
      <c r="Q506" s="164"/>
    </row>
    <row r="507" spans="1:17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47"/>
      <c r="Q507" s="164"/>
    </row>
    <row r="508" spans="1:17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47"/>
      <c r="Q508" s="164"/>
    </row>
    <row r="509" spans="1:17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47"/>
      <c r="Q509" s="164"/>
    </row>
    <row r="510" spans="1:17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47"/>
      <c r="Q510" s="164"/>
    </row>
    <row r="511" spans="1:17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47"/>
      <c r="Q511" s="164"/>
    </row>
    <row r="512" spans="1:17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47"/>
      <c r="Q512" s="164"/>
    </row>
    <row r="513" spans="1:17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47"/>
      <c r="Q513" s="164"/>
    </row>
    <row r="514" spans="1:17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47"/>
      <c r="Q514" s="164"/>
    </row>
    <row r="515" spans="1:17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47"/>
      <c r="Q515" s="164"/>
    </row>
    <row r="516" spans="1:17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47"/>
      <c r="Q516" s="164"/>
    </row>
    <row r="517" spans="1:17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47"/>
      <c r="Q517" s="164"/>
    </row>
    <row r="518" spans="1:17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47"/>
      <c r="Q518" s="164"/>
    </row>
    <row r="519" spans="1:17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47"/>
      <c r="Q519" s="164"/>
    </row>
    <row r="520" spans="1:17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47"/>
      <c r="Q520" s="164"/>
    </row>
    <row r="521" spans="1:17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47"/>
      <c r="Q521" s="164"/>
    </row>
    <row r="522" spans="1:17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47"/>
      <c r="Q522" s="164"/>
    </row>
    <row r="523" spans="1:17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47"/>
      <c r="Q523" s="164"/>
    </row>
    <row r="524" spans="1:17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47"/>
      <c r="Q524" s="164"/>
    </row>
    <row r="525" spans="1:17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47"/>
      <c r="Q525" s="164"/>
    </row>
    <row r="526" spans="1:17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47"/>
      <c r="Q526" s="164"/>
    </row>
    <row r="527" spans="1:17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47"/>
      <c r="Q527" s="164"/>
    </row>
    <row r="528" spans="1:17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47"/>
      <c r="Q528" s="164"/>
    </row>
    <row r="529" spans="1:17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47"/>
      <c r="Q529" s="164"/>
    </row>
    <row r="530" spans="1:17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47"/>
      <c r="Q530" s="164"/>
    </row>
    <row r="531" spans="1:17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47"/>
      <c r="Q531" s="164"/>
    </row>
    <row r="532" spans="1:17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47"/>
      <c r="Q532" s="164"/>
    </row>
    <row r="533" spans="1:17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47"/>
      <c r="Q533" s="164"/>
    </row>
    <row r="534" spans="1:17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47"/>
      <c r="Q534" s="164"/>
    </row>
    <row r="535" spans="1:17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47"/>
      <c r="Q535" s="164"/>
    </row>
    <row r="536" spans="1:17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47"/>
      <c r="Q536" s="164"/>
    </row>
    <row r="537" spans="1:17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47"/>
      <c r="Q537" s="164"/>
    </row>
    <row r="538" spans="1:17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47"/>
      <c r="Q538" s="164"/>
    </row>
    <row r="539" spans="1:17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47"/>
      <c r="Q539" s="164"/>
    </row>
    <row r="540" spans="1:17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47"/>
      <c r="Q540" s="164"/>
    </row>
    <row r="541" spans="1:17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47"/>
      <c r="Q541" s="164"/>
    </row>
    <row r="542" spans="1:17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47"/>
      <c r="Q542" s="164"/>
    </row>
    <row r="543" spans="1:17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47"/>
      <c r="Q543" s="164"/>
    </row>
    <row r="544" spans="1:17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47"/>
      <c r="Q544" s="164"/>
    </row>
    <row r="545" spans="1:17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47"/>
      <c r="Q545" s="164"/>
    </row>
    <row r="546" spans="1:17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47"/>
      <c r="Q546" s="164"/>
    </row>
    <row r="547" spans="1:17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47"/>
      <c r="Q547" s="164"/>
    </row>
    <row r="548" spans="1:17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47"/>
      <c r="Q548" s="164"/>
    </row>
    <row r="549" spans="1:17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47"/>
      <c r="Q549" s="164"/>
    </row>
    <row r="550" spans="1:17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47"/>
      <c r="Q550" s="164"/>
    </row>
    <row r="551" spans="1:17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47"/>
      <c r="Q551" s="164"/>
    </row>
    <row r="552" spans="1:17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47"/>
      <c r="Q552" s="164"/>
    </row>
    <row r="553" spans="1:17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47"/>
      <c r="Q553" s="164"/>
    </row>
    <row r="554" spans="1:17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47"/>
      <c r="Q554" s="164"/>
    </row>
    <row r="555" spans="1:17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47"/>
      <c r="Q555" s="164"/>
    </row>
    <row r="556" spans="1:17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47"/>
      <c r="Q556" s="164"/>
    </row>
    <row r="557" spans="1:17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47"/>
      <c r="Q557" s="164"/>
    </row>
    <row r="558" spans="1:17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47"/>
      <c r="Q558" s="164"/>
    </row>
    <row r="559" spans="1:17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47"/>
      <c r="Q559" s="164"/>
    </row>
    <row r="560" spans="1:17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47"/>
      <c r="Q560" s="164"/>
    </row>
    <row r="561" spans="1:17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47"/>
      <c r="Q561" s="164"/>
    </row>
    <row r="562" spans="1:17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47"/>
      <c r="Q562" s="164"/>
    </row>
    <row r="563" spans="1:17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47"/>
      <c r="Q563" s="164"/>
    </row>
    <row r="564" spans="1:17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47"/>
      <c r="Q564" s="164"/>
    </row>
    <row r="565" spans="1:17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47"/>
      <c r="Q565" s="164"/>
    </row>
    <row r="566" spans="1:17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47"/>
      <c r="Q566" s="164"/>
    </row>
    <row r="567" spans="1:17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47"/>
      <c r="Q567" s="164"/>
    </row>
    <row r="568" spans="1:17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47"/>
      <c r="Q568" s="164"/>
    </row>
    <row r="569" spans="1:17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47"/>
      <c r="Q569" s="164"/>
    </row>
    <row r="570" spans="1:17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47"/>
      <c r="Q570" s="164"/>
    </row>
    <row r="571" spans="1:17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47"/>
      <c r="Q571" s="164"/>
    </row>
    <row r="572" spans="1:17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47"/>
      <c r="Q572" s="164"/>
    </row>
    <row r="573" spans="1:17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47"/>
      <c r="Q573" s="164"/>
    </row>
    <row r="574" spans="1:17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47"/>
      <c r="Q574" s="164"/>
    </row>
    <row r="575" spans="1:17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47"/>
      <c r="Q575" s="164"/>
    </row>
    <row r="576" spans="1:17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47"/>
      <c r="Q576" s="164"/>
    </row>
    <row r="577" spans="1:17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47"/>
      <c r="Q577" s="164"/>
    </row>
    <row r="578" spans="1:17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47"/>
      <c r="Q578" s="164"/>
    </row>
    <row r="579" spans="1:17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47"/>
      <c r="Q579" s="164"/>
    </row>
    <row r="580" spans="1:17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47"/>
      <c r="Q580" s="164"/>
    </row>
    <row r="581" spans="1:17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47"/>
      <c r="Q581" s="164"/>
    </row>
    <row r="582" spans="1:17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47"/>
      <c r="Q582" s="164"/>
    </row>
    <row r="583" spans="1:17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47"/>
      <c r="Q583" s="164"/>
    </row>
    <row r="584" spans="1:17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47"/>
      <c r="Q584" s="164"/>
    </row>
    <row r="585" spans="1:17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47"/>
      <c r="Q585" s="164"/>
    </row>
    <row r="586" spans="1:17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47"/>
      <c r="Q586" s="164"/>
    </row>
    <row r="587" spans="1:17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47"/>
      <c r="Q587" s="164"/>
    </row>
    <row r="588" spans="1:17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47"/>
      <c r="Q588" s="164"/>
    </row>
    <row r="589" spans="1:17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47"/>
      <c r="Q589" s="164"/>
    </row>
    <row r="590" spans="1:17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47"/>
      <c r="Q590" s="164"/>
    </row>
    <row r="591" spans="1:17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47"/>
      <c r="Q591" s="164"/>
    </row>
    <row r="592" spans="1:17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47"/>
      <c r="Q592" s="164"/>
    </row>
    <row r="593" spans="1:17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47"/>
      <c r="Q593" s="164"/>
    </row>
    <row r="594" spans="1:17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47"/>
      <c r="Q594" s="164"/>
    </row>
    <row r="595" spans="1:17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47"/>
      <c r="Q595" s="164"/>
    </row>
    <row r="596" spans="1:17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47"/>
      <c r="Q596" s="164"/>
    </row>
    <row r="597" spans="1:17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47"/>
      <c r="Q597" s="164"/>
    </row>
    <row r="598" spans="1:17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47"/>
      <c r="Q598" s="164"/>
    </row>
    <row r="599" spans="1:17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47"/>
      <c r="Q599" s="164"/>
    </row>
    <row r="600" spans="1:17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47"/>
      <c r="Q600" s="164"/>
    </row>
    <row r="601" spans="1:17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47"/>
      <c r="Q601" s="164"/>
    </row>
    <row r="602" spans="1:17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47"/>
      <c r="Q602" s="164"/>
    </row>
    <row r="603" spans="1:17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47"/>
      <c r="Q603" s="164"/>
    </row>
    <row r="604" spans="1:17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47"/>
      <c r="Q604" s="164"/>
    </row>
    <row r="605" spans="1:17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47"/>
      <c r="Q605" s="164"/>
    </row>
    <row r="606" spans="1:17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47"/>
      <c r="Q606" s="164"/>
    </row>
    <row r="607" spans="1:17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47"/>
      <c r="Q607" s="164"/>
    </row>
    <row r="608" spans="1:17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47"/>
      <c r="Q608" s="164"/>
    </row>
    <row r="609" spans="1:17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47"/>
      <c r="Q609" s="164"/>
    </row>
    <row r="610" spans="1:17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47"/>
      <c r="Q610" s="164"/>
    </row>
    <row r="611" spans="1:17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47"/>
      <c r="Q611" s="164"/>
    </row>
    <row r="612" spans="1:17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47"/>
      <c r="Q612" s="164"/>
    </row>
    <row r="613" spans="1:17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47"/>
      <c r="Q613" s="164"/>
    </row>
    <row r="614" spans="1:17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47"/>
      <c r="Q614" s="164"/>
    </row>
    <row r="615" spans="1:17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47"/>
      <c r="Q615" s="164"/>
    </row>
    <row r="616" spans="1:17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47"/>
      <c r="Q616" s="164"/>
    </row>
    <row r="617" spans="1:17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47"/>
      <c r="Q617" s="164"/>
    </row>
    <row r="618" spans="1:17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47"/>
      <c r="Q618" s="164"/>
    </row>
    <row r="619" spans="1:17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47"/>
      <c r="Q619" s="164"/>
    </row>
    <row r="620" spans="1:17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47"/>
      <c r="Q620" s="164"/>
    </row>
    <row r="621" spans="1:17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47"/>
      <c r="Q621" s="164"/>
    </row>
    <row r="622" spans="1:17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47"/>
      <c r="Q622" s="164"/>
    </row>
    <row r="623" spans="1:17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47"/>
      <c r="Q623" s="164"/>
    </row>
    <row r="624" spans="1:17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47"/>
      <c r="Q624" s="164"/>
    </row>
    <row r="625" spans="1:17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47"/>
      <c r="Q625" s="164"/>
    </row>
    <row r="626" spans="1:17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47"/>
      <c r="Q626" s="164"/>
    </row>
    <row r="627" spans="1:17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47"/>
      <c r="Q627" s="164"/>
    </row>
    <row r="628" spans="1:17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47"/>
      <c r="Q628" s="164"/>
    </row>
    <row r="629" spans="1:17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47"/>
      <c r="Q629" s="164"/>
    </row>
    <row r="630" spans="1:17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47"/>
      <c r="Q630" s="164"/>
    </row>
    <row r="631" spans="1:17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47"/>
      <c r="Q631" s="164"/>
    </row>
    <row r="632" spans="1:17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47"/>
      <c r="Q632" s="164"/>
    </row>
    <row r="633" spans="1:17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47"/>
      <c r="Q633" s="164"/>
    </row>
    <row r="634" spans="1:17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47"/>
      <c r="Q634" s="164"/>
    </row>
    <row r="635" spans="1:17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47"/>
      <c r="Q635" s="164"/>
    </row>
    <row r="636" spans="1:17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47"/>
      <c r="Q636" s="164"/>
    </row>
    <row r="637" spans="1:17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47"/>
      <c r="Q637" s="164"/>
    </row>
    <row r="638" spans="1:17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47"/>
      <c r="Q638" s="164"/>
    </row>
    <row r="639" spans="1:17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47"/>
      <c r="Q639" s="164"/>
    </row>
    <row r="640" spans="1:17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47"/>
      <c r="Q640" s="164"/>
    </row>
    <row r="641" spans="1:17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47"/>
      <c r="Q641" s="164"/>
    </row>
    <row r="642" spans="1:17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47"/>
      <c r="Q642" s="164"/>
    </row>
    <row r="643" spans="1:17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47"/>
      <c r="Q643" s="164"/>
    </row>
    <row r="644" spans="1:17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47"/>
      <c r="Q644" s="164"/>
    </row>
    <row r="645" spans="1:17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47"/>
      <c r="Q645" s="164"/>
    </row>
    <row r="646" spans="1:17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47"/>
      <c r="Q646" s="164"/>
    </row>
    <row r="647" spans="1:17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47"/>
      <c r="Q647" s="164"/>
    </row>
    <row r="648" spans="1:17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47"/>
      <c r="Q648" s="164"/>
    </row>
    <row r="649" spans="1:17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47"/>
      <c r="Q649" s="164"/>
    </row>
    <row r="650" spans="1:17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47"/>
      <c r="Q650" s="164"/>
    </row>
    <row r="651" spans="1:17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47"/>
      <c r="Q651" s="164"/>
    </row>
    <row r="652" spans="1:17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47"/>
      <c r="Q652" s="164"/>
    </row>
    <row r="653" spans="1:17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47"/>
      <c r="Q653" s="164"/>
    </row>
    <row r="654" spans="1:17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47"/>
      <c r="Q654" s="164"/>
    </row>
    <row r="655" spans="1:17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47"/>
      <c r="Q655" s="164"/>
    </row>
    <row r="656" spans="1:17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47"/>
      <c r="Q656" s="164"/>
    </row>
    <row r="657" spans="1:17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47"/>
      <c r="Q657" s="164"/>
    </row>
    <row r="658" spans="1:17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47"/>
      <c r="Q658" s="164"/>
    </row>
    <row r="659" spans="1:17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47"/>
      <c r="Q659" s="164"/>
    </row>
    <row r="660" spans="1:17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47"/>
      <c r="Q660" s="164"/>
    </row>
    <row r="661" spans="1:17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47"/>
      <c r="Q661" s="164"/>
    </row>
    <row r="662" spans="1:17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47"/>
      <c r="Q662" s="164"/>
    </row>
    <row r="663" spans="1:17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47"/>
      <c r="Q663" s="164"/>
    </row>
    <row r="664" spans="1:17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47"/>
      <c r="Q664" s="164"/>
    </row>
    <row r="665" spans="1:17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47"/>
      <c r="Q665" s="164"/>
    </row>
    <row r="666" spans="1:17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47"/>
      <c r="Q666" s="164"/>
    </row>
    <row r="667" spans="1:17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47"/>
      <c r="Q667" s="164"/>
    </row>
    <row r="668" spans="1:17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47"/>
      <c r="Q668" s="164"/>
    </row>
    <row r="669" spans="1:17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47"/>
      <c r="Q669" s="164"/>
    </row>
    <row r="670" spans="1:17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47"/>
      <c r="Q670" s="164"/>
    </row>
    <row r="671" spans="1:17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47"/>
      <c r="Q671" s="164"/>
    </row>
    <row r="672" spans="1:17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47"/>
      <c r="Q672" s="164"/>
    </row>
    <row r="673" spans="1:17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47"/>
      <c r="Q673" s="164"/>
    </row>
    <row r="674" spans="1:17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47"/>
      <c r="Q674" s="164"/>
    </row>
    <row r="675" spans="1:17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47"/>
      <c r="Q675" s="164"/>
    </row>
    <row r="676" spans="1:17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47"/>
      <c r="Q676" s="164"/>
    </row>
    <row r="677" spans="1:17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47"/>
      <c r="Q677" s="164"/>
    </row>
    <row r="678" spans="1:17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47"/>
      <c r="Q678" s="164"/>
    </row>
    <row r="679" spans="1:17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47"/>
      <c r="Q679" s="164"/>
    </row>
    <row r="680" spans="1:17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47"/>
      <c r="Q680" s="164"/>
    </row>
    <row r="681" spans="1:17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47"/>
      <c r="Q681" s="164"/>
    </row>
    <row r="682" spans="1:17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47"/>
      <c r="Q682" s="164"/>
    </row>
    <row r="683" spans="1:17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47"/>
      <c r="Q683" s="164"/>
    </row>
    <row r="684" spans="1:17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47"/>
      <c r="Q684" s="164"/>
    </row>
    <row r="685" spans="1:17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47"/>
      <c r="Q685" s="164"/>
    </row>
    <row r="686" spans="1:17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47"/>
      <c r="Q686" s="164"/>
    </row>
    <row r="687" spans="1:17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47"/>
      <c r="Q687" s="164"/>
    </row>
    <row r="688" spans="1:17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47"/>
      <c r="Q688" s="164"/>
    </row>
    <row r="689" spans="1:17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47"/>
      <c r="Q689" s="164"/>
    </row>
    <row r="690" spans="1:17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47"/>
      <c r="Q690" s="164"/>
    </row>
    <row r="691" spans="1:17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47"/>
      <c r="Q691" s="164"/>
    </row>
    <row r="692" spans="1:17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47"/>
      <c r="Q692" s="164"/>
    </row>
    <row r="693" spans="1:17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47"/>
      <c r="Q693" s="164"/>
    </row>
    <row r="694" spans="1:17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47"/>
      <c r="Q694" s="164"/>
    </row>
    <row r="695" spans="1:17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47"/>
      <c r="Q695" s="164"/>
    </row>
    <row r="696" spans="1:17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47"/>
      <c r="Q696" s="164"/>
    </row>
    <row r="697" spans="1:17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47"/>
      <c r="Q697" s="164"/>
    </row>
    <row r="698" spans="1:17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47"/>
      <c r="Q698" s="164"/>
    </row>
    <row r="699" spans="1:17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47"/>
      <c r="Q699" s="164"/>
    </row>
    <row r="700" spans="1:17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47"/>
      <c r="Q700" s="164"/>
    </row>
    <row r="701" spans="1:17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47"/>
      <c r="Q701" s="164"/>
    </row>
    <row r="702" spans="1:17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47"/>
      <c r="Q702" s="164"/>
    </row>
    <row r="703" spans="1:17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47"/>
      <c r="Q703" s="164"/>
    </row>
    <row r="704" spans="1:17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47"/>
      <c r="Q704" s="164"/>
    </row>
    <row r="705" spans="1:17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47"/>
      <c r="Q705" s="164"/>
    </row>
    <row r="706" spans="1:17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47"/>
      <c r="Q706" s="164"/>
    </row>
    <row r="707" spans="1:17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47"/>
      <c r="Q707" s="164"/>
    </row>
    <row r="708" spans="1:17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47"/>
      <c r="Q708" s="164"/>
    </row>
    <row r="709" spans="1:17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47"/>
      <c r="Q709" s="164"/>
    </row>
    <row r="710" spans="1:17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47"/>
      <c r="Q710" s="164"/>
    </row>
    <row r="711" spans="1:17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47"/>
      <c r="Q711" s="164"/>
    </row>
    <row r="712" spans="1:17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47"/>
      <c r="Q712" s="164"/>
    </row>
    <row r="713" spans="1:17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47"/>
      <c r="Q713" s="164"/>
    </row>
    <row r="714" spans="1:17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47"/>
      <c r="Q714" s="164"/>
    </row>
    <row r="715" spans="1:17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47"/>
      <c r="Q715" s="164"/>
    </row>
    <row r="716" spans="1:17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47"/>
      <c r="Q716" s="164"/>
    </row>
    <row r="717" spans="1:17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47"/>
      <c r="Q717" s="164"/>
    </row>
    <row r="718" spans="1:17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47"/>
      <c r="Q718" s="164"/>
    </row>
    <row r="719" spans="1:17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47"/>
      <c r="Q719" s="164"/>
    </row>
    <row r="720" spans="1:17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47"/>
      <c r="Q720" s="164"/>
    </row>
    <row r="721" spans="1:17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47"/>
      <c r="Q721" s="164"/>
    </row>
    <row r="722" spans="1:17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47"/>
      <c r="Q722" s="164"/>
    </row>
    <row r="723" spans="1:17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47"/>
      <c r="Q723" s="164"/>
    </row>
    <row r="724" spans="1:17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47"/>
      <c r="Q724" s="164"/>
    </row>
    <row r="725" spans="1:17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47"/>
      <c r="Q725" s="164"/>
    </row>
    <row r="726" spans="1:17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47"/>
      <c r="Q726" s="164"/>
    </row>
    <row r="727" spans="1:17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47"/>
      <c r="Q727" s="164"/>
    </row>
    <row r="728" spans="1:17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47"/>
      <c r="Q728" s="164"/>
    </row>
    <row r="729" spans="1:17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47"/>
      <c r="Q729" s="164"/>
    </row>
    <row r="730" spans="1:17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47"/>
      <c r="Q730" s="164"/>
    </row>
    <row r="731" spans="1:17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47"/>
      <c r="Q731" s="164"/>
    </row>
    <row r="732" spans="1:17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47"/>
      <c r="Q732" s="164"/>
    </row>
    <row r="733" spans="1:17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47"/>
      <c r="Q733" s="164"/>
    </row>
    <row r="734" spans="1:17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47"/>
      <c r="Q734" s="164"/>
    </row>
    <row r="735" spans="1:17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47"/>
      <c r="Q735" s="164"/>
    </row>
    <row r="736" spans="1:17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47"/>
      <c r="Q736" s="164"/>
    </row>
    <row r="737" spans="1:17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47"/>
      <c r="Q737" s="164"/>
    </row>
    <row r="738" spans="1:17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47"/>
      <c r="Q738" s="164"/>
    </row>
    <row r="739" spans="1:17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47"/>
      <c r="Q739" s="164"/>
    </row>
    <row r="740" spans="1:17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47"/>
      <c r="Q740" s="164"/>
    </row>
    <row r="741" spans="1:17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47"/>
      <c r="Q741" s="164"/>
    </row>
    <row r="742" spans="1:17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47"/>
      <c r="Q742" s="164"/>
    </row>
    <row r="743" spans="1:17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47"/>
      <c r="Q743" s="164"/>
    </row>
    <row r="744" spans="1:17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47"/>
      <c r="Q744" s="164"/>
    </row>
    <row r="745" spans="1:17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47"/>
      <c r="Q745" s="164"/>
    </row>
    <row r="746" spans="1:17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47"/>
      <c r="Q746" s="164"/>
    </row>
    <row r="747" spans="1:17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47"/>
      <c r="Q747" s="164"/>
    </row>
    <row r="748" spans="1:17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47"/>
      <c r="Q748" s="164"/>
    </row>
    <row r="749" spans="1:17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47"/>
      <c r="Q749" s="164"/>
    </row>
    <row r="750" spans="1:17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47"/>
      <c r="Q750" s="164"/>
    </row>
    <row r="751" spans="1:17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47"/>
      <c r="Q751" s="164"/>
    </row>
    <row r="752" spans="1:17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47"/>
      <c r="Q752" s="164"/>
    </row>
    <row r="753" spans="1:17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47"/>
      <c r="Q753" s="164"/>
    </row>
    <row r="754" spans="1:17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47"/>
      <c r="Q754" s="164"/>
    </row>
    <row r="755" spans="1:17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47"/>
      <c r="Q755" s="164"/>
    </row>
    <row r="756" spans="1:17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47"/>
      <c r="Q756" s="164"/>
    </row>
    <row r="757" spans="1:17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47"/>
      <c r="Q757" s="164"/>
    </row>
    <row r="758" spans="1:17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47"/>
      <c r="Q758" s="164"/>
    </row>
    <row r="759" spans="1:17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47"/>
      <c r="Q759" s="164"/>
    </row>
    <row r="760" spans="1:17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47"/>
      <c r="Q760" s="164"/>
    </row>
    <row r="761" spans="1:17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47"/>
      <c r="Q761" s="164"/>
    </row>
    <row r="762" spans="1:17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47"/>
      <c r="Q762" s="164"/>
    </row>
    <row r="763" spans="1:17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47"/>
      <c r="Q763" s="164"/>
    </row>
    <row r="764" spans="1:17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47"/>
      <c r="Q764" s="164"/>
    </row>
    <row r="765" spans="1:17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47"/>
      <c r="Q765" s="164"/>
    </row>
    <row r="766" spans="1:17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47"/>
      <c r="Q766" s="164"/>
    </row>
    <row r="767" spans="1:17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47"/>
      <c r="Q767" s="164"/>
    </row>
    <row r="768" spans="1:17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47"/>
      <c r="Q768" s="164"/>
    </row>
    <row r="769" spans="1:17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47"/>
      <c r="Q769" s="164"/>
    </row>
    <row r="770" spans="1:17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47"/>
      <c r="Q770" s="164"/>
    </row>
    <row r="771" spans="1:17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47"/>
      <c r="Q771" s="164"/>
    </row>
    <row r="772" spans="1:17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47"/>
      <c r="Q772" s="164"/>
    </row>
    <row r="773" spans="1:17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47"/>
      <c r="Q773" s="164"/>
    </row>
    <row r="774" spans="1:17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47"/>
      <c r="Q774" s="164"/>
    </row>
    <row r="775" spans="1:17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47"/>
      <c r="Q775" s="164"/>
    </row>
    <row r="776" spans="1:17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47"/>
      <c r="Q776" s="164"/>
    </row>
    <row r="777" spans="1:17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47"/>
      <c r="Q777" s="164"/>
    </row>
    <row r="778" spans="1:17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47"/>
      <c r="Q778" s="164"/>
    </row>
    <row r="779" spans="1:17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47"/>
      <c r="Q779" s="164"/>
    </row>
    <row r="780" spans="1:17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47"/>
      <c r="Q780" s="164"/>
    </row>
    <row r="781" spans="1:17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47"/>
      <c r="Q781" s="164"/>
    </row>
    <row r="782" spans="1:17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47"/>
      <c r="Q782" s="164"/>
    </row>
    <row r="783" spans="1:17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47"/>
      <c r="Q783" s="164"/>
    </row>
    <row r="784" spans="1:17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47"/>
      <c r="Q784" s="164"/>
    </row>
    <row r="785" spans="1:17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47"/>
      <c r="Q785" s="164"/>
    </row>
    <row r="786" spans="1:17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47"/>
      <c r="Q786" s="164"/>
    </row>
    <row r="787" spans="1:17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47"/>
      <c r="Q787" s="164"/>
    </row>
    <row r="788" spans="1:17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47"/>
      <c r="Q788" s="164"/>
    </row>
    <row r="789" spans="1:17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47"/>
      <c r="Q789" s="164"/>
    </row>
    <row r="790" spans="1:17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47"/>
      <c r="Q790" s="164"/>
    </row>
    <row r="791" spans="1:17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47"/>
      <c r="Q791" s="164"/>
    </row>
    <row r="792" spans="1:17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47"/>
      <c r="Q792" s="164"/>
    </row>
    <row r="793" spans="1:17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47"/>
      <c r="Q793" s="164"/>
    </row>
    <row r="794" spans="1:17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47"/>
      <c r="Q794" s="164"/>
    </row>
    <row r="795" spans="1:17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47"/>
      <c r="Q795" s="164"/>
    </row>
    <row r="796" spans="1:17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47"/>
      <c r="Q796" s="164"/>
    </row>
    <row r="797" spans="1:17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47"/>
      <c r="Q797" s="164"/>
    </row>
    <row r="798" spans="1:17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47"/>
      <c r="Q798" s="164"/>
    </row>
    <row r="799" spans="1:17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47"/>
      <c r="Q799" s="164"/>
    </row>
    <row r="800" spans="1:17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47"/>
      <c r="Q800" s="164"/>
    </row>
    <row r="801" spans="1:17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47"/>
      <c r="Q801" s="164"/>
    </row>
    <row r="802" spans="1:17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47"/>
      <c r="Q802" s="164"/>
    </row>
    <row r="803" spans="1:17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47"/>
      <c r="Q803" s="164"/>
    </row>
    <row r="804" spans="1:17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47"/>
      <c r="Q804" s="164"/>
    </row>
    <row r="805" spans="1:17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47"/>
      <c r="Q805" s="164"/>
    </row>
    <row r="806" spans="1:17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47"/>
      <c r="Q806" s="164"/>
    </row>
    <row r="807" spans="1:17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47"/>
      <c r="Q807" s="164"/>
    </row>
    <row r="808" spans="1:17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47"/>
      <c r="Q808" s="164"/>
    </row>
    <row r="809" spans="1:17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47"/>
      <c r="Q809" s="164"/>
    </row>
    <row r="810" spans="1:17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47"/>
      <c r="Q810" s="164"/>
    </row>
    <row r="811" spans="1:17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47"/>
      <c r="Q811" s="164"/>
    </row>
    <row r="812" spans="1:17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47"/>
      <c r="Q812" s="164"/>
    </row>
    <row r="813" spans="1:17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47"/>
      <c r="Q813" s="164"/>
    </row>
    <row r="814" spans="1:17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47"/>
      <c r="Q814" s="164"/>
    </row>
    <row r="815" spans="1:17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47"/>
      <c r="Q815" s="164"/>
    </row>
    <row r="816" spans="1:17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47"/>
      <c r="Q816" s="164"/>
    </row>
    <row r="817" spans="1:17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47"/>
      <c r="Q817" s="164"/>
    </row>
    <row r="818" spans="1:17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47"/>
      <c r="Q818" s="164"/>
    </row>
    <row r="819" spans="1:17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47"/>
      <c r="Q819" s="164"/>
    </row>
    <row r="820" spans="1:17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47"/>
      <c r="Q820" s="164"/>
    </row>
    <row r="821" spans="1:17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47"/>
      <c r="Q821" s="164"/>
    </row>
    <row r="822" spans="1:17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47"/>
      <c r="Q822" s="164"/>
    </row>
    <row r="823" spans="1:17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47"/>
      <c r="Q823" s="164"/>
    </row>
    <row r="824" spans="1:17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47"/>
      <c r="Q824" s="164"/>
    </row>
    <row r="825" spans="1:17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47"/>
      <c r="Q825" s="164"/>
    </row>
    <row r="826" spans="1:17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47"/>
      <c r="Q826" s="164"/>
    </row>
    <row r="827" spans="1:17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47"/>
      <c r="Q827" s="164"/>
    </row>
    <row r="828" spans="1:17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47"/>
      <c r="Q828" s="164"/>
    </row>
    <row r="829" spans="1:17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47"/>
      <c r="Q829" s="164"/>
    </row>
    <row r="830" spans="1:17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47"/>
      <c r="Q830" s="164"/>
    </row>
    <row r="831" spans="1:17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47"/>
      <c r="Q831" s="164"/>
    </row>
    <row r="832" spans="1:17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47"/>
      <c r="Q832" s="164"/>
    </row>
    <row r="833" spans="1:17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47"/>
      <c r="Q833" s="164"/>
    </row>
    <row r="834" spans="1:17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47"/>
      <c r="Q834" s="164"/>
    </row>
    <row r="835" spans="1:17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47"/>
      <c r="Q835" s="164"/>
    </row>
    <row r="836" spans="1:17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47"/>
      <c r="Q836" s="164"/>
    </row>
    <row r="837" spans="1:17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47"/>
      <c r="Q837" s="164"/>
    </row>
    <row r="838" spans="1:17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47"/>
      <c r="Q838" s="164"/>
    </row>
    <row r="839" spans="1:17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47"/>
      <c r="Q839" s="164"/>
    </row>
    <row r="840" spans="1:17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47"/>
      <c r="Q840" s="164"/>
    </row>
    <row r="841" spans="1:17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47"/>
      <c r="Q841" s="164"/>
    </row>
    <row r="842" spans="1:17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47"/>
      <c r="Q842" s="164"/>
    </row>
    <row r="843" spans="1:17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47"/>
      <c r="Q843" s="164"/>
    </row>
    <row r="844" spans="1:17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47"/>
      <c r="Q844" s="164"/>
    </row>
    <row r="845" spans="1:17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47"/>
      <c r="Q845" s="164"/>
    </row>
    <row r="846" spans="1:17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47"/>
      <c r="Q846" s="164"/>
    </row>
    <row r="847" spans="1:17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47"/>
      <c r="Q847" s="164"/>
    </row>
    <row r="848" spans="1:17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47"/>
      <c r="Q848" s="164"/>
    </row>
    <row r="849" spans="1:17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47"/>
      <c r="Q849" s="164"/>
    </row>
    <row r="850" spans="1:17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47"/>
      <c r="Q850" s="164"/>
    </row>
    <row r="851" spans="1:17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47"/>
      <c r="Q851" s="164"/>
    </row>
    <row r="852" spans="1:17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47"/>
      <c r="Q852" s="164"/>
    </row>
    <row r="853" spans="1:17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47"/>
      <c r="Q853" s="164"/>
    </row>
    <row r="854" spans="1:17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47"/>
      <c r="Q854" s="164"/>
    </row>
    <row r="855" spans="1:17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47"/>
      <c r="Q855" s="164"/>
    </row>
    <row r="856" spans="1:17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47"/>
      <c r="Q856" s="164"/>
    </row>
    <row r="857" spans="1:17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47"/>
      <c r="Q857" s="164"/>
    </row>
    <row r="858" spans="1:17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47"/>
      <c r="Q858" s="164"/>
    </row>
    <row r="859" spans="1:17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47"/>
      <c r="Q859" s="164"/>
    </row>
    <row r="860" spans="1:17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47"/>
      <c r="Q860" s="164"/>
    </row>
    <row r="861" spans="1:17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47"/>
      <c r="Q861" s="164"/>
    </row>
    <row r="862" spans="1:17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47"/>
      <c r="Q862" s="164"/>
    </row>
    <row r="863" spans="1:17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47"/>
      <c r="Q863" s="164"/>
    </row>
    <row r="864" spans="1:17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47"/>
      <c r="Q864" s="164"/>
    </row>
    <row r="865" spans="1:17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47"/>
      <c r="Q865" s="164"/>
    </row>
    <row r="866" spans="1:17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47"/>
      <c r="Q866" s="164"/>
    </row>
    <row r="867" spans="1:17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47"/>
      <c r="Q867" s="164"/>
    </row>
    <row r="868" spans="1:17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47"/>
      <c r="Q868" s="164"/>
    </row>
    <row r="869" spans="1:17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47"/>
      <c r="Q869" s="164"/>
    </row>
    <row r="870" spans="1:17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47"/>
      <c r="Q870" s="164"/>
    </row>
    <row r="871" spans="1:17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47"/>
      <c r="Q871" s="164"/>
    </row>
    <row r="872" spans="1:17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47"/>
      <c r="Q872" s="164"/>
    </row>
    <row r="873" spans="1:17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47"/>
      <c r="Q873" s="164"/>
    </row>
    <row r="874" spans="1:17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47"/>
      <c r="Q874" s="164"/>
    </row>
    <row r="875" spans="1:17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47"/>
      <c r="Q875" s="164"/>
    </row>
    <row r="876" spans="1:17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47"/>
      <c r="Q876" s="164"/>
    </row>
    <row r="877" spans="1:17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47"/>
      <c r="Q877" s="164"/>
    </row>
    <row r="878" spans="1:17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47"/>
      <c r="Q878" s="164"/>
    </row>
    <row r="879" spans="1:17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47"/>
      <c r="Q879" s="164"/>
    </row>
    <row r="880" spans="1:17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47"/>
      <c r="Q880" s="164"/>
    </row>
    <row r="881" spans="1:17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47"/>
      <c r="Q881" s="164"/>
    </row>
    <row r="882" spans="1:17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47"/>
      <c r="Q882" s="164"/>
    </row>
    <row r="883" spans="1:17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47"/>
      <c r="Q883" s="164"/>
    </row>
    <row r="884" spans="1:17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47"/>
      <c r="Q884" s="164"/>
    </row>
    <row r="885" spans="1:17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47"/>
      <c r="Q885" s="164"/>
    </row>
    <row r="886" spans="1:17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47"/>
      <c r="Q886" s="164"/>
    </row>
    <row r="887" spans="1:17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47"/>
      <c r="Q887" s="164"/>
    </row>
    <row r="888" spans="1:17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47"/>
      <c r="Q888" s="164"/>
    </row>
    <row r="889" spans="1:17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47"/>
      <c r="Q889" s="164"/>
    </row>
    <row r="890" spans="1:17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47"/>
      <c r="Q890" s="164"/>
    </row>
    <row r="891" spans="1:17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47"/>
      <c r="Q891" s="164"/>
    </row>
    <row r="892" spans="1:17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47"/>
      <c r="Q892" s="164"/>
    </row>
    <row r="893" spans="1:17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47"/>
      <c r="Q893" s="164"/>
    </row>
    <row r="894" spans="1:17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47"/>
      <c r="Q894" s="164"/>
    </row>
    <row r="895" spans="1:17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47"/>
      <c r="Q895" s="164"/>
    </row>
    <row r="896" spans="1:17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47"/>
      <c r="Q896" s="164"/>
    </row>
    <row r="897" spans="1:17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47"/>
      <c r="Q897" s="164"/>
    </row>
    <row r="898" spans="1:17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47"/>
      <c r="Q898" s="164"/>
    </row>
    <row r="899" spans="1:17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47"/>
      <c r="Q899" s="164"/>
    </row>
    <row r="900" spans="1:17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47"/>
      <c r="Q900" s="164"/>
    </row>
    <row r="901" spans="1:17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47"/>
      <c r="Q901" s="164"/>
    </row>
    <row r="902" spans="1:17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47"/>
      <c r="Q902" s="164"/>
    </row>
    <row r="903" spans="1:17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47"/>
      <c r="Q903" s="164"/>
    </row>
    <row r="904" spans="1:17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47"/>
      <c r="Q904" s="164"/>
    </row>
    <row r="905" spans="1:17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47"/>
      <c r="Q905" s="164"/>
    </row>
    <row r="906" spans="1:17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47"/>
      <c r="Q906" s="164"/>
    </row>
    <row r="907" spans="1:17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47"/>
      <c r="Q907" s="164"/>
    </row>
    <row r="908" spans="1:17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47"/>
      <c r="Q908" s="164"/>
    </row>
    <row r="909" spans="1:17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47"/>
      <c r="Q909" s="164"/>
    </row>
    <row r="910" spans="1:17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47"/>
      <c r="Q910" s="164"/>
    </row>
    <row r="911" spans="1:17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47"/>
      <c r="Q911" s="164"/>
    </row>
    <row r="912" spans="1:17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47"/>
      <c r="Q912" s="164"/>
    </row>
    <row r="913" spans="1:17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47"/>
      <c r="Q913" s="164"/>
    </row>
    <row r="914" spans="1:17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47"/>
      <c r="Q914" s="164"/>
    </row>
    <row r="915" spans="1:17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47"/>
      <c r="Q915" s="164"/>
    </row>
    <row r="916" spans="1:17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47"/>
      <c r="Q916" s="164"/>
    </row>
    <row r="917" spans="1:17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47"/>
      <c r="Q917" s="164"/>
    </row>
    <row r="918" spans="1:17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47"/>
      <c r="Q918" s="164"/>
    </row>
    <row r="919" spans="1:17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47"/>
      <c r="Q919" s="164"/>
    </row>
    <row r="920" spans="1:17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47"/>
      <c r="Q920" s="164"/>
    </row>
    <row r="921" spans="1:17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47"/>
      <c r="Q921" s="164"/>
    </row>
    <row r="922" spans="1:17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47"/>
      <c r="Q922" s="164"/>
    </row>
    <row r="923" spans="1:17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47"/>
      <c r="Q923" s="164"/>
    </row>
    <row r="924" spans="1:17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47"/>
      <c r="Q924" s="164"/>
    </row>
    <row r="925" spans="1:17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47"/>
      <c r="Q925" s="164"/>
    </row>
    <row r="926" spans="1:17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47"/>
      <c r="Q926" s="164"/>
    </row>
    <row r="927" spans="1:17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47"/>
      <c r="Q927" s="164"/>
    </row>
    <row r="928" spans="1:17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47"/>
      <c r="Q928" s="164"/>
    </row>
    <row r="929" spans="1:17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47"/>
      <c r="Q929" s="164"/>
    </row>
    <row r="930" spans="1:17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47"/>
      <c r="Q930" s="164"/>
    </row>
    <row r="931" spans="1:17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47"/>
      <c r="Q931" s="164"/>
    </row>
    <row r="932" spans="1:17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47"/>
      <c r="Q932" s="164"/>
    </row>
    <row r="933" spans="1:17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47"/>
      <c r="Q933" s="164"/>
    </row>
    <row r="934" spans="1:17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47"/>
      <c r="Q934" s="164"/>
    </row>
    <row r="935" spans="1:17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47"/>
      <c r="Q935" s="164"/>
    </row>
    <row r="936" spans="1:17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47"/>
      <c r="Q936" s="164"/>
    </row>
    <row r="937" spans="1:17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47"/>
      <c r="Q937" s="164"/>
    </row>
    <row r="938" spans="1:17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47"/>
      <c r="Q938" s="164"/>
    </row>
    <row r="939" spans="1:17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47"/>
      <c r="Q939" s="164"/>
    </row>
    <row r="940" spans="1:17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47"/>
      <c r="Q940" s="164"/>
    </row>
    <row r="941" spans="1:17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47"/>
      <c r="Q941" s="164"/>
    </row>
    <row r="942" spans="1:17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47"/>
      <c r="Q942" s="164"/>
    </row>
    <row r="943" spans="1:17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47"/>
      <c r="Q943" s="164"/>
    </row>
    <row r="944" spans="1:17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47"/>
      <c r="Q944" s="164"/>
    </row>
    <row r="945" spans="1:17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47"/>
      <c r="Q945" s="164"/>
    </row>
    <row r="946" spans="1:17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47"/>
      <c r="Q946" s="164"/>
    </row>
    <row r="947" spans="1:17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47"/>
      <c r="Q947" s="164"/>
    </row>
    <row r="948" spans="1:17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47"/>
      <c r="Q948" s="164"/>
    </row>
    <row r="949" spans="1:17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47"/>
      <c r="Q949" s="164"/>
    </row>
    <row r="950" spans="1:17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47"/>
      <c r="Q950" s="164"/>
    </row>
    <row r="951" spans="1:17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47"/>
      <c r="Q951" s="164"/>
    </row>
    <row r="952" spans="1:17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47"/>
      <c r="Q952" s="164"/>
    </row>
    <row r="953" spans="1:17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47"/>
      <c r="Q953" s="164"/>
    </row>
    <row r="954" spans="1:17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47"/>
      <c r="Q954" s="164"/>
    </row>
    <row r="955" spans="1:17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47"/>
      <c r="Q955" s="164"/>
    </row>
    <row r="956" spans="1:17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47"/>
      <c r="Q956" s="164"/>
    </row>
    <row r="957" spans="1:17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47"/>
      <c r="Q957" s="164"/>
    </row>
    <row r="958" spans="1:17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47"/>
      <c r="Q958" s="164"/>
    </row>
    <row r="959" spans="1:17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47"/>
      <c r="Q959" s="164"/>
    </row>
    <row r="960" spans="1:17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47"/>
      <c r="Q960" s="164"/>
    </row>
    <row r="961" spans="1:17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47"/>
      <c r="Q961" s="164"/>
    </row>
    <row r="962" spans="1:17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47"/>
      <c r="Q962" s="164"/>
    </row>
    <row r="963" spans="1:17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47"/>
      <c r="Q963" s="164"/>
    </row>
    <row r="964" spans="1:17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47"/>
      <c r="Q964" s="164"/>
    </row>
    <row r="965" spans="1:17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47"/>
      <c r="Q965" s="164"/>
    </row>
    <row r="966" spans="1:17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47"/>
      <c r="Q966" s="164"/>
    </row>
    <row r="967" spans="1:17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47"/>
      <c r="Q967" s="164"/>
    </row>
    <row r="968" spans="1:17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47"/>
      <c r="Q968" s="164"/>
    </row>
    <row r="969" spans="1:17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47"/>
      <c r="Q969" s="164"/>
    </row>
    <row r="970" spans="1:17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47"/>
      <c r="Q970" s="164"/>
    </row>
    <row r="971" spans="1:17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47"/>
      <c r="Q971" s="164"/>
    </row>
    <row r="972" spans="1:17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47"/>
      <c r="Q972" s="164"/>
    </row>
    <row r="973" spans="1:17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47"/>
      <c r="Q973" s="164"/>
    </row>
    <row r="974" spans="1:17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47"/>
      <c r="Q974" s="164"/>
    </row>
    <row r="975" spans="1:17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47"/>
      <c r="Q975" s="164"/>
    </row>
    <row r="976" spans="1:17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47"/>
      <c r="Q976" s="164"/>
    </row>
    <row r="977" spans="1:17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47"/>
      <c r="Q977" s="164"/>
    </row>
    <row r="978" spans="1:17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47"/>
      <c r="Q978" s="164"/>
    </row>
    <row r="979" spans="1:17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47"/>
      <c r="Q979" s="164"/>
    </row>
    <row r="980" spans="1:17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47"/>
      <c r="Q980" s="164"/>
    </row>
    <row r="981" spans="1:17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47"/>
      <c r="Q981" s="164"/>
    </row>
    <row r="982" spans="1:17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47"/>
      <c r="Q982" s="164"/>
    </row>
    <row r="983" spans="1:17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47"/>
      <c r="Q983" s="164"/>
    </row>
    <row r="984" spans="1:17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47"/>
      <c r="Q984" s="164"/>
    </row>
    <row r="985" spans="1:17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47"/>
      <c r="Q985" s="164"/>
    </row>
    <row r="986" spans="1:17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47"/>
      <c r="Q986" s="164"/>
    </row>
    <row r="987" spans="1:17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47"/>
      <c r="Q987" s="164"/>
    </row>
    <row r="988" spans="1:17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47"/>
      <c r="Q988" s="164"/>
    </row>
    <row r="989" spans="1:17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47"/>
      <c r="Q989" s="164"/>
    </row>
    <row r="990" spans="1:17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47"/>
      <c r="Q990" s="164"/>
    </row>
    <row r="991" spans="1:17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47"/>
      <c r="Q991" s="164"/>
    </row>
    <row r="992" spans="1:17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47"/>
      <c r="Q992" s="164"/>
    </row>
    <row r="993" spans="1:17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47"/>
      <c r="Q993" s="164"/>
    </row>
    <row r="994" spans="1:17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47"/>
      <c r="Q994" s="164"/>
    </row>
    <row r="995" spans="1:17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47"/>
      <c r="Q995" s="164"/>
    </row>
    <row r="996" spans="1:17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47"/>
      <c r="Q996" s="164"/>
    </row>
    <row r="997" spans="1:17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47"/>
      <c r="Q997" s="164"/>
    </row>
    <row r="998" spans="1:17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47"/>
      <c r="Q998" s="164"/>
    </row>
    <row r="999" spans="1:17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47"/>
      <c r="Q999" s="164"/>
    </row>
    <row r="1000" spans="1:17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47"/>
      <c r="Q1000" s="164"/>
    </row>
    <row r="1001" spans="1:17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47"/>
      <c r="Q1001" s="164"/>
    </row>
    <row r="1002" spans="1:17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47"/>
      <c r="Q1002" s="164"/>
    </row>
    <row r="1003" spans="1:17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47"/>
      <c r="Q1003" s="164"/>
    </row>
    <row r="1004" spans="1:17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47"/>
      <c r="Q1004" s="164"/>
    </row>
    <row r="1005" spans="1:17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47"/>
      <c r="Q1005" s="164"/>
    </row>
    <row r="1006" spans="1:17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47"/>
      <c r="Q1006" s="164"/>
    </row>
    <row r="1007" spans="1:17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47"/>
      <c r="Q1007" s="164"/>
    </row>
    <row r="1008" spans="1:17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47"/>
      <c r="Q1008" s="164"/>
    </row>
    <row r="1009" spans="1:17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47"/>
      <c r="Q1009" s="164"/>
    </row>
    <row r="1010" spans="1:17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47"/>
      <c r="Q1010" s="164"/>
    </row>
    <row r="1011" spans="1:17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47"/>
      <c r="Q1011" s="164"/>
    </row>
    <row r="1012" spans="1:17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47"/>
      <c r="Q1012" s="164"/>
    </row>
    <row r="1013" spans="1:17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47"/>
      <c r="Q1013" s="164"/>
    </row>
    <row r="1014" spans="1:17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47"/>
      <c r="Q1014" s="164"/>
    </row>
    <row r="1015" spans="1:17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47"/>
      <c r="Q1015" s="164"/>
    </row>
    <row r="1016" spans="1:17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47"/>
      <c r="Q1016" s="164"/>
    </row>
    <row r="1017" spans="1:17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47"/>
      <c r="Q1017" s="164"/>
    </row>
    <row r="1018" spans="1:17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47"/>
      <c r="Q1018" s="164"/>
    </row>
    <row r="1019" spans="1:17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47"/>
      <c r="Q1019" s="164"/>
    </row>
    <row r="1020" spans="1:17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47"/>
      <c r="Q1020" s="164"/>
    </row>
    <row r="1021" spans="1:17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47"/>
      <c r="Q1021" s="164"/>
    </row>
    <row r="1022" spans="1:17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47"/>
      <c r="Q1022" s="164"/>
    </row>
    <row r="1023" spans="1:17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47"/>
      <c r="Q1023" s="164"/>
    </row>
    <row r="1024" spans="1:17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47"/>
      <c r="Q1024" s="164"/>
    </row>
    <row r="1025" spans="1:17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47"/>
      <c r="Q1025" s="164"/>
    </row>
    <row r="1026" spans="1:17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47"/>
      <c r="Q1026" s="164"/>
    </row>
    <row r="1027" spans="1:17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47"/>
      <c r="Q1027" s="164"/>
    </row>
    <row r="1028" spans="1:17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47"/>
      <c r="Q1028" s="164"/>
    </row>
    <row r="1029" spans="1:17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47"/>
      <c r="Q1029" s="164"/>
    </row>
    <row r="1030" spans="1:17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47"/>
      <c r="Q1030" s="164"/>
    </row>
    <row r="1031" spans="1:17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47"/>
      <c r="Q1031" s="164"/>
    </row>
    <row r="1032" spans="1:17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47"/>
      <c r="Q1032" s="164"/>
    </row>
    <row r="1033" spans="1:17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47"/>
      <c r="Q1033" s="164"/>
    </row>
    <row r="1034" spans="1:17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47"/>
      <c r="Q1034" s="164"/>
    </row>
    <row r="1035" spans="1:17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47"/>
      <c r="Q1035" s="164"/>
    </row>
    <row r="1036" spans="1:17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47"/>
      <c r="Q1036" s="164"/>
    </row>
    <row r="1037" spans="1:17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47"/>
      <c r="Q1037" s="164"/>
    </row>
    <row r="1038" spans="1:17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47"/>
      <c r="Q1038" s="164"/>
    </row>
    <row r="1039" spans="1:17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47"/>
      <c r="Q1039" s="164"/>
    </row>
    <row r="1040" spans="1:17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47"/>
      <c r="Q1040" s="164"/>
    </row>
    <row r="1041" spans="1:17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47"/>
      <c r="Q1041" s="164"/>
    </row>
    <row r="1042" spans="1:17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47"/>
      <c r="Q1042" s="164"/>
    </row>
    <row r="1043" spans="1:17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47"/>
      <c r="Q1043" s="164"/>
    </row>
    <row r="1044" spans="1:17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47"/>
      <c r="Q1044" s="164"/>
    </row>
    <row r="1045" spans="1:17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47"/>
      <c r="Q1045" s="164"/>
    </row>
    <row r="1046" spans="1:17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47"/>
      <c r="Q1046" s="164"/>
    </row>
    <row r="1047" spans="1:17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47"/>
      <c r="Q1047" s="164"/>
    </row>
    <row r="1048" spans="1:17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47"/>
      <c r="Q1048" s="164"/>
    </row>
    <row r="1049" spans="1:17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47"/>
      <c r="Q1049" s="164"/>
    </row>
    <row r="1050" spans="1:17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47"/>
      <c r="Q1050" s="164"/>
    </row>
    <row r="1051" spans="1:17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47"/>
      <c r="Q1051" s="164"/>
    </row>
    <row r="1052" spans="1:17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47"/>
      <c r="Q1052" s="164"/>
    </row>
    <row r="1053" spans="1:17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47"/>
      <c r="Q1053" s="164"/>
    </row>
    <row r="1054" spans="1:17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47"/>
      <c r="Q1054" s="164"/>
    </row>
    <row r="1055" spans="1:17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47"/>
      <c r="Q1055" s="164"/>
    </row>
    <row r="1056" spans="1:17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47"/>
      <c r="Q1056" s="164"/>
    </row>
    <row r="1057" spans="1:17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47"/>
      <c r="Q1057" s="164"/>
    </row>
    <row r="1058" spans="1:17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47"/>
      <c r="Q1058" s="164"/>
    </row>
    <row r="1059" spans="1:17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47"/>
      <c r="Q1059" s="164"/>
    </row>
    <row r="1060" spans="1:17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47"/>
      <c r="Q1060" s="164"/>
    </row>
    <row r="1061" spans="1:17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47"/>
      <c r="Q1061" s="164"/>
    </row>
    <row r="1062" spans="1:17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47"/>
      <c r="Q1062" s="164"/>
    </row>
    <row r="1063" spans="1:17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47"/>
      <c r="Q1063" s="164"/>
    </row>
    <row r="1064" spans="1:17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47"/>
      <c r="Q1064" s="164"/>
    </row>
    <row r="1065" spans="1:17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47"/>
      <c r="Q1065" s="164"/>
    </row>
    <row r="1066" spans="1:17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47"/>
      <c r="Q1066" s="164"/>
    </row>
    <row r="1067" spans="1:17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47"/>
      <c r="Q1067" s="164"/>
    </row>
    <row r="1068" spans="1:17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47"/>
      <c r="Q1068" s="164"/>
    </row>
    <row r="1069" spans="1:17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47"/>
      <c r="Q1069" s="164"/>
    </row>
    <row r="1070" spans="1:17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47"/>
      <c r="Q1070" s="164"/>
    </row>
    <row r="1071" spans="1:17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47"/>
      <c r="Q1071" s="164"/>
    </row>
    <row r="1072" spans="1:17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47"/>
      <c r="Q1072" s="164"/>
    </row>
    <row r="1073" spans="1:17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47"/>
      <c r="Q1073" s="164"/>
    </row>
    <row r="1074" spans="1:17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47"/>
      <c r="Q1074" s="164"/>
    </row>
    <row r="1075" spans="1:17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47"/>
      <c r="Q1075" s="164"/>
    </row>
    <row r="1076" spans="1:17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47"/>
      <c r="Q1076" s="164"/>
    </row>
    <row r="1077" spans="1:17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47"/>
      <c r="Q1077" s="164"/>
    </row>
    <row r="1078" spans="1:17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47"/>
      <c r="Q1078" s="164"/>
    </row>
    <row r="1079" spans="1:17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47"/>
      <c r="Q1079" s="164"/>
    </row>
    <row r="1080" spans="1:17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47"/>
      <c r="Q1080" s="164"/>
    </row>
    <row r="1081" spans="1:17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47"/>
      <c r="Q1081" s="164"/>
    </row>
    <row r="1082" spans="1:17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47"/>
      <c r="Q1082" s="164"/>
    </row>
    <row r="1083" spans="1:17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47"/>
      <c r="Q1083" s="164"/>
    </row>
    <row r="1084" spans="1:17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47"/>
      <c r="Q1084" s="164"/>
    </row>
    <row r="1085" spans="1:17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47"/>
      <c r="Q1085" s="164"/>
    </row>
    <row r="1086" spans="1:17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47"/>
      <c r="Q1086" s="164"/>
    </row>
    <row r="1087" spans="1:17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47"/>
      <c r="Q1087" s="164"/>
    </row>
    <row r="1088" spans="1:17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47"/>
      <c r="Q1088" s="164"/>
    </row>
    <row r="1089" spans="1:17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47"/>
      <c r="Q1089" s="164"/>
    </row>
    <row r="1090" spans="1:17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47"/>
      <c r="Q1090" s="164"/>
    </row>
    <row r="1091" spans="1:17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47"/>
      <c r="Q1091" s="164"/>
    </row>
    <row r="1092" spans="1:17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47"/>
      <c r="Q1092" s="164"/>
    </row>
    <row r="1093" spans="1:17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47"/>
      <c r="Q1093" s="164"/>
    </row>
    <row r="1094" spans="1:17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47"/>
      <c r="Q1094" s="164"/>
    </row>
    <row r="1095" spans="1:17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47"/>
      <c r="Q1095" s="164"/>
    </row>
    <row r="1096" spans="1:17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47"/>
      <c r="Q1096" s="164"/>
    </row>
    <row r="1097" spans="1:17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47"/>
      <c r="Q1097" s="164"/>
    </row>
    <row r="1098" spans="1:17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47"/>
      <c r="Q1098" s="164"/>
    </row>
    <row r="1099" spans="1:17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47"/>
      <c r="Q1099" s="164"/>
    </row>
    <row r="1100" spans="1:17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47"/>
      <c r="Q1100" s="164"/>
    </row>
    <row r="1101" spans="1:17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47"/>
      <c r="Q1101" s="164"/>
    </row>
    <row r="1102" spans="1:17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47"/>
      <c r="Q1102" s="164"/>
    </row>
    <row r="1103" spans="1:17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47"/>
      <c r="Q1103" s="164"/>
    </row>
    <row r="1104" spans="1:17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47"/>
      <c r="Q1104" s="164"/>
    </row>
    <row r="1105" spans="1:17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47"/>
      <c r="Q1105" s="164"/>
    </row>
    <row r="1106" spans="1:17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47"/>
      <c r="Q1106" s="164"/>
    </row>
    <row r="1107" spans="1:17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47"/>
      <c r="Q1107" s="164"/>
    </row>
    <row r="1108" spans="1:17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47"/>
      <c r="Q1108" s="164"/>
    </row>
    <row r="1109" spans="1:17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47"/>
      <c r="Q1109" s="164"/>
    </row>
    <row r="1110" spans="1:17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47"/>
      <c r="Q1110" s="164"/>
    </row>
    <row r="1111" spans="1:17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47"/>
      <c r="Q1111" s="164"/>
    </row>
    <row r="1112" spans="1:17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47"/>
      <c r="Q1112" s="164"/>
    </row>
    <row r="1113" spans="1:17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47"/>
      <c r="Q1113" s="164"/>
    </row>
    <row r="1114" spans="1:17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47"/>
      <c r="Q1114" s="164"/>
    </row>
    <row r="1115" spans="1:17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47"/>
      <c r="Q1115" s="164"/>
    </row>
    <row r="1116" spans="1:17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47"/>
      <c r="Q1116" s="164"/>
    </row>
    <row r="1117" spans="1:17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47"/>
      <c r="Q1117" s="164"/>
    </row>
    <row r="1118" spans="1:17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47"/>
      <c r="Q1118" s="164"/>
    </row>
    <row r="1119" spans="1:17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47"/>
      <c r="Q1119" s="164"/>
    </row>
    <row r="1120" spans="1:17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47"/>
      <c r="Q1120" s="164"/>
    </row>
    <row r="1121" spans="1:17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47"/>
      <c r="Q1121" s="164"/>
    </row>
    <row r="1122" spans="1:17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47"/>
      <c r="Q1122" s="164"/>
    </row>
    <row r="1123" spans="1:17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47"/>
      <c r="Q1123" s="164"/>
    </row>
    <row r="1124" spans="1:17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47"/>
      <c r="Q1124" s="164"/>
    </row>
    <row r="1125" spans="1:17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47"/>
      <c r="Q1125" s="164"/>
    </row>
    <row r="1126" spans="1:17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47"/>
      <c r="Q1126" s="164"/>
    </row>
    <row r="1127" spans="1:17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47"/>
      <c r="Q1127" s="164"/>
    </row>
    <row r="1128" spans="1:17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47"/>
      <c r="Q1128" s="164"/>
    </row>
    <row r="1129" spans="1:17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47"/>
      <c r="Q1129" s="164"/>
    </row>
    <row r="1130" spans="1:17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47"/>
      <c r="Q1130" s="164"/>
    </row>
    <row r="1131" spans="1:17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47"/>
      <c r="Q1131" s="164"/>
    </row>
    <row r="1132" spans="1:17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47"/>
      <c r="Q1132" s="164"/>
    </row>
    <row r="1133" spans="1:17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47"/>
      <c r="Q1133" s="164"/>
    </row>
    <row r="1134" spans="1:17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47"/>
      <c r="Q1134" s="164"/>
    </row>
    <row r="1135" spans="1:17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47"/>
      <c r="Q1135" s="164"/>
    </row>
    <row r="1136" spans="1:17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47"/>
      <c r="Q1136" s="164"/>
    </row>
    <row r="1137" spans="1:17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47"/>
      <c r="Q1137" s="164"/>
    </row>
    <row r="1138" spans="1:17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47"/>
      <c r="Q1138" s="164"/>
    </row>
    <row r="1139" spans="1:17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47"/>
      <c r="Q1139" s="164"/>
    </row>
    <row r="1140" spans="1:17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47"/>
      <c r="Q1140" s="164"/>
    </row>
    <row r="1141" spans="1:17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47"/>
      <c r="Q1141" s="164"/>
    </row>
    <row r="1142" spans="1:17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47"/>
      <c r="Q1142" s="164"/>
    </row>
    <row r="1143" spans="1:17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47"/>
      <c r="Q1143" s="164"/>
    </row>
    <row r="1144" spans="1:17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47"/>
      <c r="Q1144" s="164"/>
    </row>
    <row r="1145" spans="1:17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47"/>
      <c r="Q1145" s="164"/>
    </row>
    <row r="1146" spans="1:17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47"/>
      <c r="Q1146" s="164"/>
    </row>
    <row r="1147" spans="1:17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47"/>
      <c r="Q1147" s="164"/>
    </row>
    <row r="1148" spans="1:17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47"/>
      <c r="Q1148" s="164"/>
    </row>
    <row r="1149" spans="1:17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47"/>
      <c r="Q1149" s="164"/>
    </row>
    <row r="1150" spans="1:17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47"/>
      <c r="Q1150" s="164"/>
    </row>
    <row r="1151" spans="1:17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47"/>
      <c r="Q1151" s="164"/>
    </row>
    <row r="1152" spans="1:17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47"/>
      <c r="Q1152" s="164"/>
    </row>
    <row r="1153" spans="1:17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47"/>
      <c r="Q1153" s="164"/>
    </row>
    <row r="1154" spans="1:17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47"/>
      <c r="Q1154" s="164"/>
    </row>
    <row r="1155" spans="1:17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47"/>
      <c r="Q1155" s="164"/>
    </row>
    <row r="1156" spans="1:17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47"/>
      <c r="Q1156" s="164"/>
    </row>
    <row r="1157" spans="1:17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47"/>
      <c r="Q1157" s="164"/>
    </row>
    <row r="1158" spans="1:17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47"/>
      <c r="Q1158" s="164"/>
    </row>
    <row r="1159" spans="1:17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47"/>
      <c r="Q1159" s="164"/>
    </row>
    <row r="1160" spans="1:17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47"/>
      <c r="Q1160" s="164"/>
    </row>
    <row r="1161" spans="1:17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47"/>
      <c r="Q1161" s="164"/>
    </row>
    <row r="1162" spans="1:17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47"/>
      <c r="Q1162" s="164"/>
    </row>
    <row r="1163" spans="1:17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47"/>
      <c r="Q1163" s="164"/>
    </row>
    <row r="1164" spans="1:17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47"/>
      <c r="Q1164" s="164"/>
    </row>
    <row r="1165" spans="1:17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47"/>
      <c r="Q1165" s="164"/>
    </row>
    <row r="1166" spans="1:17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47"/>
      <c r="Q1166" s="164"/>
    </row>
    <row r="1167" spans="1:17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47"/>
      <c r="Q1167" s="164"/>
    </row>
    <row r="1168" spans="1:17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47"/>
      <c r="Q1168" s="164"/>
    </row>
    <row r="1169" spans="1:17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47"/>
      <c r="Q1169" s="164"/>
    </row>
    <row r="1170" spans="1:17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47"/>
      <c r="Q1170" s="164"/>
    </row>
    <row r="1171" spans="1:17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47"/>
      <c r="Q1171" s="164"/>
    </row>
    <row r="1172" spans="1:17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47"/>
      <c r="Q1172" s="164"/>
    </row>
    <row r="1173" spans="1:17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47"/>
      <c r="Q1173" s="164"/>
    </row>
    <row r="1174" spans="1:17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47"/>
      <c r="Q1174" s="164"/>
    </row>
    <row r="1175" spans="1:17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47"/>
      <c r="Q1175" s="164"/>
    </row>
    <row r="1176" spans="1:17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47"/>
      <c r="Q1176" s="164"/>
    </row>
    <row r="1177" spans="1:17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47"/>
      <c r="Q1177" s="164"/>
    </row>
    <row r="1178" spans="1:17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47"/>
      <c r="Q1178" s="164"/>
    </row>
    <row r="1179" spans="1:17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47"/>
      <c r="Q1179" s="164"/>
    </row>
    <row r="1180" spans="1:17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47"/>
      <c r="Q1180" s="164"/>
    </row>
    <row r="1181" spans="1:17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47"/>
      <c r="Q1181" s="164"/>
    </row>
    <row r="1182" spans="1:17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47"/>
      <c r="Q1182" s="164"/>
    </row>
    <row r="1183" spans="1:17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47"/>
      <c r="Q1183" s="164"/>
    </row>
    <row r="1184" spans="1:17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47"/>
      <c r="Q1184" s="164"/>
    </row>
    <row r="1185" spans="1:17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47"/>
      <c r="Q1185" s="164"/>
    </row>
    <row r="1186" spans="1:17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47"/>
      <c r="Q1186" s="164"/>
    </row>
    <row r="1187" spans="1:17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47"/>
      <c r="Q1187" s="164"/>
    </row>
    <row r="1188" spans="1:17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47"/>
      <c r="Q1188" s="164"/>
    </row>
    <row r="1189" spans="1:17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47"/>
      <c r="Q1189" s="164"/>
    </row>
    <row r="1190" spans="1:17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47"/>
      <c r="Q1190" s="164"/>
    </row>
    <row r="1191" spans="1:17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47"/>
      <c r="Q1191" s="164"/>
    </row>
    <row r="1192" spans="1:17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47"/>
      <c r="Q1192" s="164"/>
    </row>
    <row r="1193" spans="1:17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47"/>
      <c r="Q1193" s="164"/>
    </row>
    <row r="1194" spans="1:17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47"/>
      <c r="Q1194" s="164"/>
    </row>
    <row r="1195" spans="1:17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47"/>
      <c r="Q1195" s="164"/>
    </row>
    <row r="1196" spans="1:17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47"/>
      <c r="Q1196" s="164"/>
    </row>
    <row r="1197" spans="1:17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47"/>
      <c r="Q1197" s="164"/>
    </row>
    <row r="1198" spans="1:17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47"/>
      <c r="Q1198" s="164"/>
    </row>
    <row r="1199" spans="1:17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47"/>
      <c r="Q1199" s="164"/>
    </row>
    <row r="1200" spans="1:17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47"/>
      <c r="Q1200" s="164"/>
    </row>
    <row r="1201" spans="1:17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47"/>
      <c r="Q1201" s="164"/>
    </row>
    <row r="1202" spans="1:17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47"/>
      <c r="Q1202" s="164"/>
    </row>
    <row r="1203" spans="1:17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47"/>
      <c r="Q1203" s="164"/>
    </row>
    <row r="1204" spans="1:17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47"/>
      <c r="Q1204" s="164"/>
    </row>
    <row r="1205" spans="1:17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47"/>
      <c r="Q1205" s="164"/>
    </row>
    <row r="1206" spans="1:17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47"/>
      <c r="Q1206" s="164"/>
    </row>
    <row r="1207" spans="1:17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47"/>
      <c r="Q1207" s="164"/>
    </row>
    <row r="1208" spans="1:17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47"/>
      <c r="Q1208" s="164"/>
    </row>
    <row r="1209" spans="1:17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47"/>
      <c r="Q1209" s="164"/>
    </row>
    <row r="1210" spans="1:17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47"/>
      <c r="Q1210" s="164"/>
    </row>
    <row r="1211" spans="1:17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47"/>
      <c r="Q1211" s="164"/>
    </row>
    <row r="1212" spans="1:17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47"/>
      <c r="Q1212" s="164"/>
    </row>
    <row r="1213" spans="1:17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47"/>
      <c r="Q1213" s="164"/>
    </row>
    <row r="1214" spans="1:17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47"/>
      <c r="Q1214" s="164"/>
    </row>
    <row r="1215" spans="1:17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47"/>
      <c r="Q1215" s="164"/>
    </row>
    <row r="1216" spans="1:17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47"/>
      <c r="Q1216" s="164"/>
    </row>
    <row r="1217" spans="1:17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47"/>
      <c r="Q1217" s="164"/>
    </row>
    <row r="1218" spans="1:17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47"/>
      <c r="Q1218" s="164"/>
    </row>
    <row r="1219" spans="1:17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47"/>
      <c r="Q1219" s="164"/>
    </row>
    <row r="1220" spans="1:17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47"/>
      <c r="Q1220" s="164"/>
    </row>
    <row r="1221" spans="1:17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47"/>
      <c r="Q1221" s="164"/>
    </row>
    <row r="1222" spans="1:17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47"/>
      <c r="Q1222" s="164"/>
    </row>
    <row r="1223" spans="1:17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47"/>
      <c r="Q1223" s="164"/>
    </row>
    <row r="1224" spans="1:17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47"/>
      <c r="Q1224" s="164"/>
    </row>
    <row r="1225" spans="1:17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47"/>
      <c r="Q1225" s="164"/>
    </row>
    <row r="1226" spans="1:17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47"/>
      <c r="Q1226" s="164"/>
    </row>
    <row r="1227" spans="1:17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47"/>
      <c r="Q1227" s="164"/>
    </row>
    <row r="1228" spans="1:17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47"/>
      <c r="Q1228" s="164"/>
    </row>
    <row r="1229" spans="1:17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47"/>
      <c r="Q1229" s="164"/>
    </row>
    <row r="1230" spans="1:17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47"/>
      <c r="Q1230" s="164"/>
    </row>
    <row r="1231" spans="1:17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47"/>
      <c r="Q1231" s="164"/>
    </row>
    <row r="1232" spans="1:17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47"/>
      <c r="Q1232" s="164"/>
    </row>
    <row r="1233" spans="1:17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47"/>
      <c r="Q1233" s="164"/>
    </row>
    <row r="1234" spans="1:17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47"/>
      <c r="Q1234" s="164"/>
    </row>
    <row r="1235" spans="1:17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47"/>
      <c r="Q1235" s="164"/>
    </row>
    <row r="1236" spans="1:17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47"/>
      <c r="Q1236" s="164"/>
    </row>
    <row r="1237" spans="1:17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47"/>
      <c r="Q1237" s="164"/>
    </row>
    <row r="1238" spans="1:17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47"/>
      <c r="Q1238" s="164"/>
    </row>
    <row r="1239" spans="1:17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47"/>
      <c r="Q1239" s="164"/>
    </row>
    <row r="1240" spans="1:17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47"/>
      <c r="Q1240" s="164"/>
    </row>
    <row r="1241" spans="1:17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47"/>
      <c r="Q1241" s="164"/>
    </row>
    <row r="1242" spans="1:17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47"/>
      <c r="Q1242" s="164"/>
    </row>
    <row r="1243" spans="1:17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47"/>
      <c r="Q1243" s="164"/>
    </row>
    <row r="1244" spans="1:17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47"/>
      <c r="Q1244" s="164"/>
    </row>
    <row r="1245" spans="1:17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47"/>
      <c r="Q1245" s="164"/>
    </row>
    <row r="1246" spans="1:17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47"/>
      <c r="Q1246" s="164"/>
    </row>
    <row r="1247" spans="1:17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47"/>
      <c r="Q1247" s="164"/>
    </row>
    <row r="1248" spans="1:17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47"/>
      <c r="Q1248" s="164"/>
    </row>
    <row r="1249" spans="1:17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47"/>
      <c r="Q1249" s="164"/>
    </row>
    <row r="1250" spans="1:17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47"/>
      <c r="Q1250" s="164"/>
    </row>
    <row r="1251" spans="1:17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47"/>
      <c r="Q1251" s="164"/>
    </row>
    <row r="1252" spans="1:17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47"/>
      <c r="Q1252" s="164"/>
    </row>
    <row r="1253" spans="1:17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47"/>
      <c r="Q1253" s="164"/>
    </row>
    <row r="1254" spans="1:17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47"/>
      <c r="Q1254" s="164"/>
    </row>
    <row r="1255" spans="1:17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47"/>
      <c r="Q1255" s="164"/>
    </row>
    <row r="1256" spans="1:17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47"/>
      <c r="Q1256" s="164"/>
    </row>
    <row r="1257" spans="1:17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47"/>
      <c r="Q1257" s="164"/>
    </row>
    <row r="1258" spans="1:17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47"/>
      <c r="Q1258" s="164"/>
    </row>
    <row r="1259" spans="1:17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47"/>
      <c r="Q1259" s="164"/>
    </row>
    <row r="1260" spans="1:17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47"/>
      <c r="Q1260" s="164"/>
    </row>
    <row r="1261" spans="1:17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47"/>
      <c r="Q1261" s="164"/>
    </row>
    <row r="1262" spans="1:17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47"/>
      <c r="Q1262" s="164"/>
    </row>
    <row r="1263" spans="1:17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47"/>
      <c r="Q1263" s="164"/>
    </row>
    <row r="1264" spans="1:17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47"/>
      <c r="Q1264" s="164"/>
    </row>
    <row r="1265" spans="1:17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47"/>
      <c r="Q1265" s="164"/>
    </row>
    <row r="1266" spans="1:17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47"/>
      <c r="Q1266" s="164"/>
    </row>
    <row r="1267" spans="1:17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47"/>
      <c r="Q1267" s="164"/>
    </row>
    <row r="1268" spans="1:17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47"/>
      <c r="Q1268" s="164"/>
    </row>
    <row r="1269" spans="1:17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47"/>
      <c r="Q1269" s="164"/>
    </row>
    <row r="1270" spans="1:17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47"/>
      <c r="Q1270" s="164"/>
    </row>
    <row r="1271" spans="1:17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47"/>
      <c r="Q1271" s="164"/>
    </row>
    <row r="1272" spans="1:17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47"/>
      <c r="Q1272" s="164"/>
    </row>
    <row r="1273" spans="1:17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47"/>
      <c r="Q1273" s="164"/>
    </row>
    <row r="1274" spans="1:17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47"/>
      <c r="Q1274" s="164"/>
    </row>
    <row r="1275" spans="1:17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47"/>
      <c r="Q1275" s="164"/>
    </row>
    <row r="1276" spans="1:17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47"/>
      <c r="Q1276" s="164"/>
    </row>
    <row r="1277" spans="1:17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47"/>
      <c r="Q1277" s="164"/>
    </row>
    <row r="1278" spans="1:17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47"/>
      <c r="Q1278" s="164"/>
    </row>
    <row r="1279" spans="1:17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47"/>
      <c r="Q1279" s="164"/>
    </row>
    <row r="1280" spans="1:17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47"/>
      <c r="Q1280" s="164"/>
    </row>
    <row r="1281" spans="1:17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47"/>
      <c r="Q1281" s="164"/>
    </row>
    <row r="1282" spans="1:17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47"/>
      <c r="Q1282" s="164"/>
    </row>
    <row r="1283" spans="1:17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47"/>
      <c r="Q1283" s="164"/>
    </row>
    <row r="1284" spans="1:17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47"/>
      <c r="Q1284" s="164"/>
    </row>
    <row r="1285" spans="1:17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47"/>
      <c r="Q1285" s="164"/>
    </row>
    <row r="1286" spans="1:17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47"/>
      <c r="Q1286" s="164"/>
    </row>
    <row r="1287" spans="1:17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47"/>
      <c r="Q1287" s="164"/>
    </row>
    <row r="1288" spans="1:17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47"/>
      <c r="Q1288" s="164"/>
    </row>
    <row r="1289" spans="1:17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47"/>
      <c r="Q1289" s="164"/>
    </row>
    <row r="1290" spans="1:17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47"/>
      <c r="Q1290" s="164"/>
    </row>
    <row r="1291" spans="1:17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47"/>
      <c r="Q1291" s="164"/>
    </row>
    <row r="1292" spans="1:17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47"/>
      <c r="Q1292" s="164"/>
    </row>
    <row r="1293" spans="1:17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47"/>
      <c r="Q1293" s="164"/>
    </row>
    <row r="1294" spans="1:17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47"/>
      <c r="Q1294" s="164"/>
    </row>
    <row r="1295" spans="1:17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47"/>
      <c r="Q1295" s="164"/>
    </row>
    <row r="1296" spans="1:17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47"/>
      <c r="Q1296" s="164"/>
    </row>
    <row r="1297" spans="1:17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47"/>
      <c r="Q1297" s="164"/>
    </row>
    <row r="1298" spans="1:17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47"/>
      <c r="Q1298" s="164"/>
    </row>
    <row r="1299" spans="1:17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47"/>
      <c r="Q1299" s="164"/>
    </row>
    <row r="1300" spans="1:17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47"/>
      <c r="Q1300" s="164"/>
    </row>
    <row r="1301" spans="1:17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47"/>
      <c r="Q1301" s="164"/>
    </row>
    <row r="1302" spans="1:17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47"/>
      <c r="Q1302" s="164"/>
    </row>
    <row r="1303" spans="1:17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47"/>
      <c r="Q1303" s="164"/>
    </row>
    <row r="1304" spans="1:17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47"/>
      <c r="Q1304" s="164"/>
    </row>
    <row r="1305" spans="1:17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47"/>
      <c r="Q1305" s="164"/>
    </row>
    <row r="1306" spans="1:17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47"/>
      <c r="Q1306" s="164"/>
    </row>
    <row r="1307" spans="1:17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47"/>
      <c r="Q1307" s="164"/>
    </row>
    <row r="1308" spans="1:17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47"/>
      <c r="Q1308" s="164"/>
    </row>
    <row r="1309" spans="1:17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47"/>
      <c r="Q1309" s="164"/>
    </row>
    <row r="1310" spans="1:17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47"/>
      <c r="Q1310" s="164"/>
    </row>
    <row r="1311" spans="1:17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47"/>
      <c r="Q1311" s="164"/>
    </row>
    <row r="1312" spans="1:17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47"/>
      <c r="Q1312" s="164"/>
    </row>
    <row r="1313" spans="1:17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47"/>
      <c r="Q1313" s="164"/>
    </row>
    <row r="1314" spans="1:17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47"/>
      <c r="Q1314" s="164"/>
    </row>
    <row r="1315" spans="1:17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47"/>
      <c r="Q1315" s="164"/>
    </row>
    <row r="1316" spans="1:17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47"/>
      <c r="Q1316" s="164"/>
    </row>
    <row r="1317" spans="1:17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47"/>
      <c r="Q1317" s="164"/>
    </row>
    <row r="1318" spans="1:17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47"/>
      <c r="Q1318" s="164"/>
    </row>
    <row r="1319" spans="1:17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47"/>
      <c r="Q1319" s="164"/>
    </row>
    <row r="1320" spans="1:17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47"/>
      <c r="Q1320" s="164"/>
    </row>
    <row r="1321" spans="1:17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47"/>
      <c r="Q1321" s="164"/>
    </row>
    <row r="1322" spans="1:17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47"/>
      <c r="Q1322" s="164"/>
    </row>
    <row r="1323" spans="1:17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47"/>
      <c r="Q1323" s="164"/>
    </row>
    <row r="1324" spans="1:17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47"/>
      <c r="Q1324" s="164"/>
    </row>
    <row r="1325" spans="1:17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47"/>
      <c r="Q1325" s="164"/>
    </row>
    <row r="1326" spans="1:17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47"/>
      <c r="Q1326" s="164"/>
    </row>
    <row r="1327" spans="1:17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47"/>
      <c r="Q1327" s="164"/>
    </row>
    <row r="1328" spans="1:17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47"/>
      <c r="Q1328" s="164"/>
    </row>
    <row r="1329" spans="1:17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47"/>
      <c r="Q1329" s="164"/>
    </row>
    <row r="1330" spans="1:17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47"/>
      <c r="Q1330" s="164"/>
    </row>
    <row r="1331" spans="1:17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47"/>
      <c r="Q1331" s="164"/>
    </row>
    <row r="1332" spans="1:17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47"/>
      <c r="Q1332" s="164"/>
    </row>
    <row r="1333" spans="1:17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47"/>
      <c r="Q1333" s="164"/>
    </row>
    <row r="1334" spans="1:17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47"/>
      <c r="Q1334" s="164"/>
    </row>
    <row r="1335" spans="1:17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47"/>
      <c r="Q1335" s="164"/>
    </row>
    <row r="1336" spans="1:17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47"/>
      <c r="Q1336" s="164"/>
    </row>
    <row r="1337" spans="1:17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47"/>
      <c r="Q1337" s="164"/>
    </row>
    <row r="1338" spans="1:17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47"/>
      <c r="Q1338" s="164"/>
    </row>
    <row r="1339" spans="1:17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47"/>
      <c r="Q1339" s="164"/>
    </row>
    <row r="1340" spans="1:17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47"/>
      <c r="Q1340" s="164"/>
    </row>
    <row r="1341" spans="1:17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47"/>
      <c r="Q1341" s="164"/>
    </row>
    <row r="1342" spans="1:17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47"/>
      <c r="Q1342" s="164"/>
    </row>
    <row r="1343" spans="1:17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47"/>
      <c r="Q1343" s="164"/>
    </row>
    <row r="1344" spans="1:17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47"/>
      <c r="Q1344" s="164"/>
    </row>
    <row r="1345" spans="1:17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47"/>
      <c r="Q1345" s="164"/>
    </row>
    <row r="1346" spans="1:17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47"/>
      <c r="Q1346" s="164"/>
    </row>
    <row r="1347" spans="1:17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47"/>
      <c r="Q1347" s="164"/>
    </row>
    <row r="1348" spans="1:17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47"/>
      <c r="Q1348" s="164"/>
    </row>
    <row r="1349" spans="1:17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47"/>
      <c r="Q1349" s="164"/>
    </row>
    <row r="1350" spans="1:17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47"/>
      <c r="Q1350" s="164"/>
    </row>
    <row r="1351" spans="1:17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47"/>
      <c r="Q1351" s="164"/>
    </row>
    <row r="1352" spans="1:17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47"/>
      <c r="Q1352" s="164"/>
    </row>
    <row r="1353" spans="1:17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47"/>
      <c r="Q1353" s="164"/>
    </row>
    <row r="1354" spans="1:17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47"/>
      <c r="Q1354" s="164"/>
    </row>
    <row r="1355" spans="1:17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47"/>
      <c r="Q1355" s="164"/>
    </row>
    <row r="1356" spans="1:17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47"/>
      <c r="Q1356" s="164"/>
    </row>
    <row r="1357" spans="1:17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47"/>
      <c r="Q1357" s="164"/>
    </row>
    <row r="1358" spans="1:17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47"/>
      <c r="Q1358" s="164"/>
    </row>
    <row r="1359" spans="1:17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47"/>
      <c r="Q1359" s="164"/>
    </row>
    <row r="1360" spans="1:17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47"/>
      <c r="Q1360" s="164"/>
    </row>
    <row r="1361" spans="1:17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47"/>
      <c r="Q1361" s="164"/>
    </row>
    <row r="1362" spans="1:17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47"/>
      <c r="Q1362" s="164"/>
    </row>
    <row r="1363" spans="1:17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47"/>
      <c r="Q1363" s="164"/>
    </row>
    <row r="1364" spans="1:17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47"/>
      <c r="Q1364" s="164"/>
    </row>
    <row r="1365" spans="1:17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47"/>
      <c r="Q1365" s="164"/>
    </row>
    <row r="1366" spans="1:17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47"/>
      <c r="Q1366" s="164"/>
    </row>
    <row r="1367" spans="1:17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47"/>
      <c r="Q1367" s="164"/>
    </row>
    <row r="1368" spans="1:17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47"/>
      <c r="Q1368" s="164"/>
    </row>
    <row r="1369" spans="1:17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47"/>
      <c r="Q1369" s="164"/>
    </row>
    <row r="1370" spans="1:17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47"/>
      <c r="Q1370" s="164"/>
    </row>
    <row r="1371" spans="1:17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47"/>
      <c r="Q1371" s="164"/>
    </row>
    <row r="1372" spans="1:17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47"/>
      <c r="Q1372" s="164"/>
    </row>
    <row r="1373" spans="1:17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47"/>
      <c r="Q1373" s="164"/>
    </row>
    <row r="1374" spans="1:17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47"/>
      <c r="Q1374" s="164"/>
    </row>
    <row r="1375" spans="1:17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47"/>
      <c r="Q1375" s="164"/>
    </row>
    <row r="1376" spans="1:17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47"/>
      <c r="Q1376" s="164"/>
    </row>
    <row r="1377" spans="1:17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47"/>
      <c r="Q1377" s="164"/>
    </row>
    <row r="1378" spans="1:17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47"/>
      <c r="Q1378" s="164"/>
    </row>
    <row r="1379" spans="1:17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47"/>
      <c r="Q1379" s="164"/>
    </row>
    <row r="1380" spans="1:17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47"/>
      <c r="Q1380" s="164"/>
    </row>
    <row r="1381" spans="1:17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47"/>
      <c r="Q1381" s="164"/>
    </row>
    <row r="1382" spans="1:17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47"/>
      <c r="Q1382" s="164"/>
    </row>
    <row r="1383" spans="1:17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47"/>
      <c r="Q1383" s="164"/>
    </row>
    <row r="1384" spans="1:17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47"/>
      <c r="Q1384" s="164"/>
    </row>
    <row r="1385" spans="1:17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47"/>
      <c r="Q1385" s="164"/>
    </row>
    <row r="1386" spans="1:17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47"/>
      <c r="Q1386" s="164"/>
    </row>
    <row r="1387" spans="1:17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47"/>
      <c r="Q1387" s="164"/>
    </row>
    <row r="1388" spans="1:17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47"/>
      <c r="Q1388" s="164"/>
    </row>
    <row r="1389" spans="1:17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47"/>
      <c r="Q1389" s="164"/>
    </row>
    <row r="1390" spans="1:17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47"/>
      <c r="Q1390" s="164"/>
    </row>
    <row r="1391" spans="1:17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47"/>
      <c r="Q1391" s="164"/>
    </row>
    <row r="1392" spans="1:17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47"/>
      <c r="Q1392" s="164"/>
    </row>
    <row r="1393" spans="1:17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47"/>
      <c r="Q1393" s="164"/>
    </row>
    <row r="1394" spans="1:17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47"/>
      <c r="Q1394" s="164"/>
    </row>
    <row r="1395" spans="1:17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47"/>
      <c r="Q1395" s="164"/>
    </row>
    <row r="1396" spans="1:17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47"/>
      <c r="Q1396" s="164"/>
    </row>
    <row r="1397" spans="1:17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47"/>
      <c r="Q1397" s="164"/>
    </row>
    <row r="1398" spans="1:17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47"/>
      <c r="Q1398" s="164"/>
    </row>
    <row r="1399" spans="1:17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47"/>
      <c r="Q1399" s="164"/>
    </row>
    <row r="1400" spans="1:17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47"/>
      <c r="Q1400" s="164"/>
    </row>
    <row r="1401" spans="1:17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47"/>
      <c r="Q1401" s="164"/>
    </row>
    <row r="1402" spans="1:17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47"/>
      <c r="Q1402" s="164"/>
    </row>
    <row r="1403" spans="1:17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47"/>
      <c r="Q1403" s="164"/>
    </row>
    <row r="1404" spans="1:17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47"/>
      <c r="Q1404" s="164"/>
    </row>
    <row r="1405" spans="1:17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47"/>
      <c r="Q1405" s="164"/>
    </row>
    <row r="1406" spans="1:17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47"/>
      <c r="Q1406" s="164"/>
    </row>
    <row r="1407" spans="1:17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47"/>
      <c r="Q1407" s="164"/>
    </row>
    <row r="1408" spans="1:17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47"/>
      <c r="Q1408" s="164"/>
    </row>
    <row r="1409" spans="1:17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47"/>
      <c r="Q1409" s="164"/>
    </row>
    <row r="1410" spans="1:17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47"/>
      <c r="Q1410" s="164"/>
    </row>
    <row r="1411" spans="1:17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47"/>
      <c r="Q1411" s="164"/>
    </row>
    <row r="1412" spans="1:17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47"/>
      <c r="Q1412" s="164"/>
    </row>
    <row r="1413" spans="1:17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47"/>
      <c r="Q1413" s="164"/>
    </row>
    <row r="1414" spans="1:17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47"/>
      <c r="Q1414" s="164"/>
    </row>
    <row r="1415" spans="1:17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47"/>
      <c r="Q1415" s="164"/>
    </row>
    <row r="1416" spans="1:17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47"/>
      <c r="Q1416" s="164"/>
    </row>
    <row r="1417" spans="1:17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47"/>
      <c r="Q1417" s="164"/>
    </row>
    <row r="1418" spans="1:17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47"/>
      <c r="Q1418" s="164"/>
    </row>
    <row r="1419" spans="1:17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47"/>
      <c r="Q1419" s="164"/>
    </row>
    <row r="1420" spans="1:17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47"/>
      <c r="Q1420" s="164"/>
    </row>
    <row r="1421" spans="1:17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47"/>
      <c r="Q1421" s="164"/>
    </row>
    <row r="1422" spans="1:17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47"/>
      <c r="Q1422" s="164"/>
    </row>
    <row r="1423" spans="1:17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47"/>
      <c r="Q1423" s="164"/>
    </row>
    <row r="1424" spans="1:17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47"/>
      <c r="Q1424" s="164"/>
    </row>
    <row r="1425" spans="1:17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47"/>
      <c r="Q1425" s="164"/>
    </row>
    <row r="1426" spans="1:17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47"/>
      <c r="Q1426" s="164"/>
    </row>
    <row r="1427" spans="1:17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47"/>
      <c r="Q1427" s="164"/>
    </row>
    <row r="1428" spans="1:17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47"/>
      <c r="Q1428" s="164"/>
    </row>
    <row r="1429" spans="1:17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47"/>
      <c r="Q1429" s="164"/>
    </row>
    <row r="1430" spans="1:17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47"/>
      <c r="Q1430" s="164"/>
    </row>
    <row r="1431" spans="1:17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47"/>
      <c r="Q1431" s="164"/>
    </row>
    <row r="1432" spans="1:17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47"/>
      <c r="Q1432" s="164"/>
    </row>
    <row r="1433" spans="1:17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47"/>
      <c r="Q1433" s="164"/>
    </row>
    <row r="1434" spans="1:17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47"/>
      <c r="Q1434" s="164"/>
    </row>
    <row r="1435" spans="1:17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47"/>
      <c r="Q1435" s="164"/>
    </row>
    <row r="1436" spans="1:17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47"/>
      <c r="Q1436" s="164"/>
    </row>
    <row r="1437" spans="1:17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47"/>
      <c r="Q1437" s="164"/>
    </row>
    <row r="1438" spans="1:17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47"/>
      <c r="Q1438" s="164"/>
    </row>
    <row r="1439" spans="1:17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47"/>
      <c r="Q1439" s="164"/>
    </row>
    <row r="1440" spans="1:17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47"/>
      <c r="Q1440" s="164"/>
    </row>
    <row r="1441" spans="1:17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47"/>
      <c r="Q1441" s="164"/>
    </row>
    <row r="1442" spans="1:17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47"/>
      <c r="Q1442" s="164"/>
    </row>
    <row r="1443" spans="1:17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47"/>
      <c r="Q1443" s="164"/>
    </row>
    <row r="1444" spans="1:17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47"/>
      <c r="Q1444" s="164"/>
    </row>
    <row r="1445" spans="1:17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47"/>
      <c r="Q1445" s="164"/>
    </row>
    <row r="1446" spans="1:17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47"/>
      <c r="Q1446" s="164"/>
    </row>
    <row r="1447" spans="1:17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47"/>
      <c r="Q1447" s="164"/>
    </row>
    <row r="1448" spans="1:17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47"/>
      <c r="Q1448" s="164"/>
    </row>
    <row r="1449" spans="1:17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47"/>
      <c r="Q1449" s="164"/>
    </row>
    <row r="1450" spans="1:17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47"/>
      <c r="Q1450" s="164"/>
    </row>
    <row r="1451" spans="1:17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47"/>
      <c r="Q1451" s="164"/>
    </row>
    <row r="1452" spans="1:17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47"/>
      <c r="Q1452" s="164"/>
    </row>
    <row r="1453" spans="1:17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47"/>
      <c r="Q1453" s="164"/>
    </row>
    <row r="1454" spans="1:17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47"/>
      <c r="Q1454" s="164"/>
    </row>
    <row r="1455" spans="1:17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47"/>
      <c r="Q1455" s="164"/>
    </row>
    <row r="1456" spans="1:17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47"/>
      <c r="Q1456" s="164"/>
    </row>
    <row r="1457" spans="1:17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47"/>
      <c r="Q1457" s="164"/>
    </row>
    <row r="1458" spans="1:17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47"/>
      <c r="Q1458" s="164"/>
    </row>
    <row r="1459" spans="1:17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47"/>
      <c r="Q1459" s="164"/>
    </row>
    <row r="1460" spans="1:17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47"/>
      <c r="Q1460" s="164"/>
    </row>
    <row r="1461" spans="1:17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47"/>
      <c r="Q1461" s="164"/>
    </row>
    <row r="1462" spans="1:17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47"/>
      <c r="Q1462" s="164"/>
    </row>
    <row r="1463" spans="1:17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47"/>
      <c r="Q1463" s="164"/>
    </row>
    <row r="1464" spans="1:17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47"/>
      <c r="Q1464" s="164"/>
    </row>
    <row r="1465" spans="1:17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47"/>
      <c r="Q1465" s="164"/>
    </row>
    <row r="1466" spans="1:17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47"/>
      <c r="Q1466" s="164"/>
    </row>
    <row r="1467" spans="1:17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47"/>
      <c r="Q1467" s="164"/>
    </row>
    <row r="1468" spans="1:17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47"/>
      <c r="Q1468" s="164"/>
    </row>
    <row r="1469" spans="1:17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47"/>
      <c r="Q1469" s="164"/>
    </row>
    <row r="1470" spans="1:17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47"/>
      <c r="Q1470" s="164"/>
    </row>
    <row r="1471" spans="1:17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47"/>
      <c r="Q1471" s="164"/>
    </row>
    <row r="1472" spans="1:17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47"/>
      <c r="Q1472" s="164"/>
    </row>
    <row r="1473" spans="1:17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47"/>
      <c r="Q1473" s="164"/>
    </row>
    <row r="1474" spans="1:17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47"/>
      <c r="Q1474" s="164"/>
    </row>
    <row r="1475" spans="1:17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47"/>
      <c r="Q1475" s="164"/>
    </row>
    <row r="1476" spans="1:17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47"/>
      <c r="Q1476" s="164"/>
    </row>
    <row r="1477" spans="1:17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47"/>
      <c r="Q1477" s="164"/>
    </row>
    <row r="1478" spans="1:17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47"/>
      <c r="Q1478" s="164"/>
    </row>
    <row r="1479" spans="1:17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47"/>
      <c r="Q1479" s="164"/>
    </row>
    <row r="1480" spans="1:17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47"/>
      <c r="Q1480" s="164"/>
    </row>
    <row r="1481" spans="1:17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47"/>
      <c r="Q1481" s="164"/>
    </row>
    <row r="1482" spans="1:17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47"/>
      <c r="Q1482" s="164"/>
    </row>
    <row r="1483" spans="1:17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47"/>
      <c r="Q1483" s="164"/>
    </row>
    <row r="1484" spans="1:17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47"/>
      <c r="Q1484" s="164"/>
    </row>
    <row r="1485" spans="1:17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47"/>
      <c r="Q1485" s="164"/>
    </row>
    <row r="1486" spans="1:17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47"/>
      <c r="Q1486" s="164"/>
    </row>
    <row r="1487" spans="1:17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47"/>
      <c r="Q1487" s="164"/>
    </row>
    <row r="1488" spans="1:17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47"/>
      <c r="Q1488" s="164"/>
    </row>
    <row r="1489" spans="1:17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47"/>
      <c r="Q1489" s="164"/>
    </row>
    <row r="1490" spans="1:17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47"/>
      <c r="Q1490" s="164"/>
    </row>
    <row r="1491" spans="1:17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47"/>
      <c r="Q1491" s="164"/>
    </row>
    <row r="1492" spans="1:17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47"/>
      <c r="Q1492" s="164"/>
    </row>
    <row r="1493" spans="1:17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47"/>
      <c r="Q1493" s="164"/>
    </row>
    <row r="1494" spans="1:17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47"/>
      <c r="Q1494" s="164"/>
    </row>
    <row r="1495" spans="1:17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47"/>
      <c r="Q1495" s="164"/>
    </row>
    <row r="1496" spans="1:17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47"/>
      <c r="Q1496" s="164"/>
    </row>
    <row r="1497" spans="1:17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47"/>
      <c r="Q1497" s="164"/>
    </row>
    <row r="1498" spans="1:17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47"/>
      <c r="Q1498" s="164"/>
    </row>
    <row r="1499" spans="1:17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47"/>
      <c r="Q1499" s="164"/>
    </row>
    <row r="1500" spans="1:17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47"/>
      <c r="Q1500" s="164"/>
    </row>
    <row r="1501" spans="1:17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47"/>
      <c r="Q1501" s="164"/>
    </row>
    <row r="1502" spans="1:17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47"/>
      <c r="Q1502" s="164"/>
    </row>
    <row r="1503" spans="1:17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47"/>
      <c r="Q1503" s="164"/>
    </row>
    <row r="1504" spans="1:17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47"/>
      <c r="Q1504" s="164"/>
    </row>
    <row r="1505" spans="1:17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47"/>
      <c r="Q1505" s="164"/>
    </row>
    <row r="1506" spans="1:17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47"/>
      <c r="Q1506" s="164"/>
    </row>
    <row r="1507" spans="1:17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47"/>
      <c r="Q1507" s="164"/>
    </row>
    <row r="1508" spans="1:17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47"/>
      <c r="Q1508" s="164"/>
    </row>
    <row r="1509" spans="1:17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47"/>
      <c r="Q1509" s="164"/>
    </row>
    <row r="1510" spans="1:17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47"/>
      <c r="Q1510" s="164"/>
    </row>
    <row r="1511" spans="1:17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47"/>
      <c r="Q1511" s="164"/>
    </row>
    <row r="1512" spans="1:17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47"/>
      <c r="Q1512" s="164"/>
    </row>
    <row r="1513" spans="1:17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47"/>
      <c r="Q1513" s="164"/>
    </row>
    <row r="1514" spans="1:17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47"/>
      <c r="Q1514" s="164"/>
    </row>
    <row r="1515" spans="1:17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47"/>
      <c r="Q1515" s="164"/>
    </row>
    <row r="1516" spans="1:17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47"/>
      <c r="Q1516" s="164"/>
    </row>
    <row r="1517" spans="1:17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47"/>
      <c r="Q1517" s="164"/>
    </row>
    <row r="1518" spans="1:17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47"/>
      <c r="Q1518" s="164"/>
    </row>
    <row r="1519" spans="1:17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47"/>
      <c r="Q1519" s="164"/>
    </row>
    <row r="1520" spans="1:17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47"/>
      <c r="Q1520" s="164"/>
    </row>
    <row r="1521" spans="1:17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47"/>
      <c r="Q1521" s="164"/>
    </row>
    <row r="1522" spans="1:17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47"/>
      <c r="Q1522" s="164"/>
    </row>
    <row r="1523" spans="1:17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47"/>
      <c r="Q1523" s="164"/>
    </row>
    <row r="1524" spans="1:17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47"/>
      <c r="Q1524" s="164"/>
    </row>
    <row r="1525" spans="1:17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47"/>
      <c r="Q1525" s="164"/>
    </row>
    <row r="1526" spans="1:17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47"/>
      <c r="Q1526" s="164"/>
    </row>
    <row r="1527" spans="1:17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47"/>
      <c r="Q1527" s="164"/>
    </row>
    <row r="1528" spans="1:17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47"/>
      <c r="Q1528" s="164"/>
    </row>
    <row r="1529" spans="1:17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47"/>
      <c r="Q1529" s="164"/>
    </row>
    <row r="1530" spans="1:17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47"/>
      <c r="Q1530" s="164"/>
    </row>
    <row r="1531" spans="1:17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47"/>
      <c r="Q1531" s="164"/>
    </row>
    <row r="1532" spans="1:17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47"/>
      <c r="Q1532" s="164"/>
    </row>
    <row r="1533" spans="1:17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47"/>
      <c r="Q1533" s="164"/>
    </row>
    <row r="1534" spans="1:17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47"/>
      <c r="Q1534" s="164"/>
    </row>
    <row r="1535" spans="1:17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47"/>
      <c r="Q1535" s="164"/>
    </row>
    <row r="1536" spans="1:17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47"/>
      <c r="Q1536" s="164"/>
    </row>
    <row r="1537" spans="1:17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47"/>
      <c r="Q1537" s="164"/>
    </row>
    <row r="1538" spans="1:17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47"/>
      <c r="Q1538" s="164"/>
    </row>
    <row r="1539" spans="1:17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47"/>
      <c r="Q1539" s="164"/>
    </row>
    <row r="1540" spans="1:17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47"/>
      <c r="Q1540" s="164"/>
    </row>
    <row r="1541" spans="1:17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47"/>
      <c r="Q1541" s="164"/>
    </row>
    <row r="1542" spans="1:17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47"/>
      <c r="Q1542" s="164"/>
    </row>
    <row r="1543" spans="1:17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47"/>
      <c r="Q1543" s="164"/>
    </row>
    <row r="1544" spans="1:17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47"/>
      <c r="Q1544" s="164"/>
    </row>
    <row r="1545" spans="1:17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47"/>
      <c r="Q1545" s="164"/>
    </row>
    <row r="1546" spans="1:17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47"/>
      <c r="Q1546" s="164"/>
    </row>
    <row r="1547" spans="1:17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47"/>
      <c r="Q1547" s="164"/>
    </row>
    <row r="1548" spans="1:17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47"/>
      <c r="Q1548" s="164"/>
    </row>
    <row r="1549" spans="1:17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47"/>
      <c r="Q1549" s="164"/>
    </row>
    <row r="1550" spans="1:17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47"/>
      <c r="Q1550" s="164"/>
    </row>
    <row r="1551" spans="1:17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47"/>
      <c r="Q1551" s="164"/>
    </row>
    <row r="1552" spans="1:17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47"/>
      <c r="Q1552" s="164"/>
    </row>
    <row r="1553" spans="1:17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47"/>
      <c r="Q1553" s="164"/>
    </row>
    <row r="1554" spans="1:17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47"/>
      <c r="Q1554" s="164"/>
    </row>
    <row r="1555" spans="1:17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47"/>
      <c r="Q1555" s="164"/>
    </row>
    <row r="1556" spans="1:17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47"/>
      <c r="Q1556" s="164"/>
    </row>
    <row r="1557" spans="1:17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47"/>
      <c r="Q1557" s="164"/>
    </row>
    <row r="1558" spans="1:17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47"/>
      <c r="Q1558" s="164"/>
    </row>
    <row r="1559" spans="1:17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47"/>
      <c r="Q1559" s="164"/>
    </row>
    <row r="1560" spans="1:17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47"/>
      <c r="Q1560" s="164"/>
    </row>
    <row r="1561" spans="1:17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47"/>
      <c r="Q1561" s="164"/>
    </row>
    <row r="1562" spans="1:17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47"/>
      <c r="Q1562" s="164"/>
    </row>
    <row r="1563" spans="1:17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47"/>
      <c r="Q1563" s="164"/>
    </row>
    <row r="1564" spans="1:17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47"/>
      <c r="Q1564" s="164"/>
    </row>
    <row r="1565" spans="1:17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47"/>
      <c r="Q1565" s="164"/>
    </row>
    <row r="1566" spans="1:17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47"/>
      <c r="Q1566" s="164"/>
    </row>
    <row r="1567" spans="1:17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47"/>
      <c r="Q1567" s="164"/>
    </row>
    <row r="1568" spans="1:17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47"/>
      <c r="Q1568" s="164"/>
    </row>
    <row r="1569" spans="1:17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47"/>
      <c r="Q1569" s="164"/>
    </row>
    <row r="1570" spans="1:17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47"/>
      <c r="Q1570" s="164"/>
    </row>
    <row r="1571" spans="1:17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47"/>
      <c r="Q1571" s="164"/>
    </row>
    <row r="1572" spans="1:17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47"/>
      <c r="Q1572" s="164"/>
    </row>
    <row r="1573" spans="1:17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47"/>
      <c r="Q1573" s="164"/>
    </row>
    <row r="1574" spans="1:17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47"/>
      <c r="Q1574" s="164"/>
    </row>
    <row r="1575" spans="1:17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47"/>
      <c r="Q1575" s="164"/>
    </row>
    <row r="1576" spans="1:17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47"/>
      <c r="Q1576" s="164"/>
    </row>
    <row r="1577" spans="1:17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47"/>
      <c r="Q1577" s="164"/>
    </row>
    <row r="1578" spans="1:17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47"/>
      <c r="Q1578" s="164"/>
    </row>
    <row r="1579" spans="1:17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47"/>
      <c r="Q1579" s="164"/>
    </row>
    <row r="1580" spans="1:17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47"/>
      <c r="Q1580" s="164"/>
    </row>
    <row r="1581" spans="1:17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47"/>
      <c r="Q1581" s="164"/>
    </row>
    <row r="1582" spans="1:17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47"/>
      <c r="Q1582" s="164"/>
    </row>
    <row r="1583" spans="1:17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47"/>
      <c r="Q1583" s="164"/>
    </row>
    <row r="1584" spans="1:17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47"/>
      <c r="Q1584" s="164"/>
    </row>
    <row r="1585" spans="1:17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47"/>
      <c r="Q1585" s="164"/>
    </row>
    <row r="1586" spans="1:17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47"/>
      <c r="Q1586" s="164"/>
    </row>
    <row r="1587" spans="1:17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47"/>
      <c r="Q1587" s="164"/>
    </row>
    <row r="1588" spans="1:17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47"/>
      <c r="Q1588" s="164"/>
    </row>
    <row r="1589" spans="1:17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47"/>
      <c r="Q1589" s="164"/>
    </row>
    <row r="1590" spans="1:17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47"/>
      <c r="Q1590" s="164"/>
    </row>
    <row r="1591" spans="1:17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47"/>
      <c r="Q1591" s="164"/>
    </row>
    <row r="1592" spans="1:17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47"/>
      <c r="Q1592" s="164"/>
    </row>
    <row r="1593" spans="1:17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47"/>
      <c r="Q1593" s="164"/>
    </row>
    <row r="1594" spans="1:17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47"/>
      <c r="Q1594" s="164"/>
    </row>
    <row r="1595" spans="1:17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47"/>
      <c r="Q1595" s="164"/>
    </row>
    <row r="1596" spans="1:17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47"/>
      <c r="Q1596" s="164"/>
    </row>
    <row r="1597" spans="1:17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47"/>
      <c r="Q1597" s="164"/>
    </row>
    <row r="1598" spans="1:17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47"/>
      <c r="Q1598" s="164"/>
    </row>
    <row r="1599" spans="1:17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47"/>
      <c r="Q1599" s="164"/>
    </row>
    <row r="1600" spans="1:17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47"/>
      <c r="Q1600" s="164"/>
    </row>
    <row r="1601" spans="1:17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47"/>
      <c r="Q1601" s="164"/>
    </row>
    <row r="1602" spans="1:17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47"/>
      <c r="Q1602" s="164"/>
    </row>
    <row r="1603" spans="1:17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47"/>
      <c r="Q1603" s="164"/>
    </row>
    <row r="1604" spans="1:17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47"/>
      <c r="Q1604" s="164"/>
    </row>
    <row r="1605" spans="1:17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47"/>
      <c r="Q1605" s="164"/>
    </row>
    <row r="1606" spans="1:17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47"/>
      <c r="Q1606" s="164"/>
    </row>
    <row r="1607" spans="1:17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47"/>
      <c r="Q1607" s="164"/>
    </row>
    <row r="1608" spans="1:17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47"/>
      <c r="Q1608" s="164"/>
    </row>
    <row r="1609" spans="1:17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47"/>
      <c r="Q1609" s="164"/>
    </row>
    <row r="1610" spans="1:17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47"/>
      <c r="Q1610" s="164"/>
    </row>
    <row r="1611" spans="1:17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47"/>
      <c r="Q1611" s="164"/>
    </row>
    <row r="1612" spans="1:17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47"/>
      <c r="Q1612" s="164"/>
    </row>
    <row r="1613" spans="1:17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47"/>
      <c r="Q1613" s="164"/>
    </row>
    <row r="1614" spans="1:17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47"/>
      <c r="Q1614" s="164"/>
    </row>
    <row r="1615" spans="1:17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47"/>
      <c r="Q1615" s="164"/>
    </row>
    <row r="1616" spans="1:17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47"/>
      <c r="Q1616" s="164"/>
    </row>
    <row r="1617" spans="1:17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47"/>
      <c r="Q1617" s="164"/>
    </row>
    <row r="1618" spans="1:17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47"/>
      <c r="Q1618" s="164"/>
    </row>
    <row r="1619" spans="1:17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47"/>
      <c r="Q1619" s="164"/>
    </row>
    <row r="1620" spans="1:17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47"/>
      <c r="Q1620" s="164"/>
    </row>
    <row r="1621" spans="1:17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47"/>
      <c r="Q1621" s="164"/>
    </row>
    <row r="1622" spans="1:17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47"/>
      <c r="Q1622" s="164"/>
    </row>
    <row r="1623" spans="1:17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47"/>
      <c r="Q1623" s="164"/>
    </row>
    <row r="1624" spans="1:17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47"/>
      <c r="Q1624" s="164"/>
    </row>
    <row r="1625" spans="1:17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47"/>
      <c r="Q1625" s="164"/>
    </row>
    <row r="1626" spans="1:17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47"/>
      <c r="Q1626" s="164"/>
    </row>
    <row r="1627" spans="1:17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47"/>
      <c r="Q1627" s="164"/>
    </row>
    <row r="1628" spans="1:17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47"/>
      <c r="Q1628" s="164"/>
    </row>
    <row r="1629" spans="1:17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47"/>
      <c r="Q1629" s="164"/>
    </row>
    <row r="1630" spans="1:17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47"/>
      <c r="Q1630" s="164"/>
    </row>
    <row r="1631" spans="1:17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47"/>
      <c r="Q1631" s="164"/>
    </row>
    <row r="1632" spans="1:17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47"/>
      <c r="Q1632" s="164"/>
    </row>
    <row r="1633" spans="1:17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47"/>
      <c r="Q1633" s="164"/>
    </row>
    <row r="1634" spans="1:17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47"/>
      <c r="Q1634" s="164"/>
    </row>
    <row r="1635" spans="1:17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47"/>
      <c r="Q1635" s="164"/>
    </row>
    <row r="1636" spans="1:17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47"/>
      <c r="Q1636" s="164"/>
    </row>
    <row r="1637" spans="1:17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47"/>
      <c r="Q1637" s="164"/>
    </row>
    <row r="1638" spans="1:17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47"/>
      <c r="Q1638" s="164"/>
    </row>
    <row r="1639" spans="1:17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47"/>
      <c r="Q1639" s="164"/>
    </row>
    <row r="1640" spans="1:17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47"/>
      <c r="Q1640" s="164"/>
    </row>
    <row r="1641" spans="1:17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47"/>
      <c r="Q1641" s="164"/>
    </row>
    <row r="1642" spans="1:17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47"/>
      <c r="Q1642" s="164"/>
    </row>
    <row r="1643" spans="1:17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47"/>
      <c r="Q1643" s="164"/>
    </row>
    <row r="1644" spans="1:17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47"/>
      <c r="Q1644" s="164"/>
    </row>
    <row r="1645" spans="1:17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47"/>
      <c r="Q1645" s="164"/>
    </row>
    <row r="1646" spans="1:17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47"/>
      <c r="Q1646" s="164"/>
    </row>
    <row r="1647" spans="1:17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47"/>
      <c r="Q1647" s="164"/>
    </row>
    <row r="1648" spans="1:17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47"/>
      <c r="Q1648" s="164"/>
    </row>
    <row r="1649" spans="1:17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47"/>
      <c r="Q1649" s="164"/>
    </row>
    <row r="1650" spans="1:17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47"/>
      <c r="Q1650" s="164"/>
    </row>
    <row r="1651" spans="1:17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47"/>
      <c r="Q1651" s="164"/>
    </row>
    <row r="1652" spans="1:17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47"/>
      <c r="Q1652" s="164"/>
    </row>
    <row r="1653" spans="1:17" s="28" customFormat="1" x14ac:dyDescent="0.25">
      <c r="A1653" s="56"/>
      <c r="B1653" s="62"/>
      <c r="C1653" s="62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47"/>
      <c r="Q1653" s="164"/>
    </row>
    <row r="1654" spans="1:17" s="28" customFormat="1" x14ac:dyDescent="0.25">
      <c r="A1654" s="56"/>
      <c r="B1654" s="62"/>
      <c r="C1654" s="62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47"/>
      <c r="Q1654" s="164"/>
    </row>
    <row r="1655" spans="1:17" s="28" customFormat="1" x14ac:dyDescent="0.25">
      <c r="A1655" s="56"/>
      <c r="B1655" s="62"/>
      <c r="C1655" s="62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47"/>
      <c r="Q1655" s="164"/>
    </row>
    <row r="1656" spans="1:17" s="28" customFormat="1" x14ac:dyDescent="0.25">
      <c r="A1656" s="56"/>
      <c r="B1656" s="62"/>
      <c r="C1656" s="62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47"/>
      <c r="Q1656" s="164"/>
    </row>
    <row r="1657" spans="1:17" s="28" customFormat="1" x14ac:dyDescent="0.25">
      <c r="A1657" s="56"/>
      <c r="B1657" s="62"/>
      <c r="C1657" s="62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47"/>
      <c r="Q1657" s="164"/>
    </row>
    <row r="1658" spans="1:17" s="28" customFormat="1" x14ac:dyDescent="0.25">
      <c r="A1658" s="56"/>
      <c r="B1658" s="62"/>
      <c r="C1658" s="62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47"/>
      <c r="Q1658" s="164"/>
    </row>
    <row r="1659" spans="1:17" s="28" customFormat="1" x14ac:dyDescent="0.25">
      <c r="A1659" s="56"/>
      <c r="B1659" s="62"/>
      <c r="C1659" s="62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47"/>
      <c r="Q1659" s="164"/>
    </row>
    <row r="1660" spans="1:17" s="28" customFormat="1" x14ac:dyDescent="0.25">
      <c r="A1660" s="56"/>
      <c r="B1660" s="62"/>
      <c r="C1660" s="62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47"/>
      <c r="Q1660" s="164"/>
    </row>
    <row r="1661" spans="1:17" s="28" customFormat="1" x14ac:dyDescent="0.25">
      <c r="A1661" s="56"/>
      <c r="B1661" s="62"/>
      <c r="C1661" s="62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47"/>
      <c r="Q1661" s="164"/>
    </row>
    <row r="1662" spans="1:17" s="28" customFormat="1" x14ac:dyDescent="0.25">
      <c r="A1662" s="56"/>
      <c r="B1662" s="62"/>
      <c r="C1662" s="62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47"/>
      <c r="Q1662" s="164"/>
    </row>
    <row r="1663" spans="1:17" s="28" customFormat="1" x14ac:dyDescent="0.25">
      <c r="A1663" s="56"/>
      <c r="B1663" s="62"/>
      <c r="C1663" s="62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47"/>
      <c r="Q1663" s="164"/>
    </row>
    <row r="1664" spans="1:17" s="28" customFormat="1" x14ac:dyDescent="0.25">
      <c r="A1664" s="56"/>
      <c r="B1664" s="62"/>
      <c r="C1664" s="62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47"/>
      <c r="Q1664" s="164"/>
    </row>
    <row r="1665" spans="1:17" s="28" customFormat="1" x14ac:dyDescent="0.25">
      <c r="A1665" s="56"/>
      <c r="B1665" s="62"/>
      <c r="C1665" s="62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47"/>
      <c r="Q1665" s="164"/>
    </row>
    <row r="1666" spans="1:17" s="28" customFormat="1" x14ac:dyDescent="0.25">
      <c r="A1666" s="56"/>
      <c r="B1666" s="62"/>
      <c r="C1666" s="62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47"/>
      <c r="Q1666" s="164"/>
    </row>
    <row r="1667" spans="1:17" s="28" customFormat="1" x14ac:dyDescent="0.25">
      <c r="A1667" s="56"/>
      <c r="B1667" s="62"/>
      <c r="C1667" s="62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47"/>
      <c r="Q1667" s="164"/>
    </row>
    <row r="1668" spans="1:17" s="28" customFormat="1" x14ac:dyDescent="0.25">
      <c r="A1668" s="56"/>
      <c r="B1668" s="62"/>
      <c r="C1668" s="62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47"/>
      <c r="Q1668" s="164"/>
    </row>
    <row r="1669" spans="1:17" s="28" customFormat="1" x14ac:dyDescent="0.25">
      <c r="A1669" s="56"/>
      <c r="B1669" s="62"/>
      <c r="C1669" s="62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47"/>
      <c r="Q1669" s="164"/>
    </row>
    <row r="1670" spans="1:17" s="28" customFormat="1" x14ac:dyDescent="0.25">
      <c r="A1670" s="56"/>
      <c r="B1670" s="62"/>
      <c r="C1670" s="62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47"/>
      <c r="Q1670" s="164"/>
    </row>
    <row r="1671" spans="1:17" s="28" customFormat="1" x14ac:dyDescent="0.25">
      <c r="A1671" s="56"/>
      <c r="B1671" s="62"/>
      <c r="C1671" s="62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47"/>
      <c r="Q1671" s="164"/>
    </row>
    <row r="1672" spans="1:17" s="28" customFormat="1" x14ac:dyDescent="0.25">
      <c r="A1672" s="56"/>
      <c r="B1672" s="62"/>
      <c r="C1672" s="62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47"/>
      <c r="Q1672" s="164"/>
    </row>
    <row r="1673" spans="1:17" s="28" customFormat="1" x14ac:dyDescent="0.25">
      <c r="A1673" s="56"/>
      <c r="B1673" s="62"/>
      <c r="C1673" s="62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47"/>
      <c r="Q1673" s="164"/>
    </row>
    <row r="1674" spans="1:17" s="28" customFormat="1" x14ac:dyDescent="0.25">
      <c r="A1674" s="56"/>
      <c r="B1674" s="62"/>
      <c r="C1674" s="62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47"/>
      <c r="Q1674" s="164"/>
    </row>
    <row r="1675" spans="1:17" s="28" customFormat="1" x14ac:dyDescent="0.25">
      <c r="A1675" s="56"/>
      <c r="B1675" s="62"/>
      <c r="C1675" s="62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47"/>
      <c r="Q1675" s="164"/>
    </row>
    <row r="1676" spans="1:17" s="28" customFormat="1" x14ac:dyDescent="0.25">
      <c r="A1676" s="56"/>
      <c r="B1676" s="62"/>
      <c r="C1676" s="62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47"/>
      <c r="Q1676" s="164"/>
    </row>
    <row r="1677" spans="1:17" s="28" customFormat="1" x14ac:dyDescent="0.25">
      <c r="A1677" s="56"/>
      <c r="B1677" s="62"/>
      <c r="C1677" s="62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47"/>
      <c r="Q1677" s="164"/>
    </row>
    <row r="1678" spans="1:17" s="28" customFormat="1" x14ac:dyDescent="0.25">
      <c r="A1678" s="56"/>
      <c r="B1678" s="62"/>
      <c r="C1678" s="62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47"/>
      <c r="Q1678" s="164"/>
    </row>
    <row r="1679" spans="1:17" s="28" customFormat="1" x14ac:dyDescent="0.25">
      <c r="A1679" s="56"/>
      <c r="B1679" s="62"/>
      <c r="C1679" s="62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47"/>
      <c r="Q1679" s="164"/>
    </row>
    <row r="1680" spans="1:17" s="28" customFormat="1" x14ac:dyDescent="0.25">
      <c r="A1680" s="56"/>
      <c r="B1680" s="62"/>
      <c r="C1680" s="62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47"/>
      <c r="Q1680" s="164"/>
    </row>
    <row r="1681" spans="1:17" s="28" customFormat="1" x14ac:dyDescent="0.25">
      <c r="A1681" s="56"/>
      <c r="B1681" s="62"/>
      <c r="C1681" s="62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47"/>
      <c r="Q1681" s="164"/>
    </row>
    <row r="1682" spans="1:17" s="28" customFormat="1" x14ac:dyDescent="0.25">
      <c r="A1682" s="56"/>
      <c r="B1682" s="62"/>
      <c r="C1682" s="62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47"/>
      <c r="Q1682" s="164"/>
    </row>
    <row r="1683" spans="1:17" s="28" customFormat="1" x14ac:dyDescent="0.25">
      <c r="A1683" s="56"/>
      <c r="B1683" s="62"/>
      <c r="C1683" s="62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47"/>
      <c r="Q1683" s="164"/>
    </row>
    <row r="1684" spans="1:17" s="28" customFormat="1" x14ac:dyDescent="0.25">
      <c r="A1684" s="56"/>
      <c r="B1684" s="62"/>
      <c r="C1684" s="62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47"/>
      <c r="Q1684" s="164"/>
    </row>
    <row r="1685" spans="1:17" s="28" customFormat="1" x14ac:dyDescent="0.25">
      <c r="A1685" s="56"/>
      <c r="B1685" s="62"/>
      <c r="C1685" s="62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47"/>
      <c r="Q1685" s="164"/>
    </row>
    <row r="1686" spans="1:17" s="28" customFormat="1" x14ac:dyDescent="0.25">
      <c r="A1686" s="56"/>
      <c r="B1686" s="62"/>
      <c r="C1686" s="62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47"/>
      <c r="Q1686" s="164"/>
    </row>
    <row r="1687" spans="1:17" s="28" customFormat="1" x14ac:dyDescent="0.25">
      <c r="A1687" s="56"/>
      <c r="B1687" s="62"/>
      <c r="C1687" s="62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47"/>
      <c r="Q1687" s="164"/>
    </row>
    <row r="1688" spans="1:17" s="28" customFormat="1" x14ac:dyDescent="0.25">
      <c r="A1688" s="56"/>
      <c r="B1688" s="62"/>
      <c r="C1688" s="62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47"/>
      <c r="Q1688" s="164"/>
    </row>
    <row r="1689" spans="1:17" s="28" customFormat="1" x14ac:dyDescent="0.25">
      <c r="A1689" s="56"/>
      <c r="B1689" s="62"/>
      <c r="C1689" s="62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47"/>
      <c r="Q1689" s="164"/>
    </row>
    <row r="1690" spans="1:17" s="28" customFormat="1" x14ac:dyDescent="0.25">
      <c r="A1690" s="56"/>
      <c r="B1690" s="62"/>
      <c r="C1690" s="62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47"/>
      <c r="Q1690" s="164"/>
    </row>
    <row r="1691" spans="1:17" s="28" customFormat="1" x14ac:dyDescent="0.25">
      <c r="A1691" s="56"/>
      <c r="B1691" s="62"/>
      <c r="C1691" s="62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47"/>
      <c r="Q1691" s="164"/>
    </row>
  </sheetData>
  <mergeCells count="36">
    <mergeCell ref="Q237:Q264"/>
    <mergeCell ref="Q265:Q294"/>
    <mergeCell ref="Q295:Q319"/>
    <mergeCell ref="Q144:Q160"/>
    <mergeCell ref="Q161:Q178"/>
    <mergeCell ref="Q179:Q186"/>
    <mergeCell ref="Q187:Q201"/>
    <mergeCell ref="Q202:Q234"/>
    <mergeCell ref="Q1:Q35"/>
    <mergeCell ref="Q36:Q62"/>
    <mergeCell ref="Q63:Q86"/>
    <mergeCell ref="Q87:Q106"/>
    <mergeCell ref="Q107:Q142"/>
    <mergeCell ref="M15:N15"/>
    <mergeCell ref="O15:O16"/>
    <mergeCell ref="K3:P3"/>
    <mergeCell ref="K4:P4"/>
    <mergeCell ref="K5:P5"/>
    <mergeCell ref="K6:P6"/>
    <mergeCell ref="K8:P8"/>
    <mergeCell ref="A317:D317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78740157480314965" bottom="0.59055118110236227" header="0.39370078740157483" footer="0.31496062992125984"/>
  <pageSetup paperSize="9" scale="43" fitToHeight="100" orientation="landscape" useFirstPageNumber="1" r:id="rId1"/>
  <headerFooter scaleWithDoc="0" alignWithMargins="0">
    <oddHeader xml:space="preserve">&amp;RПродовження додатку
</oddHeader>
  </headerFooter>
  <rowBreaks count="3" manualBreakCount="3">
    <brk id="34" max="16" man="1"/>
    <brk id="61" max="16" man="1"/>
    <brk id="3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58"/>
  <sheetViews>
    <sheetView showGridLines="0" showZeros="0" tabSelected="1" view="pageBreakPreview" topLeftCell="A204" zoomScale="55" zoomScaleNormal="87" zoomScaleSheetLayoutView="55" workbookViewId="0">
      <selection activeCell="C212" sqref="C212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" width="10.6640625" style="165" bestFit="1" customWidth="1"/>
    <col min="17" max="16384" width="9.1640625" style="4"/>
  </cols>
  <sheetData>
    <row r="1" spans="1:16" ht="27.75" customHeight="1" x14ac:dyDescent="0.4">
      <c r="J1" s="193" t="s">
        <v>614</v>
      </c>
      <c r="K1" s="193"/>
      <c r="L1" s="193"/>
      <c r="M1" s="193"/>
      <c r="N1" s="193"/>
      <c r="O1" s="193"/>
    </row>
    <row r="2" spans="1:16" ht="24" customHeight="1" x14ac:dyDescent="0.25">
      <c r="J2" s="96" t="s">
        <v>600</v>
      </c>
      <c r="K2" s="96"/>
      <c r="L2" s="96"/>
      <c r="M2" s="96"/>
      <c r="N2" s="96"/>
      <c r="O2" s="96"/>
    </row>
    <row r="3" spans="1:16" ht="26.25" customHeight="1" x14ac:dyDescent="0.4">
      <c r="J3" s="186" t="s">
        <v>599</v>
      </c>
      <c r="K3" s="186"/>
      <c r="L3" s="186"/>
      <c r="M3" s="186"/>
      <c r="N3" s="186"/>
      <c r="O3" s="186"/>
    </row>
    <row r="4" spans="1:16" ht="26.25" customHeight="1" x14ac:dyDescent="0.4">
      <c r="J4" s="186" t="s">
        <v>593</v>
      </c>
      <c r="K4" s="186"/>
      <c r="L4" s="186"/>
      <c r="M4" s="186"/>
      <c r="N4" s="186"/>
      <c r="O4" s="186"/>
    </row>
    <row r="5" spans="1:16" ht="29.25" customHeight="1" x14ac:dyDescent="0.4">
      <c r="J5" s="186" t="s">
        <v>601</v>
      </c>
      <c r="K5" s="186"/>
      <c r="L5" s="186"/>
      <c r="M5" s="186"/>
      <c r="N5" s="186"/>
      <c r="O5" s="186"/>
    </row>
    <row r="6" spans="1:16" ht="29.25" customHeight="1" x14ac:dyDescent="0.4">
      <c r="J6" s="186" t="s">
        <v>602</v>
      </c>
      <c r="K6" s="186"/>
      <c r="L6" s="186"/>
      <c r="M6" s="186"/>
      <c r="N6" s="186"/>
      <c r="O6" s="186"/>
    </row>
    <row r="7" spans="1:16" ht="29.25" customHeight="1" x14ac:dyDescent="0.4">
      <c r="J7" s="132" t="s">
        <v>548</v>
      </c>
      <c r="K7" s="132"/>
      <c r="L7" s="132"/>
      <c r="M7" s="132"/>
      <c r="N7" s="132"/>
      <c r="O7" s="132"/>
    </row>
    <row r="8" spans="1:16" ht="29.25" customHeight="1" x14ac:dyDescent="0.4">
      <c r="J8" s="186" t="s">
        <v>611</v>
      </c>
      <c r="K8" s="186"/>
      <c r="L8" s="186"/>
      <c r="M8" s="186"/>
      <c r="N8" s="186"/>
      <c r="O8" s="186"/>
    </row>
    <row r="9" spans="1:16" ht="29.25" customHeight="1" x14ac:dyDescent="0.25">
      <c r="J9" s="96"/>
      <c r="K9" s="96"/>
      <c r="L9" s="96"/>
      <c r="M9" s="96"/>
      <c r="N9" s="96"/>
      <c r="O9" s="96"/>
    </row>
    <row r="10" spans="1:16" ht="105.75" customHeight="1" x14ac:dyDescent="0.25">
      <c r="A10" s="194" t="s">
        <v>453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6" ht="23.25" customHeight="1" x14ac:dyDescent="0.25">
      <c r="A11" s="65"/>
      <c r="B11" s="65"/>
      <c r="C11" s="58"/>
      <c r="D11" s="58"/>
      <c r="E11" s="58"/>
      <c r="F11" s="124" t="s">
        <v>528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1:16" ht="21" customHeight="1" x14ac:dyDescent="0.25">
      <c r="A12" s="66"/>
      <c r="B12" s="66"/>
      <c r="C12" s="58"/>
      <c r="D12" s="58"/>
      <c r="E12" s="58"/>
      <c r="F12" s="66" t="s">
        <v>529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6" ht="21" customHeight="1" x14ac:dyDescent="0.25">
      <c r="A13" s="66"/>
      <c r="B13" s="66"/>
      <c r="C13" s="58"/>
      <c r="D13" s="58"/>
      <c r="E13" s="58"/>
      <c r="F13" s="66"/>
      <c r="G13" s="58"/>
      <c r="H13" s="58"/>
      <c r="I13" s="58"/>
      <c r="J13" s="58"/>
      <c r="K13" s="58"/>
      <c r="L13" s="58"/>
      <c r="M13" s="58"/>
      <c r="N13" s="58"/>
      <c r="O13" s="58"/>
    </row>
    <row r="14" spans="1:16" s="17" customFormat="1" ht="20.25" customHeight="1" x14ac:dyDescent="0.3">
      <c r="A14" s="14"/>
      <c r="B14" s="15"/>
      <c r="C14" s="16"/>
      <c r="O14" s="133" t="s">
        <v>360</v>
      </c>
      <c r="P14" s="165"/>
    </row>
    <row r="15" spans="1:16" s="52" customFormat="1" ht="21.75" customHeight="1" x14ac:dyDescent="0.25">
      <c r="A15" s="185" t="s">
        <v>339</v>
      </c>
      <c r="B15" s="185" t="s">
        <v>329</v>
      </c>
      <c r="C15" s="185" t="s">
        <v>341</v>
      </c>
      <c r="D15" s="184" t="s">
        <v>226</v>
      </c>
      <c r="E15" s="184"/>
      <c r="F15" s="184"/>
      <c r="G15" s="184"/>
      <c r="H15" s="184"/>
      <c r="I15" s="184" t="s">
        <v>227</v>
      </c>
      <c r="J15" s="184"/>
      <c r="K15" s="184"/>
      <c r="L15" s="184"/>
      <c r="M15" s="184"/>
      <c r="N15" s="184"/>
      <c r="O15" s="184" t="s">
        <v>228</v>
      </c>
      <c r="P15" s="165"/>
    </row>
    <row r="16" spans="1:16" s="52" customFormat="1" ht="29.25" customHeight="1" x14ac:dyDescent="0.25">
      <c r="A16" s="185"/>
      <c r="B16" s="185"/>
      <c r="C16" s="185"/>
      <c r="D16" s="182" t="s">
        <v>330</v>
      </c>
      <c r="E16" s="182" t="s">
        <v>229</v>
      </c>
      <c r="F16" s="183" t="s">
        <v>230</v>
      </c>
      <c r="G16" s="183"/>
      <c r="H16" s="182" t="s">
        <v>231</v>
      </c>
      <c r="I16" s="182" t="s">
        <v>330</v>
      </c>
      <c r="J16" s="182" t="s">
        <v>331</v>
      </c>
      <c r="K16" s="182" t="s">
        <v>229</v>
      </c>
      <c r="L16" s="183" t="s">
        <v>230</v>
      </c>
      <c r="M16" s="183"/>
      <c r="N16" s="182" t="s">
        <v>231</v>
      </c>
      <c r="O16" s="184"/>
      <c r="P16" s="165"/>
    </row>
    <row r="17" spans="1:16" s="52" customFormat="1" ht="60.75" customHeight="1" x14ac:dyDescent="0.25">
      <c r="A17" s="185"/>
      <c r="B17" s="185"/>
      <c r="C17" s="185"/>
      <c r="D17" s="182"/>
      <c r="E17" s="182"/>
      <c r="F17" s="131" t="s">
        <v>232</v>
      </c>
      <c r="G17" s="131" t="s">
        <v>233</v>
      </c>
      <c r="H17" s="182"/>
      <c r="I17" s="182"/>
      <c r="J17" s="182"/>
      <c r="K17" s="182"/>
      <c r="L17" s="131" t="s">
        <v>232</v>
      </c>
      <c r="M17" s="131" t="s">
        <v>233</v>
      </c>
      <c r="N17" s="182"/>
      <c r="O17" s="184"/>
      <c r="P17" s="165"/>
    </row>
    <row r="18" spans="1:16" s="52" customFormat="1" ht="36.75" customHeight="1" x14ac:dyDescent="0.25">
      <c r="A18" s="7" t="s">
        <v>44</v>
      </c>
      <c r="B18" s="8"/>
      <c r="C18" s="9" t="s">
        <v>45</v>
      </c>
      <c r="D18" s="48">
        <f>D20+D21+D22+D23</f>
        <v>261244473</v>
      </c>
      <c r="E18" s="48">
        <f t="shared" ref="E18:O18" si="0">E20+E21+E22+E23</f>
        <v>261244473</v>
      </c>
      <c r="F18" s="48">
        <f>F20+F21+F22+F23</f>
        <v>196459700</v>
      </c>
      <c r="G18" s="48">
        <f t="shared" si="0"/>
        <v>5172383</v>
      </c>
      <c r="H18" s="48">
        <f t="shared" si="0"/>
        <v>0</v>
      </c>
      <c r="I18" s="48">
        <f t="shared" si="0"/>
        <v>2568000</v>
      </c>
      <c r="J18" s="48">
        <f t="shared" si="0"/>
        <v>668000</v>
      </c>
      <c r="K18" s="48">
        <f t="shared" si="0"/>
        <v>1900000</v>
      </c>
      <c r="L18" s="48">
        <f t="shared" si="0"/>
        <v>1332000</v>
      </c>
      <c r="M18" s="48">
        <f t="shared" si="0"/>
        <v>71500</v>
      </c>
      <c r="N18" s="48">
        <f t="shared" si="0"/>
        <v>668000</v>
      </c>
      <c r="O18" s="48">
        <f t="shared" si="0"/>
        <v>263812473</v>
      </c>
      <c r="P18" s="165">
        <v>91</v>
      </c>
    </row>
    <row r="19" spans="1:16" s="52" customFormat="1" ht="61.5" hidden="1" customHeight="1" x14ac:dyDescent="0.25">
      <c r="A19" s="7"/>
      <c r="B19" s="8"/>
      <c r="C19" s="9" t="s">
        <v>442</v>
      </c>
      <c r="D19" s="48">
        <f>D24</f>
        <v>0</v>
      </c>
      <c r="E19" s="48">
        <f t="shared" ref="E19:O19" si="1">E24</f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48">
        <f t="shared" si="1"/>
        <v>0</v>
      </c>
      <c r="J19" s="48">
        <f t="shared" si="1"/>
        <v>0</v>
      </c>
      <c r="K19" s="48">
        <f t="shared" si="1"/>
        <v>0</v>
      </c>
      <c r="L19" s="48">
        <f t="shared" si="1"/>
        <v>0</v>
      </c>
      <c r="M19" s="48">
        <f t="shared" si="1"/>
        <v>0</v>
      </c>
      <c r="N19" s="48">
        <f t="shared" si="1"/>
        <v>0</v>
      </c>
      <c r="O19" s="48">
        <f t="shared" si="1"/>
        <v>0</v>
      </c>
      <c r="P19" s="165"/>
    </row>
    <row r="20" spans="1:16" ht="37.5" customHeight="1" x14ac:dyDescent="0.25">
      <c r="A20" s="37" t="s">
        <v>121</v>
      </c>
      <c r="B20" s="37" t="s">
        <v>47</v>
      </c>
      <c r="C20" s="6" t="s">
        <v>503</v>
      </c>
      <c r="D20" s="49">
        <f>'дод 2'!E21+'дод 2'!E76+'дод 2'!E130+'дод 2'!E162+'дод 2'!E199+'дод 2'!E206+'дод 2'!E222+'дод 2'!E254+'дод 2'!E258+'дод 2'!E277+'дод 2'!E284+'дод 2'!E287+'дод 2'!E298+'дод 2'!E295</f>
        <v>259608973</v>
      </c>
      <c r="E20" s="49">
        <f>'дод 2'!F21+'дод 2'!F76+'дод 2'!F130+'дод 2'!F162+'дод 2'!F199+'дод 2'!F206+'дод 2'!F222+'дод 2'!F254+'дод 2'!F258+'дод 2'!F277+'дод 2'!F284+'дод 2'!F287+'дод 2'!F298+'дод 2'!F295</f>
        <v>259608973</v>
      </c>
      <c r="F20" s="49">
        <f>'дод 2'!G21+'дод 2'!G76+'дод 2'!G130+'дод 2'!G162+'дод 2'!G199+'дод 2'!G206+'дод 2'!G222+'дод 2'!G254+'дод 2'!G258+'дод 2'!G277+'дод 2'!G284+'дод 2'!G287+'дод 2'!G298+'дод 2'!G295</f>
        <v>196459700</v>
      </c>
      <c r="G20" s="49">
        <f>'дод 2'!H21+'дод 2'!H76+'дод 2'!H130+'дод 2'!H162+'дод 2'!H199+'дод 2'!H206+'дод 2'!H222+'дод 2'!H254+'дод 2'!H258+'дод 2'!H277+'дод 2'!H284+'дод 2'!H287+'дод 2'!H298+'дод 2'!H295</f>
        <v>5172383</v>
      </c>
      <c r="H20" s="49">
        <f>'дод 2'!I21+'дод 2'!I76+'дод 2'!I130+'дод 2'!I162+'дод 2'!I199+'дод 2'!I206+'дод 2'!I222+'дод 2'!I254+'дод 2'!I258+'дод 2'!I277+'дод 2'!I284+'дод 2'!I287+'дод 2'!I298+'дод 2'!I295</f>
        <v>0</v>
      </c>
      <c r="I20" s="49">
        <f>'дод 2'!J21+'дод 2'!J76+'дод 2'!J130+'дод 2'!J162+'дод 2'!J199+'дод 2'!J206+'дод 2'!J222+'дод 2'!J254+'дод 2'!J258+'дод 2'!J277+'дод 2'!J284+'дод 2'!J287+'дод 2'!J298+'дод 2'!J295</f>
        <v>2568000</v>
      </c>
      <c r="J20" s="49">
        <f>'дод 2'!K21+'дод 2'!K76+'дод 2'!K130+'дод 2'!K162+'дод 2'!K199+'дод 2'!K206+'дод 2'!K222+'дод 2'!K254+'дод 2'!K258+'дод 2'!K277+'дод 2'!K284+'дод 2'!K287+'дод 2'!K298+'дод 2'!K295</f>
        <v>668000</v>
      </c>
      <c r="K20" s="49">
        <f>'дод 2'!L21+'дод 2'!L76+'дод 2'!L130+'дод 2'!L162+'дод 2'!L199+'дод 2'!L206+'дод 2'!L222+'дод 2'!L254+'дод 2'!L258+'дод 2'!L277+'дод 2'!L284+'дод 2'!L287+'дод 2'!L298+'дод 2'!L295</f>
        <v>1900000</v>
      </c>
      <c r="L20" s="49">
        <f>'дод 2'!M21+'дод 2'!M76+'дод 2'!M130+'дод 2'!M162+'дод 2'!M199+'дод 2'!M206+'дод 2'!M222+'дод 2'!M254+'дод 2'!M258+'дод 2'!M277+'дод 2'!M284+'дод 2'!M287+'дод 2'!M298+'дод 2'!M295</f>
        <v>1332000</v>
      </c>
      <c r="M20" s="49">
        <f>'дод 2'!N21+'дод 2'!N76+'дод 2'!N130+'дод 2'!N162+'дод 2'!N199+'дод 2'!N206+'дод 2'!N222+'дод 2'!N254+'дод 2'!N258+'дод 2'!N277+'дод 2'!N284+'дод 2'!N287+'дод 2'!N298+'дод 2'!N295</f>
        <v>71500</v>
      </c>
      <c r="N20" s="49">
        <f>'дод 2'!O21+'дод 2'!O76+'дод 2'!O130+'дод 2'!O162+'дод 2'!O199+'дод 2'!O206+'дод 2'!O222+'дод 2'!O254+'дод 2'!O258+'дод 2'!O277+'дод 2'!O284+'дод 2'!O287+'дод 2'!O298+'дод 2'!O295</f>
        <v>668000</v>
      </c>
      <c r="O20" s="49">
        <f>'дод 2'!P21+'дод 2'!P76+'дод 2'!P130+'дод 2'!P162+'дод 2'!P199+'дод 2'!P206+'дод 2'!P222+'дод 2'!P254+'дод 2'!P258+'дод 2'!P277+'дод 2'!P284+'дод 2'!P287+'дод 2'!P298+'дод 2'!P295</f>
        <v>262176973</v>
      </c>
    </row>
    <row r="21" spans="1:16" ht="33" customHeight="1" x14ac:dyDescent="0.25">
      <c r="A21" s="59" t="s">
        <v>92</v>
      </c>
      <c r="B21" s="59" t="s">
        <v>465</v>
      </c>
      <c r="C21" s="6" t="s">
        <v>456</v>
      </c>
      <c r="D21" s="49">
        <f>'дод 2'!E22</f>
        <v>200000</v>
      </c>
      <c r="E21" s="49">
        <f>'дод 2'!F22</f>
        <v>200000</v>
      </c>
      <c r="F21" s="49">
        <f>'дод 2'!G22</f>
        <v>0</v>
      </c>
      <c r="G21" s="49">
        <f>'дод 2'!H22</f>
        <v>0</v>
      </c>
      <c r="H21" s="49">
        <f>'дод 2'!I22</f>
        <v>0</v>
      </c>
      <c r="I21" s="49">
        <f>'дод 2'!J22</f>
        <v>0</v>
      </c>
      <c r="J21" s="49">
        <f>'дод 2'!K22</f>
        <v>0</v>
      </c>
      <c r="K21" s="49">
        <f>'дод 2'!L22</f>
        <v>0</v>
      </c>
      <c r="L21" s="49">
        <f>'дод 2'!M22</f>
        <v>0</v>
      </c>
      <c r="M21" s="49">
        <f>'дод 2'!N22</f>
        <v>0</v>
      </c>
      <c r="N21" s="49">
        <f>'дод 2'!O22</f>
        <v>0</v>
      </c>
      <c r="O21" s="49">
        <f>'дод 2'!P22</f>
        <v>200000</v>
      </c>
    </row>
    <row r="22" spans="1:16" ht="22.5" customHeight="1" x14ac:dyDescent="0.25">
      <c r="A22" s="37" t="s">
        <v>46</v>
      </c>
      <c r="B22" s="37" t="s">
        <v>95</v>
      </c>
      <c r="C22" s="6" t="s">
        <v>244</v>
      </c>
      <c r="D22" s="49">
        <f>'дод 2'!E23+'дод 2'!E163+'дод 2'!E223</f>
        <v>1435500</v>
      </c>
      <c r="E22" s="49">
        <f>'дод 2'!F23+'дод 2'!F163+'дод 2'!F223</f>
        <v>1435500</v>
      </c>
      <c r="F22" s="49">
        <f>'дод 2'!G23+'дод 2'!G163+'дод 2'!G223</f>
        <v>0</v>
      </c>
      <c r="G22" s="49">
        <f>'дод 2'!H23+'дод 2'!H163+'дод 2'!H223</f>
        <v>0</v>
      </c>
      <c r="H22" s="49">
        <f>'дод 2'!I23+'дод 2'!I163+'дод 2'!I223</f>
        <v>0</v>
      </c>
      <c r="I22" s="49">
        <f>'дод 2'!J23+'дод 2'!J163+'дод 2'!J223</f>
        <v>0</v>
      </c>
      <c r="J22" s="49">
        <f>'дод 2'!K23+'дод 2'!K163+'дод 2'!K223</f>
        <v>0</v>
      </c>
      <c r="K22" s="49">
        <f>'дод 2'!L23+'дод 2'!L163+'дод 2'!L223</f>
        <v>0</v>
      </c>
      <c r="L22" s="49">
        <f>'дод 2'!M23+'дод 2'!M163+'дод 2'!M223</f>
        <v>0</v>
      </c>
      <c r="M22" s="49">
        <f>'дод 2'!N23+'дод 2'!N163+'дод 2'!N223</f>
        <v>0</v>
      </c>
      <c r="N22" s="49">
        <f>'дод 2'!O23+'дод 2'!O163+'дод 2'!O223</f>
        <v>0</v>
      </c>
      <c r="O22" s="49">
        <f>'дод 2'!P23+'дод 2'!P163+'дод 2'!P223</f>
        <v>1435500</v>
      </c>
    </row>
    <row r="23" spans="1:16" ht="27" hidden="1" customHeight="1" x14ac:dyDescent="0.25">
      <c r="A23" s="59" t="s">
        <v>438</v>
      </c>
      <c r="B23" s="59" t="s">
        <v>121</v>
      </c>
      <c r="C23" s="6" t="s">
        <v>439</v>
      </c>
      <c r="D23" s="49">
        <f>'дод 2'!E24</f>
        <v>0</v>
      </c>
      <c r="E23" s="49">
        <f>'дод 2'!F24</f>
        <v>0</v>
      </c>
      <c r="F23" s="49">
        <f>'дод 2'!G24</f>
        <v>0</v>
      </c>
      <c r="G23" s="49">
        <f>'дод 2'!H24</f>
        <v>0</v>
      </c>
      <c r="H23" s="49">
        <f>'дод 2'!I24</f>
        <v>0</v>
      </c>
      <c r="I23" s="49">
        <f>'дод 2'!J24</f>
        <v>0</v>
      </c>
      <c r="J23" s="49">
        <f>'дод 2'!K24</f>
        <v>0</v>
      </c>
      <c r="K23" s="49">
        <f>'дод 2'!L24</f>
        <v>0</v>
      </c>
      <c r="L23" s="49">
        <f>'дод 2'!M24</f>
        <v>0</v>
      </c>
      <c r="M23" s="49">
        <f>'дод 2'!N24</f>
        <v>0</v>
      </c>
      <c r="N23" s="49">
        <f>'дод 2'!O24</f>
        <v>0</v>
      </c>
      <c r="O23" s="49">
        <f>'дод 2'!P24</f>
        <v>0</v>
      </c>
    </row>
    <row r="24" spans="1:16" s="54" customFormat="1" ht="63" hidden="1" customHeight="1" x14ac:dyDescent="0.25">
      <c r="A24" s="82"/>
      <c r="B24" s="92"/>
      <c r="C24" s="83" t="s">
        <v>442</v>
      </c>
      <c r="D24" s="84">
        <f>'дод 2'!E25</f>
        <v>0</v>
      </c>
      <c r="E24" s="84">
        <f>'дод 2'!F25</f>
        <v>0</v>
      </c>
      <c r="F24" s="84">
        <f>'дод 2'!G25</f>
        <v>0</v>
      </c>
      <c r="G24" s="84">
        <f>'дод 2'!H25</f>
        <v>0</v>
      </c>
      <c r="H24" s="84">
        <f>'дод 2'!I25</f>
        <v>0</v>
      </c>
      <c r="I24" s="84">
        <f>'дод 2'!J25</f>
        <v>0</v>
      </c>
      <c r="J24" s="84">
        <f>'дод 2'!K25</f>
        <v>0</v>
      </c>
      <c r="K24" s="84">
        <f>'дод 2'!L25</f>
        <v>0</v>
      </c>
      <c r="L24" s="84">
        <f>'дод 2'!M25</f>
        <v>0</v>
      </c>
      <c r="M24" s="84">
        <f>'дод 2'!N25</f>
        <v>0</v>
      </c>
      <c r="N24" s="84">
        <f>'дод 2'!O25</f>
        <v>0</v>
      </c>
      <c r="O24" s="84">
        <f>'дод 2'!P25</f>
        <v>0</v>
      </c>
      <c r="P24" s="165"/>
    </row>
    <row r="25" spans="1:16" s="52" customFormat="1" ht="18.75" customHeight="1" x14ac:dyDescent="0.25">
      <c r="A25" s="38" t="s">
        <v>48</v>
      </c>
      <c r="B25" s="39"/>
      <c r="C25" s="9" t="s">
        <v>405</v>
      </c>
      <c r="D25" s="48">
        <f>D36+D38+D45+D47+D50+D52+D55+D57+D58+D59+D60+D61+D62+D64+D65+D66+D68+D69+D71+D73</f>
        <v>1122701685.23</v>
      </c>
      <c r="E25" s="48">
        <f t="shared" ref="E25:O25" si="2">E36+E38+E45+E47+E50+E52+E55+E57+E58+E59+E60+E61+E62+E64+E65+E66+E68+E69+E71+E73</f>
        <v>1122701685.23</v>
      </c>
      <c r="F25" s="48">
        <f t="shared" si="2"/>
        <v>810172830</v>
      </c>
      <c r="G25" s="48">
        <f t="shared" si="2"/>
        <v>62483910</v>
      </c>
      <c r="H25" s="48">
        <f t="shared" si="2"/>
        <v>0</v>
      </c>
      <c r="I25" s="48">
        <f t="shared" si="2"/>
        <v>53745664.18</v>
      </c>
      <c r="J25" s="48">
        <f t="shared" si="2"/>
        <v>14126064.18</v>
      </c>
      <c r="K25" s="48">
        <f t="shared" si="2"/>
        <v>39616470</v>
      </c>
      <c r="L25" s="48">
        <f t="shared" si="2"/>
        <v>4494964</v>
      </c>
      <c r="M25" s="48">
        <f t="shared" si="2"/>
        <v>139890</v>
      </c>
      <c r="N25" s="48">
        <f t="shared" si="2"/>
        <v>14129194.18</v>
      </c>
      <c r="O25" s="48">
        <f t="shared" si="2"/>
        <v>1176447349.4099998</v>
      </c>
      <c r="P25" s="165"/>
    </row>
    <row r="26" spans="1:16" s="53" customFormat="1" ht="31.5" x14ac:dyDescent="0.25">
      <c r="A26" s="75"/>
      <c r="B26" s="78"/>
      <c r="C26" s="79" t="s">
        <v>391</v>
      </c>
      <c r="D26" s="80">
        <f>D48+D51</f>
        <v>482448000</v>
      </c>
      <c r="E26" s="80">
        <f t="shared" ref="E26:O26" si="3">E48+E51</f>
        <v>482448000</v>
      </c>
      <c r="F26" s="80">
        <f t="shared" si="3"/>
        <v>396066000</v>
      </c>
      <c r="G26" s="80">
        <f t="shared" si="3"/>
        <v>0</v>
      </c>
      <c r="H26" s="80">
        <f t="shared" si="3"/>
        <v>0</v>
      </c>
      <c r="I26" s="80">
        <f t="shared" si="3"/>
        <v>0</v>
      </c>
      <c r="J26" s="80">
        <f t="shared" si="3"/>
        <v>0</v>
      </c>
      <c r="K26" s="80">
        <f t="shared" si="3"/>
        <v>0</v>
      </c>
      <c r="L26" s="80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482448000</v>
      </c>
      <c r="P26" s="165"/>
    </row>
    <row r="27" spans="1:16" s="53" customFormat="1" ht="47.25" x14ac:dyDescent="0.25">
      <c r="A27" s="75"/>
      <c r="B27" s="78"/>
      <c r="C27" s="81" t="s">
        <v>558</v>
      </c>
      <c r="D27" s="80">
        <f>D53</f>
        <v>246000</v>
      </c>
      <c r="E27" s="80">
        <f t="shared" ref="E27:O27" si="4">E53</f>
        <v>246000</v>
      </c>
      <c r="F27" s="80">
        <f t="shared" si="4"/>
        <v>0</v>
      </c>
      <c r="G27" s="80">
        <f t="shared" si="4"/>
        <v>0</v>
      </c>
      <c r="H27" s="80">
        <f t="shared" si="4"/>
        <v>0</v>
      </c>
      <c r="I27" s="80">
        <f t="shared" si="4"/>
        <v>1754000</v>
      </c>
      <c r="J27" s="80">
        <f t="shared" si="4"/>
        <v>1754000</v>
      </c>
      <c r="K27" s="80">
        <f t="shared" si="4"/>
        <v>0</v>
      </c>
      <c r="L27" s="80">
        <f t="shared" si="4"/>
        <v>0</v>
      </c>
      <c r="M27" s="80">
        <f t="shared" si="4"/>
        <v>0</v>
      </c>
      <c r="N27" s="80">
        <f t="shared" si="4"/>
        <v>1754000</v>
      </c>
      <c r="O27" s="80">
        <f t="shared" si="4"/>
        <v>2000000</v>
      </c>
      <c r="P27" s="165"/>
    </row>
    <row r="28" spans="1:16" s="53" customFormat="1" ht="47.25" x14ac:dyDescent="0.25">
      <c r="A28" s="75"/>
      <c r="B28" s="78"/>
      <c r="C28" s="79" t="s">
        <v>386</v>
      </c>
      <c r="D28" s="80">
        <f>D49+D63</f>
        <v>3578416</v>
      </c>
      <c r="E28" s="80">
        <f t="shared" ref="E28:O28" si="5">E49+E63</f>
        <v>3578416</v>
      </c>
      <c r="F28" s="80">
        <f t="shared" si="5"/>
        <v>1228720</v>
      </c>
      <c r="G28" s="80">
        <f t="shared" si="5"/>
        <v>0</v>
      </c>
      <c r="H28" s="80">
        <f t="shared" si="5"/>
        <v>0</v>
      </c>
      <c r="I28" s="80">
        <f t="shared" si="5"/>
        <v>0</v>
      </c>
      <c r="J28" s="80">
        <f t="shared" si="5"/>
        <v>0</v>
      </c>
      <c r="K28" s="80">
        <f t="shared" si="5"/>
        <v>0</v>
      </c>
      <c r="L28" s="80">
        <f t="shared" si="5"/>
        <v>0</v>
      </c>
      <c r="M28" s="80">
        <f t="shared" si="5"/>
        <v>0</v>
      </c>
      <c r="N28" s="80">
        <f t="shared" si="5"/>
        <v>0</v>
      </c>
      <c r="O28" s="80">
        <f t="shared" si="5"/>
        <v>3578416</v>
      </c>
      <c r="P28" s="165"/>
    </row>
    <row r="29" spans="1:16" s="53" customFormat="1" ht="47.25" hidden="1" customHeight="1" x14ac:dyDescent="0.25">
      <c r="A29" s="75"/>
      <c r="B29" s="78"/>
      <c r="C29" s="79" t="s">
        <v>388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65"/>
    </row>
    <row r="30" spans="1:16" s="53" customFormat="1" ht="50.25" customHeight="1" x14ac:dyDescent="0.25">
      <c r="A30" s="75"/>
      <c r="B30" s="78"/>
      <c r="C30" s="81" t="s">
        <v>385</v>
      </c>
      <c r="D30" s="80">
        <f>D72</f>
        <v>2612700</v>
      </c>
      <c r="E30" s="80">
        <f t="shared" ref="E30:O30" si="6">E72</f>
        <v>2612700</v>
      </c>
      <c r="F30" s="80">
        <f t="shared" si="6"/>
        <v>1459720</v>
      </c>
      <c r="G30" s="80">
        <f t="shared" si="6"/>
        <v>0</v>
      </c>
      <c r="H30" s="80">
        <f t="shared" si="6"/>
        <v>0</v>
      </c>
      <c r="I30" s="80">
        <f t="shared" si="6"/>
        <v>72000</v>
      </c>
      <c r="J30" s="80">
        <f t="shared" si="6"/>
        <v>72000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72000</v>
      </c>
      <c r="O30" s="80">
        <f t="shared" si="6"/>
        <v>2684700</v>
      </c>
      <c r="P30" s="165"/>
    </row>
    <row r="31" spans="1:16" s="53" customFormat="1" ht="63" hidden="1" customHeight="1" x14ac:dyDescent="0.25">
      <c r="A31" s="75"/>
      <c r="B31" s="78"/>
      <c r="C31" s="79" t="s">
        <v>387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165"/>
    </row>
    <row r="32" spans="1:16" s="53" customFormat="1" ht="63" x14ac:dyDescent="0.25">
      <c r="A32" s="75"/>
      <c r="B32" s="75"/>
      <c r="C32" s="81" t="s">
        <v>537</v>
      </c>
      <c r="D32" s="80">
        <f>D74</f>
        <v>1174231</v>
      </c>
      <c r="E32" s="80">
        <f t="shared" ref="E32:O32" si="7">E74</f>
        <v>1174231</v>
      </c>
      <c r="F32" s="80">
        <f t="shared" si="7"/>
        <v>962484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80">
        <f t="shared" si="7"/>
        <v>0</v>
      </c>
      <c r="M32" s="80">
        <f t="shared" si="7"/>
        <v>0</v>
      </c>
      <c r="N32" s="80">
        <f t="shared" si="7"/>
        <v>0</v>
      </c>
      <c r="O32" s="80">
        <f t="shared" si="7"/>
        <v>1174231</v>
      </c>
      <c r="P32" s="165"/>
    </row>
    <row r="33" spans="1:16" s="53" customFormat="1" ht="31.5" x14ac:dyDescent="0.25">
      <c r="A33" s="75"/>
      <c r="B33" s="75"/>
      <c r="C33" s="81" t="s">
        <v>555</v>
      </c>
      <c r="D33" s="80">
        <f>D54+D56</f>
        <v>709009.6</v>
      </c>
      <c r="E33" s="80">
        <f t="shared" ref="E33:O33" si="8">E54+E56</f>
        <v>709009.6</v>
      </c>
      <c r="F33" s="80">
        <f t="shared" si="8"/>
        <v>0</v>
      </c>
      <c r="G33" s="80">
        <f t="shared" si="8"/>
        <v>0</v>
      </c>
      <c r="H33" s="80">
        <f t="shared" si="8"/>
        <v>0</v>
      </c>
      <c r="I33" s="80">
        <f t="shared" si="8"/>
        <v>4388733.18</v>
      </c>
      <c r="J33" s="80">
        <f t="shared" si="8"/>
        <v>4388733.18</v>
      </c>
      <c r="K33" s="80">
        <f t="shared" si="8"/>
        <v>0</v>
      </c>
      <c r="L33" s="80">
        <f t="shared" si="8"/>
        <v>0</v>
      </c>
      <c r="M33" s="80">
        <f t="shared" si="8"/>
        <v>0</v>
      </c>
      <c r="N33" s="80">
        <f t="shared" si="8"/>
        <v>4388733.18</v>
      </c>
      <c r="O33" s="80">
        <f t="shared" si="8"/>
        <v>5097742.7799999993</v>
      </c>
      <c r="P33" s="165"/>
    </row>
    <row r="34" spans="1:16" s="53" customFormat="1" ht="55.5" customHeight="1" x14ac:dyDescent="0.25">
      <c r="A34" s="75"/>
      <c r="B34" s="75"/>
      <c r="C34" s="79" t="s">
        <v>432</v>
      </c>
      <c r="D34" s="80">
        <f>D67</f>
        <v>287772</v>
      </c>
      <c r="E34" s="80">
        <f t="shared" ref="E34:O34" si="9">E67</f>
        <v>287772</v>
      </c>
      <c r="F34" s="80">
        <f t="shared" si="9"/>
        <v>0</v>
      </c>
      <c r="G34" s="80">
        <f t="shared" si="9"/>
        <v>0</v>
      </c>
      <c r="H34" s="80">
        <f t="shared" si="9"/>
        <v>0</v>
      </c>
      <c r="I34" s="80">
        <f t="shared" si="9"/>
        <v>2859726</v>
      </c>
      <c r="J34" s="80">
        <f t="shared" si="9"/>
        <v>2859726</v>
      </c>
      <c r="K34" s="80">
        <f t="shared" si="9"/>
        <v>0</v>
      </c>
      <c r="L34" s="80">
        <f t="shared" si="9"/>
        <v>0</v>
      </c>
      <c r="M34" s="80">
        <f t="shared" si="9"/>
        <v>0</v>
      </c>
      <c r="N34" s="80">
        <f t="shared" si="9"/>
        <v>2859726</v>
      </c>
      <c r="O34" s="80">
        <f t="shared" si="9"/>
        <v>3147498</v>
      </c>
      <c r="P34" s="165"/>
    </row>
    <row r="35" spans="1:16" s="53" customFormat="1" ht="63" x14ac:dyDescent="0.25">
      <c r="A35" s="75"/>
      <c r="B35" s="75"/>
      <c r="C35" s="81" t="s">
        <v>578</v>
      </c>
      <c r="D35" s="80">
        <f>D70</f>
        <v>5811208</v>
      </c>
      <c r="E35" s="80">
        <f t="shared" ref="E35:O35" si="10">E70</f>
        <v>5811208</v>
      </c>
      <c r="F35" s="80">
        <f t="shared" si="10"/>
        <v>0</v>
      </c>
      <c r="G35" s="80">
        <f t="shared" si="10"/>
        <v>0</v>
      </c>
      <c r="H35" s="80">
        <f t="shared" si="10"/>
        <v>0</v>
      </c>
      <c r="I35" s="80">
        <f t="shared" si="10"/>
        <v>1095855</v>
      </c>
      <c r="J35" s="80">
        <f t="shared" si="10"/>
        <v>1095855</v>
      </c>
      <c r="K35" s="80">
        <f t="shared" si="10"/>
        <v>0</v>
      </c>
      <c r="L35" s="80">
        <f t="shared" si="10"/>
        <v>0</v>
      </c>
      <c r="M35" s="80">
        <f t="shared" si="10"/>
        <v>0</v>
      </c>
      <c r="N35" s="80">
        <f t="shared" si="10"/>
        <v>1095855</v>
      </c>
      <c r="O35" s="80">
        <f t="shared" si="10"/>
        <v>6907063</v>
      </c>
      <c r="P35" s="165"/>
    </row>
    <row r="36" spans="1:16" ht="17.25" customHeight="1" x14ac:dyDescent="0.25">
      <c r="A36" s="37" t="s">
        <v>49</v>
      </c>
      <c r="B36" s="37" t="s">
        <v>50</v>
      </c>
      <c r="C36" s="6" t="s">
        <v>512</v>
      </c>
      <c r="D36" s="49">
        <f>'дод 2'!E77</f>
        <v>295981344.63</v>
      </c>
      <c r="E36" s="49">
        <f>'дод 2'!F77</f>
        <v>295981344.63</v>
      </c>
      <c r="F36" s="49">
        <f>'дод 2'!G77</f>
        <v>205054200</v>
      </c>
      <c r="G36" s="49">
        <f>'дод 2'!H77</f>
        <v>24363307</v>
      </c>
      <c r="H36" s="49">
        <f>'дод 2'!I77</f>
        <v>0</v>
      </c>
      <c r="I36" s="49">
        <f>'дод 2'!J77</f>
        <v>12331180</v>
      </c>
      <c r="J36" s="49">
        <f>'дод 2'!K77</f>
        <v>571480</v>
      </c>
      <c r="K36" s="49">
        <f>'дод 2'!L77</f>
        <v>11759700</v>
      </c>
      <c r="L36" s="49">
        <f>'дод 2'!M77</f>
        <v>0</v>
      </c>
      <c r="M36" s="49">
        <f>'дод 2'!N77</f>
        <v>0</v>
      </c>
      <c r="N36" s="49">
        <f>'дод 2'!O77</f>
        <v>571480</v>
      </c>
      <c r="O36" s="49">
        <f>'дод 2'!P77</f>
        <v>308312524.63</v>
      </c>
    </row>
    <row r="37" spans="1:16" s="54" customFormat="1" ht="47.25" hidden="1" customHeight="1" x14ac:dyDescent="0.25">
      <c r="A37" s="82"/>
      <c r="B37" s="82"/>
      <c r="C37" s="83" t="s">
        <v>385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165"/>
    </row>
    <row r="38" spans="1:16" ht="38.25" customHeight="1" x14ac:dyDescent="0.25">
      <c r="A38" s="37">
        <v>1021</v>
      </c>
      <c r="B38" s="37" t="s">
        <v>52</v>
      </c>
      <c r="C38" s="61" t="s">
        <v>480</v>
      </c>
      <c r="D38" s="49">
        <f>'дод 2'!E78</f>
        <v>213253921</v>
      </c>
      <c r="E38" s="49">
        <f>'дод 2'!F78</f>
        <v>213253921</v>
      </c>
      <c r="F38" s="49">
        <f>'дод 2'!G78</f>
        <v>119662706</v>
      </c>
      <c r="G38" s="49">
        <f>'дод 2'!H78</f>
        <v>32280276</v>
      </c>
      <c r="H38" s="49">
        <f>'дод 2'!I78</f>
        <v>0</v>
      </c>
      <c r="I38" s="49">
        <f>'дод 2'!J78</f>
        <v>26170904</v>
      </c>
      <c r="J38" s="49">
        <f>'дод 2'!K78</f>
        <v>1040104</v>
      </c>
      <c r="K38" s="49">
        <f>'дод 2'!L78</f>
        <v>25130800</v>
      </c>
      <c r="L38" s="49">
        <f>'дод 2'!M78</f>
        <v>2268060</v>
      </c>
      <c r="M38" s="49">
        <f>'дод 2'!N78</f>
        <v>139890</v>
      </c>
      <c r="N38" s="49">
        <f>'дод 2'!O78</f>
        <v>1040104</v>
      </c>
      <c r="O38" s="49">
        <f>'дод 2'!P78</f>
        <v>239424825</v>
      </c>
      <c r="P38" s="191">
        <v>92</v>
      </c>
    </row>
    <row r="39" spans="1:16" s="54" customFormat="1" ht="63" hidden="1" customHeight="1" x14ac:dyDescent="0.25">
      <c r="A39" s="82"/>
      <c r="B39" s="82"/>
      <c r="C39" s="83" t="s">
        <v>389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191"/>
    </row>
    <row r="40" spans="1:16" s="54" customFormat="1" ht="47.25" hidden="1" customHeight="1" x14ac:dyDescent="0.25">
      <c r="A40" s="82"/>
      <c r="B40" s="82"/>
      <c r="C40" s="83" t="s">
        <v>386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191"/>
    </row>
    <row r="41" spans="1:16" s="54" customFormat="1" ht="47.25" hidden="1" customHeight="1" x14ac:dyDescent="0.25">
      <c r="A41" s="82"/>
      <c r="B41" s="82"/>
      <c r="C41" s="83" t="s">
        <v>388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191"/>
    </row>
    <row r="42" spans="1:16" s="54" customFormat="1" ht="47.25" hidden="1" customHeight="1" x14ac:dyDescent="0.25">
      <c r="A42" s="82"/>
      <c r="B42" s="82"/>
      <c r="C42" s="83" t="s">
        <v>385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191"/>
    </row>
    <row r="43" spans="1:16" s="54" customFormat="1" ht="31.5" hidden="1" customHeight="1" x14ac:dyDescent="0.25">
      <c r="A43" s="82"/>
      <c r="B43" s="82"/>
      <c r="C43" s="83" t="s">
        <v>391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191"/>
    </row>
    <row r="44" spans="1:16" s="54" customFormat="1" ht="63" hidden="1" customHeight="1" x14ac:dyDescent="0.25">
      <c r="A44" s="82"/>
      <c r="B44" s="82"/>
      <c r="C44" s="83" t="s">
        <v>387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191"/>
    </row>
    <row r="45" spans="1:16" ht="59.25" customHeight="1" x14ac:dyDescent="0.25">
      <c r="A45" s="37">
        <v>1022</v>
      </c>
      <c r="B45" s="60" t="s">
        <v>56</v>
      </c>
      <c r="C45" s="36" t="s">
        <v>482</v>
      </c>
      <c r="D45" s="49">
        <f>'дод 2'!E79</f>
        <v>14338277</v>
      </c>
      <c r="E45" s="49">
        <f>'дод 2'!F79</f>
        <v>14338277</v>
      </c>
      <c r="F45" s="49">
        <f>'дод 2'!G79</f>
        <v>8830500</v>
      </c>
      <c r="G45" s="49">
        <f>'дод 2'!H79</f>
        <v>1512107</v>
      </c>
      <c r="H45" s="49">
        <f>'дод 2'!I79</f>
        <v>0</v>
      </c>
      <c r="I45" s="49">
        <f>'дод 2'!J79</f>
        <v>153030</v>
      </c>
      <c r="J45" s="49">
        <f>'дод 2'!K79</f>
        <v>153030</v>
      </c>
      <c r="K45" s="49">
        <f>'дод 2'!L79</f>
        <v>0</v>
      </c>
      <c r="L45" s="49">
        <f>'дод 2'!M79</f>
        <v>0</v>
      </c>
      <c r="M45" s="49">
        <f>'дод 2'!N79</f>
        <v>0</v>
      </c>
      <c r="N45" s="49">
        <f>'дод 2'!O79</f>
        <v>153030</v>
      </c>
      <c r="O45" s="49">
        <f>'дод 2'!P79</f>
        <v>14491307</v>
      </c>
      <c r="P45" s="191"/>
    </row>
    <row r="46" spans="1:16" ht="63" hidden="1" customHeight="1" x14ac:dyDescent="0.25">
      <c r="A46" s="37"/>
      <c r="B46" s="37"/>
      <c r="C46" s="83" t="s">
        <v>389</v>
      </c>
      <c r="D46" s="49" t="e">
        <f>'дод 2'!#REF!</f>
        <v>#REF!</v>
      </c>
      <c r="E46" s="49" t="e">
        <f>'дод 2'!#REF!</f>
        <v>#REF!</v>
      </c>
      <c r="F46" s="49" t="e">
        <f>'дод 2'!#REF!</f>
        <v>#REF!</v>
      </c>
      <c r="G46" s="49" t="e">
        <f>'дод 2'!#REF!</f>
        <v>#REF!</v>
      </c>
      <c r="H46" s="49" t="e">
        <f>'дод 2'!#REF!</f>
        <v>#REF!</v>
      </c>
      <c r="I46" s="49" t="e">
        <f>'дод 2'!#REF!</f>
        <v>#REF!</v>
      </c>
      <c r="J46" s="49" t="e">
        <f>'дод 2'!#REF!</f>
        <v>#REF!</v>
      </c>
      <c r="K46" s="49" t="e">
        <f>'дод 2'!#REF!</f>
        <v>#REF!</v>
      </c>
      <c r="L46" s="49" t="e">
        <f>'дод 2'!#REF!</f>
        <v>#REF!</v>
      </c>
      <c r="M46" s="49" t="e">
        <f>'дод 2'!#REF!</f>
        <v>#REF!</v>
      </c>
      <c r="N46" s="49" t="e">
        <f>'дод 2'!#REF!</f>
        <v>#REF!</v>
      </c>
      <c r="O46" s="49" t="e">
        <f>'дод 2'!#REF!</f>
        <v>#REF!</v>
      </c>
      <c r="P46" s="191"/>
    </row>
    <row r="47" spans="1:16" s="54" customFormat="1" ht="35.25" customHeight="1" x14ac:dyDescent="0.25">
      <c r="A47" s="97">
        <v>1031</v>
      </c>
      <c r="B47" s="60" t="s">
        <v>52</v>
      </c>
      <c r="C47" s="61" t="s">
        <v>513</v>
      </c>
      <c r="D47" s="49">
        <f>'дод 2'!E80</f>
        <v>468962880</v>
      </c>
      <c r="E47" s="49">
        <f>'дод 2'!F80</f>
        <v>468962880</v>
      </c>
      <c r="F47" s="49">
        <f>'дод 2'!G80</f>
        <v>383296900</v>
      </c>
      <c r="G47" s="49">
        <f>'дод 2'!H80</f>
        <v>0</v>
      </c>
      <c r="H47" s="49">
        <f>'дод 2'!I80</f>
        <v>0</v>
      </c>
      <c r="I47" s="49">
        <f>'дод 2'!J80</f>
        <v>0</v>
      </c>
      <c r="J47" s="49">
        <f>'дод 2'!K80</f>
        <v>0</v>
      </c>
      <c r="K47" s="49">
        <f>'дод 2'!L80</f>
        <v>0</v>
      </c>
      <c r="L47" s="49">
        <f>'дод 2'!M80</f>
        <v>0</v>
      </c>
      <c r="M47" s="49">
        <f>'дод 2'!N80</f>
        <v>0</v>
      </c>
      <c r="N47" s="49">
        <f>'дод 2'!O80</f>
        <v>0</v>
      </c>
      <c r="O47" s="49">
        <f>'дод 2'!P80</f>
        <v>468962880</v>
      </c>
      <c r="P47" s="191"/>
    </row>
    <row r="48" spans="1:16" s="54" customFormat="1" ht="31.5" x14ac:dyDescent="0.25">
      <c r="A48" s="82"/>
      <c r="B48" s="82"/>
      <c r="C48" s="91" t="s">
        <v>391</v>
      </c>
      <c r="D48" s="84">
        <f>'дод 2'!E81</f>
        <v>466883500</v>
      </c>
      <c r="E48" s="84">
        <f>'дод 2'!F81</f>
        <v>466883500</v>
      </c>
      <c r="F48" s="84">
        <f>'дод 2'!G81</f>
        <v>383296900</v>
      </c>
      <c r="G48" s="84">
        <f>'дод 2'!H81</f>
        <v>0</v>
      </c>
      <c r="H48" s="84">
        <f>'дод 2'!I81</f>
        <v>0</v>
      </c>
      <c r="I48" s="84">
        <f>'дод 2'!J81</f>
        <v>0</v>
      </c>
      <c r="J48" s="84">
        <f>'дод 2'!K81</f>
        <v>0</v>
      </c>
      <c r="K48" s="84">
        <f>'дод 2'!L81</f>
        <v>0</v>
      </c>
      <c r="L48" s="84">
        <f>'дод 2'!M81</f>
        <v>0</v>
      </c>
      <c r="M48" s="84">
        <f>'дод 2'!N81</f>
        <v>0</v>
      </c>
      <c r="N48" s="84">
        <f>'дод 2'!O81</f>
        <v>0</v>
      </c>
      <c r="O48" s="84">
        <f>'дод 2'!P81</f>
        <v>466883500</v>
      </c>
      <c r="P48" s="191"/>
    </row>
    <row r="49" spans="1:16" ht="50.25" customHeight="1" x14ac:dyDescent="0.25">
      <c r="A49" s="37"/>
      <c r="B49" s="37"/>
      <c r="C49" s="91" t="s">
        <v>386</v>
      </c>
      <c r="D49" s="84">
        <f>'дод 2'!E82</f>
        <v>2079380</v>
      </c>
      <c r="E49" s="84">
        <f>'дод 2'!F82</f>
        <v>2079380</v>
      </c>
      <c r="F49" s="84">
        <f>'дод 2'!G82</f>
        <v>0</v>
      </c>
      <c r="G49" s="84">
        <f>'дод 2'!H82</f>
        <v>0</v>
      </c>
      <c r="H49" s="84">
        <f>'дод 2'!I82</f>
        <v>0</v>
      </c>
      <c r="I49" s="84">
        <f>'дод 2'!J82</f>
        <v>0</v>
      </c>
      <c r="J49" s="84">
        <f>'дод 2'!K82</f>
        <v>0</v>
      </c>
      <c r="K49" s="84">
        <f>'дод 2'!L82</f>
        <v>0</v>
      </c>
      <c r="L49" s="84">
        <f>'дод 2'!M82</f>
        <v>0</v>
      </c>
      <c r="M49" s="84">
        <f>'дод 2'!N82</f>
        <v>0</v>
      </c>
      <c r="N49" s="84">
        <f>'дод 2'!O82</f>
        <v>0</v>
      </c>
      <c r="O49" s="84">
        <f>'дод 2'!P82</f>
        <v>2079380</v>
      </c>
      <c r="P49" s="191"/>
    </row>
    <row r="50" spans="1:16" ht="63.75" customHeight="1" x14ac:dyDescent="0.25">
      <c r="A50" s="60" t="s">
        <v>485</v>
      </c>
      <c r="B50" s="60" t="s">
        <v>56</v>
      </c>
      <c r="C50" s="61" t="s">
        <v>514</v>
      </c>
      <c r="D50" s="49">
        <f>'дод 2'!E83</f>
        <v>15564500</v>
      </c>
      <c r="E50" s="49">
        <f>'дод 2'!F83</f>
        <v>15564500</v>
      </c>
      <c r="F50" s="49">
        <f>'дод 2'!G83</f>
        <v>12769100</v>
      </c>
      <c r="G50" s="49">
        <f>'дод 2'!H83</f>
        <v>0</v>
      </c>
      <c r="H50" s="49">
        <f>'дод 2'!I83</f>
        <v>0</v>
      </c>
      <c r="I50" s="49">
        <f>'дод 2'!J83</f>
        <v>0</v>
      </c>
      <c r="J50" s="49">
        <f>'дод 2'!K83</f>
        <v>0</v>
      </c>
      <c r="K50" s="49">
        <f>'дод 2'!L83</f>
        <v>0</v>
      </c>
      <c r="L50" s="49">
        <f>'дод 2'!M83</f>
        <v>0</v>
      </c>
      <c r="M50" s="49">
        <f>'дод 2'!N83</f>
        <v>0</v>
      </c>
      <c r="N50" s="49">
        <f>'дод 2'!O83</f>
        <v>0</v>
      </c>
      <c r="O50" s="49">
        <f>'дод 2'!P83</f>
        <v>15564500</v>
      </c>
      <c r="P50" s="191"/>
    </row>
    <row r="51" spans="1:16" ht="31.5" x14ac:dyDescent="0.25">
      <c r="A51" s="37"/>
      <c r="B51" s="37"/>
      <c r="C51" s="91" t="s">
        <v>391</v>
      </c>
      <c r="D51" s="84">
        <f>'дод 2'!E84</f>
        <v>15564500</v>
      </c>
      <c r="E51" s="84">
        <f>'дод 2'!F84</f>
        <v>15564500</v>
      </c>
      <c r="F51" s="84">
        <f>'дод 2'!G84</f>
        <v>12769100</v>
      </c>
      <c r="G51" s="84">
        <f>'дод 2'!H84</f>
        <v>0</v>
      </c>
      <c r="H51" s="84">
        <f>'дод 2'!I84</f>
        <v>0</v>
      </c>
      <c r="I51" s="84">
        <f>'дод 2'!J84</f>
        <v>0</v>
      </c>
      <c r="J51" s="84">
        <f>'дод 2'!K84</f>
        <v>0</v>
      </c>
      <c r="K51" s="84">
        <f>'дод 2'!L84</f>
        <v>0</v>
      </c>
      <c r="L51" s="84">
        <f>'дод 2'!M84</f>
        <v>0</v>
      </c>
      <c r="M51" s="84">
        <f>'дод 2'!N84</f>
        <v>0</v>
      </c>
      <c r="N51" s="84">
        <f>'дод 2'!O84</f>
        <v>0</v>
      </c>
      <c r="O51" s="84">
        <f>'дод 2'!P84</f>
        <v>15564500</v>
      </c>
      <c r="P51" s="191"/>
    </row>
    <row r="52" spans="1:16" ht="31.5" x14ac:dyDescent="0.25">
      <c r="A52" s="37">
        <v>1061</v>
      </c>
      <c r="B52" s="60" t="s">
        <v>52</v>
      </c>
      <c r="C52" s="36" t="s">
        <v>546</v>
      </c>
      <c r="D52" s="49">
        <f>'дод 2'!E85</f>
        <v>915009.6</v>
      </c>
      <c r="E52" s="49">
        <f>'дод 2'!F85</f>
        <v>915009.6</v>
      </c>
      <c r="F52" s="49">
        <f>'дод 2'!G85</f>
        <v>0</v>
      </c>
      <c r="G52" s="49">
        <f>'дод 2'!H85</f>
        <v>0</v>
      </c>
      <c r="H52" s="49">
        <f>'дод 2'!I85</f>
        <v>0</v>
      </c>
      <c r="I52" s="49">
        <f>'дод 2'!J85</f>
        <v>6142733.1799999997</v>
      </c>
      <c r="J52" s="49">
        <f>'дод 2'!K85</f>
        <v>6142733.1799999997</v>
      </c>
      <c r="K52" s="49">
        <f>'дод 2'!L85</f>
        <v>0</v>
      </c>
      <c r="L52" s="49">
        <f>'дод 2'!M85</f>
        <v>0</v>
      </c>
      <c r="M52" s="49">
        <f>'дод 2'!N85</f>
        <v>0</v>
      </c>
      <c r="N52" s="49">
        <f>'дод 2'!O85</f>
        <v>6142733.1799999997</v>
      </c>
      <c r="O52" s="49">
        <f>'дод 2'!P85</f>
        <v>7057742.7799999993</v>
      </c>
      <c r="P52" s="191"/>
    </row>
    <row r="53" spans="1:16" ht="48.75" customHeight="1" x14ac:dyDescent="0.25">
      <c r="A53" s="37"/>
      <c r="B53" s="60"/>
      <c r="C53" s="91" t="s">
        <v>558</v>
      </c>
      <c r="D53" s="84">
        <f>'дод 2'!E86</f>
        <v>246000</v>
      </c>
      <c r="E53" s="84">
        <f>'дод 2'!F86</f>
        <v>246000</v>
      </c>
      <c r="F53" s="84">
        <f>'дод 2'!G86</f>
        <v>0</v>
      </c>
      <c r="G53" s="84">
        <f>'дод 2'!H86</f>
        <v>0</v>
      </c>
      <c r="H53" s="84">
        <f>'дод 2'!I86</f>
        <v>0</v>
      </c>
      <c r="I53" s="84">
        <f>'дод 2'!J86</f>
        <v>1754000</v>
      </c>
      <c r="J53" s="84">
        <f>'дод 2'!K86</f>
        <v>1754000</v>
      </c>
      <c r="K53" s="84">
        <f>'дод 2'!L86</f>
        <v>0</v>
      </c>
      <c r="L53" s="84">
        <f>'дод 2'!M86</f>
        <v>0</v>
      </c>
      <c r="M53" s="84">
        <f>'дод 2'!N86</f>
        <v>0</v>
      </c>
      <c r="N53" s="84">
        <f>'дод 2'!O86</f>
        <v>1754000</v>
      </c>
      <c r="O53" s="84">
        <f>'дод 2'!P86</f>
        <v>2000000</v>
      </c>
      <c r="P53" s="191"/>
    </row>
    <row r="54" spans="1:16" s="54" customFormat="1" ht="32.25" customHeight="1" x14ac:dyDescent="0.25">
      <c r="A54" s="82"/>
      <c r="B54" s="88"/>
      <c r="C54" s="91" t="s">
        <v>555</v>
      </c>
      <c r="D54" s="84">
        <f>'дод 2'!E87</f>
        <v>669009.6</v>
      </c>
      <c r="E54" s="84">
        <f>'дод 2'!F87</f>
        <v>669009.6</v>
      </c>
      <c r="F54" s="84">
        <f>'дод 2'!G87</f>
        <v>0</v>
      </c>
      <c r="G54" s="84">
        <f>'дод 2'!H87</f>
        <v>0</v>
      </c>
      <c r="H54" s="84">
        <f>'дод 2'!I87</f>
        <v>0</v>
      </c>
      <c r="I54" s="84">
        <f>'дод 2'!J87</f>
        <v>4388733.18</v>
      </c>
      <c r="J54" s="84">
        <f>'дод 2'!K87</f>
        <v>4388733.18</v>
      </c>
      <c r="K54" s="84">
        <f>'дод 2'!L87</f>
        <v>0</v>
      </c>
      <c r="L54" s="84">
        <f>'дод 2'!M87</f>
        <v>0</v>
      </c>
      <c r="M54" s="84">
        <f>'дод 2'!N87</f>
        <v>0</v>
      </c>
      <c r="N54" s="84">
        <f>'дод 2'!O87</f>
        <v>4388733.18</v>
      </c>
      <c r="O54" s="84">
        <f>'дод 2'!P87</f>
        <v>5057742.7799999993</v>
      </c>
      <c r="P54" s="191"/>
    </row>
    <row r="55" spans="1:16" s="54" customFormat="1" ht="63" x14ac:dyDescent="0.25">
      <c r="A55" s="37">
        <v>1062</v>
      </c>
      <c r="B55" s="60" t="s">
        <v>56</v>
      </c>
      <c r="C55" s="61" t="s">
        <v>514</v>
      </c>
      <c r="D55" s="49">
        <f>'дод 2'!E88</f>
        <v>40000</v>
      </c>
      <c r="E55" s="49">
        <f>'дод 2'!F88</f>
        <v>40000</v>
      </c>
      <c r="F55" s="49">
        <f>'дод 2'!G88</f>
        <v>0</v>
      </c>
      <c r="G55" s="49">
        <f>'дод 2'!H88</f>
        <v>0</v>
      </c>
      <c r="H55" s="49">
        <f>'дод 2'!I88</f>
        <v>0</v>
      </c>
      <c r="I55" s="49">
        <f>'дод 2'!J88</f>
        <v>0</v>
      </c>
      <c r="J55" s="49">
        <f>'дод 2'!K88</f>
        <v>0</v>
      </c>
      <c r="K55" s="49">
        <f>'дод 2'!L88</f>
        <v>0</v>
      </c>
      <c r="L55" s="49">
        <f>'дод 2'!M88</f>
        <v>0</v>
      </c>
      <c r="M55" s="49">
        <f>'дод 2'!N88</f>
        <v>0</v>
      </c>
      <c r="N55" s="49">
        <f>'дод 2'!O88</f>
        <v>0</v>
      </c>
      <c r="O55" s="49">
        <f>'дод 2'!P88</f>
        <v>40000</v>
      </c>
      <c r="P55" s="191"/>
    </row>
    <row r="56" spans="1:16" s="54" customFormat="1" ht="32.25" customHeight="1" x14ac:dyDescent="0.25">
      <c r="A56" s="82"/>
      <c r="B56" s="88"/>
      <c r="C56" s="91" t="s">
        <v>555</v>
      </c>
      <c r="D56" s="84">
        <f>'дод 2'!E89</f>
        <v>40000</v>
      </c>
      <c r="E56" s="84">
        <f>'дод 2'!F89</f>
        <v>40000</v>
      </c>
      <c r="F56" s="84">
        <f>'дод 2'!G89</f>
        <v>0</v>
      </c>
      <c r="G56" s="84">
        <f>'дод 2'!H89</f>
        <v>0</v>
      </c>
      <c r="H56" s="84">
        <f>'дод 2'!I89</f>
        <v>0</v>
      </c>
      <c r="I56" s="84">
        <f>'дод 2'!J89</f>
        <v>0</v>
      </c>
      <c r="J56" s="84">
        <f>'дод 2'!K89</f>
        <v>0</v>
      </c>
      <c r="K56" s="84">
        <f>'дод 2'!L89</f>
        <v>0</v>
      </c>
      <c r="L56" s="84">
        <f>'дод 2'!M89</f>
        <v>0</v>
      </c>
      <c r="M56" s="84">
        <f>'дод 2'!N89</f>
        <v>0</v>
      </c>
      <c r="N56" s="84">
        <f>'дод 2'!O89</f>
        <v>0</v>
      </c>
      <c r="O56" s="84">
        <f>'дод 2'!P89</f>
        <v>40000</v>
      </c>
      <c r="P56" s="191"/>
    </row>
    <row r="57" spans="1:16" s="54" customFormat="1" ht="38.25" customHeight="1" x14ac:dyDescent="0.25">
      <c r="A57" s="60" t="s">
        <v>55</v>
      </c>
      <c r="B57" s="60" t="s">
        <v>58</v>
      </c>
      <c r="C57" s="61" t="s">
        <v>367</v>
      </c>
      <c r="D57" s="49">
        <f>'дод 2'!E90</f>
        <v>35044945</v>
      </c>
      <c r="E57" s="49">
        <f>'дод 2'!F90</f>
        <v>35044945</v>
      </c>
      <c r="F57" s="49">
        <f>'дод 2'!G90</f>
        <v>25836800</v>
      </c>
      <c r="G57" s="49">
        <f>'дод 2'!H90</f>
        <v>2805445</v>
      </c>
      <c r="H57" s="49">
        <f>'дод 2'!I90</f>
        <v>0</v>
      </c>
      <c r="I57" s="49">
        <f>'дод 2'!J90</f>
        <v>112500</v>
      </c>
      <c r="J57" s="49">
        <f>'дод 2'!K90</f>
        <v>112500</v>
      </c>
      <c r="K57" s="49">
        <f>'дод 2'!L90</f>
        <v>0</v>
      </c>
      <c r="L57" s="49">
        <f>'дод 2'!M90</f>
        <v>0</v>
      </c>
      <c r="M57" s="49">
        <f>'дод 2'!N90</f>
        <v>0</v>
      </c>
      <c r="N57" s="49">
        <f>'дод 2'!O90</f>
        <v>112500</v>
      </c>
      <c r="O57" s="49">
        <f>'дод 2'!P90</f>
        <v>35157445</v>
      </c>
      <c r="P57" s="191"/>
    </row>
    <row r="58" spans="1:16" s="54" customFormat="1" ht="16.5" customHeight="1" x14ac:dyDescent="0.25">
      <c r="A58" s="97">
        <v>1080</v>
      </c>
      <c r="B58" s="60" t="s">
        <v>58</v>
      </c>
      <c r="C58" s="61" t="s">
        <v>519</v>
      </c>
      <c r="D58" s="49">
        <f>'дод 2'!E207</f>
        <v>50948015</v>
      </c>
      <c r="E58" s="49">
        <f>'дод 2'!F207</f>
        <v>50948015</v>
      </c>
      <c r="F58" s="49">
        <f>'дод 2'!G207</f>
        <v>40594000</v>
      </c>
      <c r="G58" s="49">
        <f>'дод 2'!H207</f>
        <v>777815</v>
      </c>
      <c r="H58" s="49">
        <f>'дод 2'!I207</f>
        <v>0</v>
      </c>
      <c r="I58" s="49">
        <f>'дод 2'!J207</f>
        <v>2729100</v>
      </c>
      <c r="J58" s="49">
        <f>'дод 2'!K207</f>
        <v>0</v>
      </c>
      <c r="K58" s="49">
        <f>'дод 2'!L207</f>
        <v>2725970</v>
      </c>
      <c r="L58" s="49">
        <f>'дод 2'!M207</f>
        <v>2226904</v>
      </c>
      <c r="M58" s="49">
        <f>'дод 2'!N207</f>
        <v>0</v>
      </c>
      <c r="N58" s="49">
        <f>'дод 2'!O207</f>
        <v>3130</v>
      </c>
      <c r="O58" s="49">
        <f>'дод 2'!P207</f>
        <v>53677115</v>
      </c>
      <c r="P58" s="191"/>
    </row>
    <row r="59" spans="1:16" s="54" customFormat="1" ht="21" customHeight="1" x14ac:dyDescent="0.25">
      <c r="A59" s="60" t="s">
        <v>488</v>
      </c>
      <c r="B59" s="60" t="s">
        <v>59</v>
      </c>
      <c r="C59" s="36" t="s">
        <v>520</v>
      </c>
      <c r="D59" s="49">
        <f>'дод 2'!E91</f>
        <v>11387250</v>
      </c>
      <c r="E59" s="49">
        <f>'дод 2'!F91</f>
        <v>11387250</v>
      </c>
      <c r="F59" s="49">
        <f>'дод 2'!G91</f>
        <v>8331500</v>
      </c>
      <c r="G59" s="49">
        <f>'дод 2'!H91</f>
        <v>585250</v>
      </c>
      <c r="H59" s="49">
        <f>'дод 2'!I91</f>
        <v>0</v>
      </c>
      <c r="I59" s="49">
        <f>'дод 2'!J91</f>
        <v>0</v>
      </c>
      <c r="J59" s="49">
        <f>'дод 2'!K91</f>
        <v>0</v>
      </c>
      <c r="K59" s="49">
        <f>'дод 2'!L91</f>
        <v>0</v>
      </c>
      <c r="L59" s="49">
        <f>'дод 2'!M91</f>
        <v>0</v>
      </c>
      <c r="M59" s="49">
        <f>'дод 2'!N91</f>
        <v>0</v>
      </c>
      <c r="N59" s="49">
        <f>'дод 2'!O91</f>
        <v>0</v>
      </c>
      <c r="O59" s="49">
        <f>'дод 2'!P91</f>
        <v>11387250</v>
      </c>
      <c r="P59" s="191"/>
    </row>
    <row r="60" spans="1:16" x14ac:dyDescent="0.25">
      <c r="A60" s="60" t="s">
        <v>490</v>
      </c>
      <c r="B60" s="60" t="s">
        <v>59</v>
      </c>
      <c r="C60" s="36" t="s">
        <v>283</v>
      </c>
      <c r="D60" s="49">
        <f>'дод 2'!E92</f>
        <v>113000</v>
      </c>
      <c r="E60" s="49">
        <f>'дод 2'!F92</f>
        <v>113000</v>
      </c>
      <c r="F60" s="49">
        <f>'дод 2'!G92</f>
        <v>0</v>
      </c>
      <c r="G60" s="49">
        <f>'дод 2'!H92</f>
        <v>0</v>
      </c>
      <c r="H60" s="49">
        <f>'дод 2'!I92</f>
        <v>0</v>
      </c>
      <c r="I60" s="49">
        <f>'дод 2'!J92</f>
        <v>0</v>
      </c>
      <c r="J60" s="49">
        <f>'дод 2'!K92</f>
        <v>0</v>
      </c>
      <c r="K60" s="49">
        <f>'дод 2'!L92</f>
        <v>0</v>
      </c>
      <c r="L60" s="49">
        <f>'дод 2'!M92</f>
        <v>0</v>
      </c>
      <c r="M60" s="49">
        <f>'дод 2'!N92</f>
        <v>0</v>
      </c>
      <c r="N60" s="49">
        <f>'дод 2'!O92</f>
        <v>0</v>
      </c>
      <c r="O60" s="49">
        <f>'дод 2'!P92</f>
        <v>113000</v>
      </c>
      <c r="P60" s="191"/>
    </row>
    <row r="61" spans="1:16" ht="31.5" x14ac:dyDescent="0.25">
      <c r="A61" s="60" t="s">
        <v>492</v>
      </c>
      <c r="B61" s="60" t="s">
        <v>59</v>
      </c>
      <c r="C61" s="61" t="s">
        <v>493</v>
      </c>
      <c r="D61" s="49">
        <f>'дод 2'!E93</f>
        <v>445933</v>
      </c>
      <c r="E61" s="49">
        <f>'дод 2'!F93</f>
        <v>445933</v>
      </c>
      <c r="F61" s="49">
        <f>'дод 2'!G93</f>
        <v>266200</v>
      </c>
      <c r="G61" s="49">
        <f>'дод 2'!H93</f>
        <v>66733</v>
      </c>
      <c r="H61" s="49">
        <f>'дод 2'!I93</f>
        <v>0</v>
      </c>
      <c r="I61" s="49">
        <f>'дод 2'!J93</f>
        <v>0</v>
      </c>
      <c r="J61" s="49">
        <f>'дод 2'!K93</f>
        <v>0</v>
      </c>
      <c r="K61" s="49">
        <f>'дод 2'!L93</f>
        <v>0</v>
      </c>
      <c r="L61" s="49">
        <f>'дод 2'!M93</f>
        <v>0</v>
      </c>
      <c r="M61" s="49">
        <f>'дод 2'!N93</f>
        <v>0</v>
      </c>
      <c r="N61" s="49">
        <f>'дод 2'!O93</f>
        <v>0</v>
      </c>
      <c r="O61" s="49">
        <f>'дод 2'!P93</f>
        <v>445933</v>
      </c>
      <c r="P61" s="191"/>
    </row>
    <row r="62" spans="1:16" ht="36.75" customHeight="1" x14ac:dyDescent="0.25">
      <c r="A62" s="60" t="s">
        <v>495</v>
      </c>
      <c r="B62" s="60" t="s">
        <v>59</v>
      </c>
      <c r="C62" s="61" t="s">
        <v>521</v>
      </c>
      <c r="D62" s="49">
        <f>'дод 2'!E94</f>
        <v>1499036</v>
      </c>
      <c r="E62" s="49">
        <f>'дод 2'!F94</f>
        <v>1499036</v>
      </c>
      <c r="F62" s="49">
        <f>'дод 2'!G94</f>
        <v>1228720</v>
      </c>
      <c r="G62" s="49">
        <f>'дод 2'!H94</f>
        <v>0</v>
      </c>
      <c r="H62" s="49">
        <f>'дод 2'!I94</f>
        <v>0</v>
      </c>
      <c r="I62" s="49">
        <f>'дод 2'!J94</f>
        <v>0</v>
      </c>
      <c r="J62" s="49">
        <f>'дод 2'!K94</f>
        <v>0</v>
      </c>
      <c r="K62" s="49">
        <f>'дод 2'!L94</f>
        <v>0</v>
      </c>
      <c r="L62" s="49">
        <f>'дод 2'!M94</f>
        <v>0</v>
      </c>
      <c r="M62" s="49">
        <f>'дод 2'!N94</f>
        <v>0</v>
      </c>
      <c r="N62" s="49">
        <f>'дод 2'!O94</f>
        <v>0</v>
      </c>
      <c r="O62" s="49">
        <f>'дод 2'!P94</f>
        <v>1499036</v>
      </c>
      <c r="P62" s="191"/>
    </row>
    <row r="63" spans="1:16" ht="49.5" customHeight="1" x14ac:dyDescent="0.25">
      <c r="A63" s="37"/>
      <c r="B63" s="37"/>
      <c r="C63" s="91" t="s">
        <v>386</v>
      </c>
      <c r="D63" s="84">
        <f>'дод 2'!E95</f>
        <v>1499036</v>
      </c>
      <c r="E63" s="84">
        <f>'дод 2'!F95</f>
        <v>1499036</v>
      </c>
      <c r="F63" s="84">
        <f>'дод 2'!G95</f>
        <v>1228720</v>
      </c>
      <c r="G63" s="84">
        <f>'дод 2'!H95</f>
        <v>0</v>
      </c>
      <c r="H63" s="84">
        <f>'дод 2'!I95</f>
        <v>0</v>
      </c>
      <c r="I63" s="84">
        <f>'дод 2'!J95</f>
        <v>0</v>
      </c>
      <c r="J63" s="84">
        <f>'дод 2'!K95</f>
        <v>0</v>
      </c>
      <c r="K63" s="84">
        <f>'дод 2'!L95</f>
        <v>0</v>
      </c>
      <c r="L63" s="84">
        <f>'дод 2'!M95</f>
        <v>0</v>
      </c>
      <c r="M63" s="84">
        <f>'дод 2'!N95</f>
        <v>0</v>
      </c>
      <c r="N63" s="84">
        <f>'дод 2'!O95</f>
        <v>0</v>
      </c>
      <c r="O63" s="84">
        <f>'дод 2'!P95</f>
        <v>1499036</v>
      </c>
      <c r="P63" s="191"/>
    </row>
    <row r="64" spans="1:16" s="54" customFormat="1" ht="31.5" x14ac:dyDescent="0.25">
      <c r="A64" s="60" t="s">
        <v>497</v>
      </c>
      <c r="B64" s="60" t="str">
        <f>'дод 5'!A20</f>
        <v>0160</v>
      </c>
      <c r="C64" s="61" t="s">
        <v>498</v>
      </c>
      <c r="D64" s="49">
        <f>'дод 2'!E96</f>
        <v>2521377</v>
      </c>
      <c r="E64" s="49">
        <f>'дод 2'!F96</f>
        <v>2521377</v>
      </c>
      <c r="F64" s="49">
        <f>'дод 2'!G96</f>
        <v>1880000</v>
      </c>
      <c r="G64" s="49">
        <f>'дод 2'!H96</f>
        <v>92977</v>
      </c>
      <c r="H64" s="49">
        <f>'дод 2'!I96</f>
        <v>0</v>
      </c>
      <c r="I64" s="49">
        <f>'дод 2'!J96</f>
        <v>50000</v>
      </c>
      <c r="J64" s="49">
        <f>'дод 2'!K96</f>
        <v>50000</v>
      </c>
      <c r="K64" s="49">
        <f>'дод 2'!L96</f>
        <v>0</v>
      </c>
      <c r="L64" s="49">
        <f>'дод 2'!M96</f>
        <v>0</v>
      </c>
      <c r="M64" s="49">
        <f>'дод 2'!N96</f>
        <v>0</v>
      </c>
      <c r="N64" s="49">
        <f>'дод 2'!O96</f>
        <v>50000</v>
      </c>
      <c r="O64" s="49">
        <f>'дод 2'!P96</f>
        <v>2571377</v>
      </c>
      <c r="P64" s="191"/>
    </row>
    <row r="65" spans="1:16" s="54" customFormat="1" ht="63" x14ac:dyDescent="0.25">
      <c r="A65" s="60" t="s">
        <v>586</v>
      </c>
      <c r="B65" s="60" t="s">
        <v>59</v>
      </c>
      <c r="C65" s="61" t="s">
        <v>590</v>
      </c>
      <c r="D65" s="49">
        <f>'дод 2'!E97</f>
        <v>0</v>
      </c>
      <c r="E65" s="49">
        <f>'дод 2'!F97</f>
        <v>0</v>
      </c>
      <c r="F65" s="49">
        <f>'дод 2'!G97</f>
        <v>0</v>
      </c>
      <c r="G65" s="49">
        <f>'дод 2'!H97</f>
        <v>0</v>
      </c>
      <c r="H65" s="49">
        <f>'дод 2'!I97</f>
        <v>0</v>
      </c>
      <c r="I65" s="49">
        <f>'дод 2'!J97</f>
        <v>1610670</v>
      </c>
      <c r="J65" s="49">
        <f>'дод 2'!K97</f>
        <v>1610670</v>
      </c>
      <c r="K65" s="49">
        <f>'дод 2'!L97</f>
        <v>0</v>
      </c>
      <c r="L65" s="49">
        <f>'дод 2'!M97</f>
        <v>0</v>
      </c>
      <c r="M65" s="49">
        <f>'дод 2'!N97</f>
        <v>0</v>
      </c>
      <c r="N65" s="49">
        <f>'дод 2'!O97</f>
        <v>1610670</v>
      </c>
      <c r="O65" s="49">
        <f>'дод 2'!P97</f>
        <v>1610670</v>
      </c>
      <c r="P65" s="191"/>
    </row>
    <row r="66" spans="1:16" s="54" customFormat="1" ht="48" customHeight="1" x14ac:dyDescent="0.25">
      <c r="A66" s="60" t="s">
        <v>574</v>
      </c>
      <c r="B66" s="60" t="s">
        <v>59</v>
      </c>
      <c r="C66" s="61" t="s">
        <v>576</v>
      </c>
      <c r="D66" s="103">
        <f>'дод 2'!E98</f>
        <v>287772</v>
      </c>
      <c r="E66" s="103">
        <f>'дод 2'!F98</f>
        <v>287772</v>
      </c>
      <c r="F66" s="103">
        <f>'дод 2'!G98</f>
        <v>0</v>
      </c>
      <c r="G66" s="103">
        <f>'дод 2'!H98</f>
        <v>0</v>
      </c>
      <c r="H66" s="103">
        <f>'дод 2'!I98</f>
        <v>0</v>
      </c>
      <c r="I66" s="103">
        <f>'дод 2'!J98</f>
        <v>2859726</v>
      </c>
      <c r="J66" s="103">
        <f>'дод 2'!K98</f>
        <v>2859726</v>
      </c>
      <c r="K66" s="103">
        <f>'дод 2'!L98</f>
        <v>0</v>
      </c>
      <c r="L66" s="103">
        <f>'дод 2'!M98</f>
        <v>0</v>
      </c>
      <c r="M66" s="103">
        <f>'дод 2'!N98</f>
        <v>0</v>
      </c>
      <c r="N66" s="103">
        <f>'дод 2'!O98</f>
        <v>2859726</v>
      </c>
      <c r="O66" s="103">
        <f>'дод 2'!P98</f>
        <v>3147498</v>
      </c>
      <c r="P66" s="191"/>
    </row>
    <row r="67" spans="1:16" s="54" customFormat="1" ht="47.25" x14ac:dyDescent="0.25">
      <c r="A67" s="88"/>
      <c r="B67" s="88"/>
      <c r="C67" s="91" t="s">
        <v>432</v>
      </c>
      <c r="D67" s="105">
        <f>'дод 2'!E99</f>
        <v>287772</v>
      </c>
      <c r="E67" s="105">
        <f>'дод 2'!F99</f>
        <v>287772</v>
      </c>
      <c r="F67" s="105">
        <f>'дод 2'!G99</f>
        <v>0</v>
      </c>
      <c r="G67" s="105">
        <f>'дод 2'!H99</f>
        <v>0</v>
      </c>
      <c r="H67" s="105">
        <f>'дод 2'!I99</f>
        <v>0</v>
      </c>
      <c r="I67" s="105">
        <f>'дод 2'!J99</f>
        <v>2859726</v>
      </c>
      <c r="J67" s="105">
        <f>'дод 2'!K99</f>
        <v>2859726</v>
      </c>
      <c r="K67" s="105">
        <f>'дод 2'!L99</f>
        <v>0</v>
      </c>
      <c r="L67" s="105">
        <f>'дод 2'!M99</f>
        <v>0</v>
      </c>
      <c r="M67" s="105">
        <f>'дод 2'!N99</f>
        <v>0</v>
      </c>
      <c r="N67" s="105">
        <f>'дод 2'!O99</f>
        <v>2859726</v>
      </c>
      <c r="O67" s="105">
        <f>'дод 2'!P99</f>
        <v>3147498</v>
      </c>
      <c r="P67" s="191"/>
    </row>
    <row r="68" spans="1:16" s="54" customFormat="1" ht="63" x14ac:dyDescent="0.25">
      <c r="A68" s="60" t="s">
        <v>588</v>
      </c>
      <c r="B68" s="60" t="s">
        <v>59</v>
      </c>
      <c r="C68" s="61" t="s">
        <v>589</v>
      </c>
      <c r="D68" s="103">
        <f>'дод 2'!E100</f>
        <v>1800286</v>
      </c>
      <c r="E68" s="103">
        <f>'дод 2'!F100</f>
        <v>1800286</v>
      </c>
      <c r="F68" s="103">
        <f>'дод 2'!G100</f>
        <v>0</v>
      </c>
      <c r="G68" s="103">
        <f>'дод 2'!H100</f>
        <v>0</v>
      </c>
      <c r="H68" s="103">
        <f>'дод 2'!I100</f>
        <v>0</v>
      </c>
      <c r="I68" s="103">
        <f>'дод 2'!J100</f>
        <v>417966</v>
      </c>
      <c r="J68" s="103">
        <f>'дод 2'!K100</f>
        <v>417966</v>
      </c>
      <c r="K68" s="103">
        <f>'дод 2'!L100</f>
        <v>0</v>
      </c>
      <c r="L68" s="103">
        <f>'дод 2'!M100</f>
        <v>0</v>
      </c>
      <c r="M68" s="103">
        <f>'дод 2'!N100</f>
        <v>0</v>
      </c>
      <c r="N68" s="103">
        <f>'дод 2'!O100</f>
        <v>417966</v>
      </c>
      <c r="O68" s="103">
        <f>'дод 2'!P100</f>
        <v>2218252</v>
      </c>
      <c r="P68" s="191"/>
    </row>
    <row r="69" spans="1:16" s="54" customFormat="1" ht="52.5" customHeight="1" x14ac:dyDescent="0.25">
      <c r="A69" s="60" t="s">
        <v>575</v>
      </c>
      <c r="B69" s="60" t="s">
        <v>59</v>
      </c>
      <c r="C69" s="61" t="s">
        <v>577</v>
      </c>
      <c r="D69" s="49">
        <f>'дод 2'!E101</f>
        <v>5811208</v>
      </c>
      <c r="E69" s="49">
        <f>'дод 2'!F101</f>
        <v>5811208</v>
      </c>
      <c r="F69" s="49">
        <f>'дод 2'!G101</f>
        <v>0</v>
      </c>
      <c r="G69" s="49">
        <f>'дод 2'!H101</f>
        <v>0</v>
      </c>
      <c r="H69" s="49">
        <f>'дод 2'!I101</f>
        <v>0</v>
      </c>
      <c r="I69" s="49">
        <f>'дод 2'!J101</f>
        <v>1095855</v>
      </c>
      <c r="J69" s="49">
        <f>'дод 2'!K101</f>
        <v>1095855</v>
      </c>
      <c r="K69" s="49">
        <f>'дод 2'!L101</f>
        <v>0</v>
      </c>
      <c r="L69" s="49">
        <f>'дод 2'!M101</f>
        <v>0</v>
      </c>
      <c r="M69" s="49">
        <f>'дод 2'!N101</f>
        <v>0</v>
      </c>
      <c r="N69" s="49">
        <f>'дод 2'!O101</f>
        <v>1095855</v>
      </c>
      <c r="O69" s="49">
        <f>'дод 2'!P101</f>
        <v>6907063</v>
      </c>
      <c r="P69" s="191">
        <v>93</v>
      </c>
    </row>
    <row r="70" spans="1:16" s="54" customFormat="1" ht="68.25" customHeight="1" x14ac:dyDescent="0.25">
      <c r="A70" s="88"/>
      <c r="B70" s="88"/>
      <c r="C70" s="91" t="s">
        <v>578</v>
      </c>
      <c r="D70" s="84">
        <f>'дод 2'!E102</f>
        <v>5811208</v>
      </c>
      <c r="E70" s="84">
        <f>'дод 2'!F102</f>
        <v>5811208</v>
      </c>
      <c r="F70" s="84">
        <f>'дод 2'!G102</f>
        <v>0</v>
      </c>
      <c r="G70" s="84">
        <f>'дод 2'!H102</f>
        <v>0</v>
      </c>
      <c r="H70" s="84">
        <f>'дод 2'!I102</f>
        <v>0</v>
      </c>
      <c r="I70" s="84">
        <f>'дод 2'!J102</f>
        <v>1095855</v>
      </c>
      <c r="J70" s="84">
        <f>'дод 2'!K102</f>
        <v>1095855</v>
      </c>
      <c r="K70" s="84">
        <f>'дод 2'!L102</f>
        <v>0</v>
      </c>
      <c r="L70" s="84">
        <f>'дод 2'!M102</f>
        <v>0</v>
      </c>
      <c r="M70" s="84">
        <f>'дод 2'!N102</f>
        <v>0</v>
      </c>
      <c r="N70" s="84">
        <f>'дод 2'!O102</f>
        <v>1095855</v>
      </c>
      <c r="O70" s="84">
        <f>'дод 2'!P102</f>
        <v>6907063</v>
      </c>
      <c r="P70" s="191"/>
    </row>
    <row r="71" spans="1:16" s="54" customFormat="1" ht="63" x14ac:dyDescent="0.25">
      <c r="A71" s="60" t="s">
        <v>500</v>
      </c>
      <c r="B71" s="60" t="s">
        <v>59</v>
      </c>
      <c r="C71" s="98" t="s">
        <v>522</v>
      </c>
      <c r="D71" s="49">
        <f>'дод 2'!E103</f>
        <v>2612700</v>
      </c>
      <c r="E71" s="49">
        <f>'дод 2'!F103</f>
        <v>2612700</v>
      </c>
      <c r="F71" s="49">
        <f>'дод 2'!G103</f>
        <v>1459720</v>
      </c>
      <c r="G71" s="49">
        <f>'дод 2'!H103</f>
        <v>0</v>
      </c>
      <c r="H71" s="49">
        <f>'дод 2'!I103</f>
        <v>0</v>
      </c>
      <c r="I71" s="49">
        <f>'дод 2'!J103</f>
        <v>72000</v>
      </c>
      <c r="J71" s="49">
        <f>'дод 2'!K103</f>
        <v>72000</v>
      </c>
      <c r="K71" s="49">
        <f>'дод 2'!L103</f>
        <v>0</v>
      </c>
      <c r="L71" s="49">
        <f>'дод 2'!M103</f>
        <v>0</v>
      </c>
      <c r="M71" s="49">
        <f>'дод 2'!N103</f>
        <v>0</v>
      </c>
      <c r="N71" s="49">
        <f>'дод 2'!O103</f>
        <v>72000</v>
      </c>
      <c r="O71" s="49">
        <f>'дод 2'!P103</f>
        <v>2684700</v>
      </c>
      <c r="P71" s="191"/>
    </row>
    <row r="72" spans="1:16" s="54" customFormat="1" ht="50.25" customHeight="1" x14ac:dyDescent="0.25">
      <c r="A72" s="60"/>
      <c r="B72" s="60"/>
      <c r="C72" s="91" t="s">
        <v>385</v>
      </c>
      <c r="D72" s="84">
        <f>'дод 2'!E104</f>
        <v>2612700</v>
      </c>
      <c r="E72" s="84">
        <f>'дод 2'!F104</f>
        <v>2612700</v>
      </c>
      <c r="F72" s="84">
        <f>'дод 2'!G104</f>
        <v>1459720</v>
      </c>
      <c r="G72" s="84">
        <f>'дод 2'!H104</f>
        <v>0</v>
      </c>
      <c r="H72" s="84">
        <f>'дод 2'!I104</f>
        <v>0</v>
      </c>
      <c r="I72" s="84">
        <f>'дод 2'!J104</f>
        <v>72000</v>
      </c>
      <c r="J72" s="84">
        <f>'дод 2'!K104</f>
        <v>72000</v>
      </c>
      <c r="K72" s="84">
        <f>'дод 2'!L104</f>
        <v>0</v>
      </c>
      <c r="L72" s="84">
        <f>'дод 2'!M104</f>
        <v>0</v>
      </c>
      <c r="M72" s="84">
        <f>'дод 2'!N104</f>
        <v>0</v>
      </c>
      <c r="N72" s="84">
        <f>'дод 2'!O104</f>
        <v>72000</v>
      </c>
      <c r="O72" s="84">
        <f>'дод 2'!P104</f>
        <v>2684700</v>
      </c>
      <c r="P72" s="191"/>
    </row>
    <row r="73" spans="1:16" s="54" customFormat="1" ht="63" x14ac:dyDescent="0.25">
      <c r="A73" s="60" t="s">
        <v>538</v>
      </c>
      <c r="B73" s="60" t="s">
        <v>59</v>
      </c>
      <c r="C73" s="36" t="s">
        <v>536</v>
      </c>
      <c r="D73" s="49">
        <f>'дод 2'!E105</f>
        <v>1174231</v>
      </c>
      <c r="E73" s="49">
        <f>'дод 2'!F105</f>
        <v>1174231</v>
      </c>
      <c r="F73" s="49">
        <f>'дод 2'!G105</f>
        <v>962484</v>
      </c>
      <c r="G73" s="49">
        <f>'дод 2'!H105</f>
        <v>0</v>
      </c>
      <c r="H73" s="49">
        <f>'дод 2'!I105</f>
        <v>0</v>
      </c>
      <c r="I73" s="49">
        <f>'дод 2'!J105</f>
        <v>0</v>
      </c>
      <c r="J73" s="49">
        <f>'дод 2'!K105</f>
        <v>0</v>
      </c>
      <c r="K73" s="49">
        <f>'дод 2'!L105</f>
        <v>0</v>
      </c>
      <c r="L73" s="49">
        <f>'дод 2'!M105</f>
        <v>0</v>
      </c>
      <c r="M73" s="49">
        <f>'дод 2'!N105</f>
        <v>0</v>
      </c>
      <c r="N73" s="49">
        <f>'дод 2'!O105</f>
        <v>0</v>
      </c>
      <c r="O73" s="49">
        <f>'дод 2'!P105</f>
        <v>1174231</v>
      </c>
      <c r="P73" s="191"/>
    </row>
    <row r="74" spans="1:16" s="54" customFormat="1" ht="63" x14ac:dyDescent="0.25">
      <c r="A74" s="60"/>
      <c r="B74" s="60"/>
      <c r="C74" s="91" t="s">
        <v>537</v>
      </c>
      <c r="D74" s="84">
        <f>'дод 2'!E106</f>
        <v>1174231</v>
      </c>
      <c r="E74" s="84">
        <f>'дод 2'!F106</f>
        <v>1174231</v>
      </c>
      <c r="F74" s="84">
        <f>'дод 2'!G106</f>
        <v>962484</v>
      </c>
      <c r="G74" s="84">
        <f>'дод 2'!H106</f>
        <v>0</v>
      </c>
      <c r="H74" s="84">
        <f>'дод 2'!I106</f>
        <v>0</v>
      </c>
      <c r="I74" s="84">
        <f>'дод 2'!J106</f>
        <v>0</v>
      </c>
      <c r="J74" s="84">
        <f>'дод 2'!K106</f>
        <v>0</v>
      </c>
      <c r="K74" s="84">
        <f>'дод 2'!L106</f>
        <v>0</v>
      </c>
      <c r="L74" s="84">
        <f>'дод 2'!M106</f>
        <v>0</v>
      </c>
      <c r="M74" s="84">
        <f>'дод 2'!N106</f>
        <v>0</v>
      </c>
      <c r="N74" s="84">
        <f>'дод 2'!O106</f>
        <v>0</v>
      </c>
      <c r="O74" s="84">
        <f>'дод 2'!P106</f>
        <v>1174231</v>
      </c>
      <c r="P74" s="191"/>
    </row>
    <row r="75" spans="1:16" s="52" customFormat="1" ht="19.5" customHeight="1" x14ac:dyDescent="0.25">
      <c r="A75" s="38" t="s">
        <v>60</v>
      </c>
      <c r="B75" s="39"/>
      <c r="C75" s="9" t="s">
        <v>539</v>
      </c>
      <c r="D75" s="48">
        <f>D80+D85+D87+D89+D91+D94+D95+D84</f>
        <v>88080791.400000006</v>
      </c>
      <c r="E75" s="48">
        <f t="shared" ref="E75:O75" si="11">E80+E85+E87+E89+E91+E94+E95+E84</f>
        <v>88080791.400000006</v>
      </c>
      <c r="F75" s="48">
        <f t="shared" si="11"/>
        <v>2387600</v>
      </c>
      <c r="G75" s="48">
        <f t="shared" si="11"/>
        <v>61784</v>
      </c>
      <c r="H75" s="48">
        <f t="shared" si="11"/>
        <v>0</v>
      </c>
      <c r="I75" s="48">
        <f t="shared" si="11"/>
        <v>66962036.82</v>
      </c>
      <c r="J75" s="48">
        <f t="shared" si="11"/>
        <v>66962036.82</v>
      </c>
      <c r="K75" s="48">
        <f t="shared" si="11"/>
        <v>0</v>
      </c>
      <c r="L75" s="48">
        <f t="shared" si="11"/>
        <v>0</v>
      </c>
      <c r="M75" s="48">
        <f t="shared" si="11"/>
        <v>0</v>
      </c>
      <c r="N75" s="48">
        <f t="shared" si="11"/>
        <v>66962036.82</v>
      </c>
      <c r="O75" s="48">
        <f t="shared" si="11"/>
        <v>155042828.22</v>
      </c>
      <c r="P75" s="191"/>
    </row>
    <row r="76" spans="1:16" s="53" customFormat="1" ht="31.5" hidden="1" customHeight="1" x14ac:dyDescent="0.25">
      <c r="A76" s="75"/>
      <c r="B76" s="78"/>
      <c r="C76" s="79" t="s">
        <v>392</v>
      </c>
      <c r="D76" s="80">
        <f>D81+D86+D88</f>
        <v>0</v>
      </c>
      <c r="E76" s="80">
        <f t="shared" ref="E76:O76" si="12">E81+E86+E88</f>
        <v>0</v>
      </c>
      <c r="F76" s="80">
        <f t="shared" si="12"/>
        <v>0</v>
      </c>
      <c r="G76" s="80">
        <f t="shared" si="12"/>
        <v>0</v>
      </c>
      <c r="H76" s="80">
        <f t="shared" si="12"/>
        <v>0</v>
      </c>
      <c r="I76" s="80">
        <f t="shared" si="12"/>
        <v>0</v>
      </c>
      <c r="J76" s="80">
        <f t="shared" si="12"/>
        <v>0</v>
      </c>
      <c r="K76" s="80">
        <f t="shared" si="12"/>
        <v>0</v>
      </c>
      <c r="L76" s="80">
        <f t="shared" si="12"/>
        <v>0</v>
      </c>
      <c r="M76" s="80">
        <f t="shared" si="12"/>
        <v>0</v>
      </c>
      <c r="N76" s="80">
        <f t="shared" si="12"/>
        <v>0</v>
      </c>
      <c r="O76" s="80">
        <f t="shared" si="12"/>
        <v>0</v>
      </c>
      <c r="P76" s="191"/>
    </row>
    <row r="77" spans="1:16" s="53" customFormat="1" ht="47.25" hidden="1" customHeight="1" x14ac:dyDescent="0.25">
      <c r="A77" s="75"/>
      <c r="B77" s="78"/>
      <c r="C77" s="79" t="s">
        <v>393</v>
      </c>
      <c r="D77" s="80">
        <f>D82+D92</f>
        <v>0</v>
      </c>
      <c r="E77" s="80">
        <f t="shared" ref="E77:O77" si="13">E82+E92</f>
        <v>0</v>
      </c>
      <c r="F77" s="80">
        <f t="shared" si="13"/>
        <v>0</v>
      </c>
      <c r="G77" s="80">
        <f t="shared" si="13"/>
        <v>0</v>
      </c>
      <c r="H77" s="80">
        <f t="shared" si="13"/>
        <v>0</v>
      </c>
      <c r="I77" s="80">
        <f t="shared" si="13"/>
        <v>0</v>
      </c>
      <c r="J77" s="80">
        <f t="shared" si="13"/>
        <v>0</v>
      </c>
      <c r="K77" s="80">
        <f t="shared" si="13"/>
        <v>0</v>
      </c>
      <c r="L77" s="80">
        <f t="shared" si="13"/>
        <v>0</v>
      </c>
      <c r="M77" s="80">
        <f t="shared" si="13"/>
        <v>0</v>
      </c>
      <c r="N77" s="80">
        <f t="shared" si="13"/>
        <v>0</v>
      </c>
      <c r="O77" s="80">
        <f t="shared" si="13"/>
        <v>0</v>
      </c>
      <c r="P77" s="191"/>
    </row>
    <row r="78" spans="1:16" s="53" customFormat="1" ht="53.25" customHeight="1" x14ac:dyDescent="0.25">
      <c r="A78" s="75"/>
      <c r="B78" s="78"/>
      <c r="C78" s="79" t="s">
        <v>394</v>
      </c>
      <c r="D78" s="80">
        <f>D90+D93</f>
        <v>11403700</v>
      </c>
      <c r="E78" s="80">
        <f t="shared" ref="E78:O78" si="14">E90+E93</f>
        <v>11403700</v>
      </c>
      <c r="F78" s="80">
        <f t="shared" si="14"/>
        <v>0</v>
      </c>
      <c r="G78" s="80">
        <f t="shared" si="14"/>
        <v>0</v>
      </c>
      <c r="H78" s="80">
        <f t="shared" si="14"/>
        <v>0</v>
      </c>
      <c r="I78" s="80">
        <f t="shared" si="14"/>
        <v>0</v>
      </c>
      <c r="J78" s="80">
        <f t="shared" si="14"/>
        <v>0</v>
      </c>
      <c r="K78" s="80">
        <f t="shared" si="14"/>
        <v>0</v>
      </c>
      <c r="L78" s="80">
        <f t="shared" si="14"/>
        <v>0</v>
      </c>
      <c r="M78" s="80">
        <f t="shared" si="14"/>
        <v>0</v>
      </c>
      <c r="N78" s="80">
        <f t="shared" si="14"/>
        <v>0</v>
      </c>
      <c r="O78" s="80">
        <f t="shared" si="14"/>
        <v>11403700</v>
      </c>
      <c r="P78" s="191"/>
    </row>
    <row r="79" spans="1:16" s="53" customFormat="1" ht="15.75" hidden="1" customHeight="1" x14ac:dyDescent="0.25">
      <c r="A79" s="75"/>
      <c r="B79" s="78"/>
      <c r="C79" s="79" t="s">
        <v>395</v>
      </c>
      <c r="D79" s="80">
        <f>D83</f>
        <v>0</v>
      </c>
      <c r="E79" s="80">
        <f t="shared" ref="E79:O79" si="15">E83</f>
        <v>0</v>
      </c>
      <c r="F79" s="80">
        <f t="shared" si="15"/>
        <v>0</v>
      </c>
      <c r="G79" s="80">
        <f t="shared" si="15"/>
        <v>0</v>
      </c>
      <c r="H79" s="80">
        <f t="shared" si="15"/>
        <v>0</v>
      </c>
      <c r="I79" s="80">
        <f t="shared" si="15"/>
        <v>0</v>
      </c>
      <c r="J79" s="80">
        <f t="shared" si="15"/>
        <v>0</v>
      </c>
      <c r="K79" s="80">
        <f t="shared" si="15"/>
        <v>0</v>
      </c>
      <c r="L79" s="80">
        <f t="shared" si="15"/>
        <v>0</v>
      </c>
      <c r="M79" s="80">
        <f t="shared" si="15"/>
        <v>0</v>
      </c>
      <c r="N79" s="80">
        <f t="shared" si="15"/>
        <v>0</v>
      </c>
      <c r="O79" s="80">
        <f t="shared" si="15"/>
        <v>0</v>
      </c>
      <c r="P79" s="191"/>
    </row>
    <row r="80" spans="1:16" ht="24.75" customHeight="1" x14ac:dyDescent="0.25">
      <c r="A80" s="37" t="s">
        <v>61</v>
      </c>
      <c r="B80" s="37" t="s">
        <v>62</v>
      </c>
      <c r="C80" s="6" t="s">
        <v>467</v>
      </c>
      <c r="D80" s="49">
        <f>'дод 2'!E131</f>
        <v>39300311.399999999</v>
      </c>
      <c r="E80" s="49">
        <f>'дод 2'!F131</f>
        <v>39300311.399999999</v>
      </c>
      <c r="F80" s="49">
        <f>'дод 2'!G131</f>
        <v>0</v>
      </c>
      <c r="G80" s="49">
        <f>'дод 2'!H131</f>
        <v>0</v>
      </c>
      <c r="H80" s="49">
        <f>'дод 2'!I131</f>
        <v>0</v>
      </c>
      <c r="I80" s="49">
        <f>'дод 2'!J131</f>
        <v>38830682.82</v>
      </c>
      <c r="J80" s="49">
        <f>'дод 2'!K131</f>
        <v>38830682.82</v>
      </c>
      <c r="K80" s="49">
        <f>'дод 2'!L131</f>
        <v>0</v>
      </c>
      <c r="L80" s="49">
        <f>'дод 2'!M131</f>
        <v>0</v>
      </c>
      <c r="M80" s="49">
        <f>'дод 2'!N131</f>
        <v>0</v>
      </c>
      <c r="N80" s="49">
        <f>'дод 2'!O131</f>
        <v>38830682.82</v>
      </c>
      <c r="O80" s="49">
        <f>'дод 2'!P131</f>
        <v>78130994.219999999</v>
      </c>
      <c r="P80" s="191"/>
    </row>
    <row r="81" spans="1:16" s="54" customFormat="1" ht="31.5" hidden="1" customHeight="1" x14ac:dyDescent="0.25">
      <c r="A81" s="82"/>
      <c r="B81" s="82"/>
      <c r="C81" s="83" t="s">
        <v>392</v>
      </c>
      <c r="D81" s="84">
        <f>'дод 2'!E132</f>
        <v>0</v>
      </c>
      <c r="E81" s="84">
        <f>'дод 2'!F132</f>
        <v>0</v>
      </c>
      <c r="F81" s="84">
        <f>'дод 2'!G132</f>
        <v>0</v>
      </c>
      <c r="G81" s="84">
        <f>'дод 2'!H132</f>
        <v>0</v>
      </c>
      <c r="H81" s="84">
        <f>'дод 2'!I132</f>
        <v>0</v>
      </c>
      <c r="I81" s="84">
        <f>'дод 2'!J132</f>
        <v>0</v>
      </c>
      <c r="J81" s="84">
        <f>'дод 2'!K132</f>
        <v>0</v>
      </c>
      <c r="K81" s="84">
        <f>'дод 2'!L132</f>
        <v>0</v>
      </c>
      <c r="L81" s="84">
        <f>'дод 2'!M132</f>
        <v>0</v>
      </c>
      <c r="M81" s="84">
        <f>'дод 2'!N132</f>
        <v>0</v>
      </c>
      <c r="N81" s="84">
        <f>'дод 2'!O132</f>
        <v>0</v>
      </c>
      <c r="O81" s="84">
        <f>'дод 2'!P132</f>
        <v>0</v>
      </c>
      <c r="P81" s="191"/>
    </row>
    <row r="82" spans="1:16" s="54" customFormat="1" ht="47.25" hidden="1" customHeight="1" x14ac:dyDescent="0.25">
      <c r="A82" s="82"/>
      <c r="B82" s="82"/>
      <c r="C82" s="83" t="s">
        <v>393</v>
      </c>
      <c r="D82" s="84">
        <f>'дод 2'!E133</f>
        <v>0</v>
      </c>
      <c r="E82" s="84">
        <f>'дод 2'!F133</f>
        <v>0</v>
      </c>
      <c r="F82" s="84">
        <f>'дод 2'!G133</f>
        <v>0</v>
      </c>
      <c r="G82" s="84">
        <f>'дод 2'!H133</f>
        <v>0</v>
      </c>
      <c r="H82" s="84">
        <f>'дод 2'!I133</f>
        <v>0</v>
      </c>
      <c r="I82" s="84">
        <f>'дод 2'!J133</f>
        <v>0</v>
      </c>
      <c r="J82" s="84">
        <f>'дод 2'!K133</f>
        <v>0</v>
      </c>
      <c r="K82" s="84">
        <f>'дод 2'!L133</f>
        <v>0</v>
      </c>
      <c r="L82" s="84">
        <f>'дод 2'!M133</f>
        <v>0</v>
      </c>
      <c r="M82" s="84">
        <f>'дод 2'!N133</f>
        <v>0</v>
      </c>
      <c r="N82" s="84">
        <f>'дод 2'!O133</f>
        <v>0</v>
      </c>
      <c r="O82" s="84">
        <f>'дод 2'!P133</f>
        <v>0</v>
      </c>
      <c r="P82" s="191"/>
    </row>
    <row r="83" spans="1:16" s="54" customFormat="1" ht="15.75" hidden="1" customHeight="1" x14ac:dyDescent="0.25">
      <c r="A83" s="82"/>
      <c r="B83" s="82"/>
      <c r="C83" s="83" t="s">
        <v>395</v>
      </c>
      <c r="D83" s="84">
        <f>'дод 2'!E134</f>
        <v>0</v>
      </c>
      <c r="E83" s="84">
        <f>'дод 2'!F134</f>
        <v>0</v>
      </c>
      <c r="F83" s="84">
        <f>'дод 2'!G134</f>
        <v>0</v>
      </c>
      <c r="G83" s="84">
        <f>'дод 2'!H134</f>
        <v>0</v>
      </c>
      <c r="H83" s="84">
        <f>'дод 2'!I134</f>
        <v>0</v>
      </c>
      <c r="I83" s="84">
        <f>'дод 2'!J134</f>
        <v>0</v>
      </c>
      <c r="J83" s="84">
        <f>'дод 2'!K134</f>
        <v>0</v>
      </c>
      <c r="K83" s="84">
        <f>'дод 2'!L134</f>
        <v>0</v>
      </c>
      <c r="L83" s="84">
        <f>'дод 2'!M134</f>
        <v>0</v>
      </c>
      <c r="M83" s="84">
        <f>'дод 2'!N134</f>
        <v>0</v>
      </c>
      <c r="N83" s="84">
        <f>'дод 2'!O134</f>
        <v>0</v>
      </c>
      <c r="O83" s="84">
        <f>'дод 2'!P134</f>
        <v>0</v>
      </c>
      <c r="P83" s="191"/>
    </row>
    <row r="84" spans="1:16" ht="24" hidden="1" customHeight="1" x14ac:dyDescent="0.25">
      <c r="A84" s="37">
        <v>2020</v>
      </c>
      <c r="B84" s="59" t="s">
        <v>451</v>
      </c>
      <c r="C84" s="6" t="s">
        <v>454</v>
      </c>
      <c r="D84" s="49">
        <f>'дод 2'!E135</f>
        <v>90000</v>
      </c>
      <c r="E84" s="49">
        <f>'дод 2'!F135</f>
        <v>90000</v>
      </c>
      <c r="F84" s="49">
        <f>'дод 2'!G135</f>
        <v>0</v>
      </c>
      <c r="G84" s="49">
        <f>'дод 2'!H135</f>
        <v>0</v>
      </c>
      <c r="H84" s="49">
        <f>'дод 2'!I135</f>
        <v>0</v>
      </c>
      <c r="I84" s="49">
        <f>'дод 2'!J135</f>
        <v>0</v>
      </c>
      <c r="J84" s="49">
        <f>'дод 2'!K135</f>
        <v>0</v>
      </c>
      <c r="K84" s="49">
        <f>'дод 2'!L135</f>
        <v>0</v>
      </c>
      <c r="L84" s="49">
        <f>'дод 2'!M135</f>
        <v>0</v>
      </c>
      <c r="M84" s="49">
        <f>'дод 2'!N135</f>
        <v>0</v>
      </c>
      <c r="N84" s="49">
        <f>'дод 2'!O135</f>
        <v>0</v>
      </c>
      <c r="O84" s="49">
        <f>'дод 2'!P135</f>
        <v>90000</v>
      </c>
      <c r="P84" s="191"/>
    </row>
    <row r="85" spans="1:16" ht="36.75" customHeight="1" x14ac:dyDescent="0.25">
      <c r="A85" s="37" t="s">
        <v>122</v>
      </c>
      <c r="B85" s="37" t="s">
        <v>63</v>
      </c>
      <c r="C85" s="6" t="s">
        <v>468</v>
      </c>
      <c r="D85" s="49">
        <f>'дод 2'!E136</f>
        <v>3742159</v>
      </c>
      <c r="E85" s="49">
        <f>'дод 2'!F136</f>
        <v>3742159</v>
      </c>
      <c r="F85" s="49">
        <f>'дод 2'!G136</f>
        <v>0</v>
      </c>
      <c r="G85" s="49">
        <f>'дод 2'!H136</f>
        <v>0</v>
      </c>
      <c r="H85" s="49">
        <f>'дод 2'!I136</f>
        <v>0</v>
      </c>
      <c r="I85" s="49">
        <f>'дод 2'!J136</f>
        <v>5100000</v>
      </c>
      <c r="J85" s="49">
        <f>'дод 2'!K136</f>
        <v>5100000</v>
      </c>
      <c r="K85" s="49">
        <f>'дод 2'!L136</f>
        <v>0</v>
      </c>
      <c r="L85" s="49">
        <f>'дод 2'!M136</f>
        <v>0</v>
      </c>
      <c r="M85" s="49">
        <f>'дод 2'!N136</f>
        <v>0</v>
      </c>
      <c r="N85" s="49">
        <f>'дод 2'!O136</f>
        <v>5100000</v>
      </c>
      <c r="O85" s="49">
        <f>'дод 2'!P136</f>
        <v>8842159</v>
      </c>
      <c r="P85" s="191"/>
    </row>
    <row r="86" spans="1:16" s="54" customFormat="1" ht="31.5" hidden="1" customHeight="1" x14ac:dyDescent="0.25">
      <c r="A86" s="82"/>
      <c r="B86" s="82"/>
      <c r="C86" s="83" t="s">
        <v>392</v>
      </c>
      <c r="D86" s="84">
        <f>'дод 2'!E137</f>
        <v>0</v>
      </c>
      <c r="E86" s="84">
        <f>'дод 2'!F137</f>
        <v>0</v>
      </c>
      <c r="F86" s="84">
        <f>'дод 2'!G137</f>
        <v>0</v>
      </c>
      <c r="G86" s="84">
        <f>'дод 2'!H137</f>
        <v>0</v>
      </c>
      <c r="H86" s="84">
        <f>'дод 2'!I137</f>
        <v>0</v>
      </c>
      <c r="I86" s="84">
        <f>'дод 2'!J137</f>
        <v>0</v>
      </c>
      <c r="J86" s="84">
        <f>'дод 2'!K137</f>
        <v>0</v>
      </c>
      <c r="K86" s="84">
        <f>'дод 2'!L137</f>
        <v>0</v>
      </c>
      <c r="L86" s="84">
        <f>'дод 2'!M137</f>
        <v>0</v>
      </c>
      <c r="M86" s="84">
        <f>'дод 2'!N137</f>
        <v>0</v>
      </c>
      <c r="N86" s="84">
        <f>'дод 2'!O137</f>
        <v>0</v>
      </c>
      <c r="O86" s="84">
        <f>'дод 2'!P137</f>
        <v>0</v>
      </c>
      <c r="P86" s="191"/>
    </row>
    <row r="87" spans="1:16" ht="19.5" customHeight="1" x14ac:dyDescent="0.25">
      <c r="A87" s="37" t="s">
        <v>123</v>
      </c>
      <c r="B87" s="37" t="s">
        <v>64</v>
      </c>
      <c r="C87" s="6" t="s">
        <v>469</v>
      </c>
      <c r="D87" s="49">
        <f>'дод 2'!E138</f>
        <v>7683806</v>
      </c>
      <c r="E87" s="49">
        <f>'дод 2'!F138</f>
        <v>7683806</v>
      </c>
      <c r="F87" s="49">
        <f>'дод 2'!G138</f>
        <v>0</v>
      </c>
      <c r="G87" s="49">
        <f>'дод 2'!H138</f>
        <v>0</v>
      </c>
      <c r="H87" s="49">
        <f>'дод 2'!I138</f>
        <v>0</v>
      </c>
      <c r="I87" s="49">
        <f>'дод 2'!J138</f>
        <v>0</v>
      </c>
      <c r="J87" s="49">
        <f>'дод 2'!K138</f>
        <v>0</v>
      </c>
      <c r="K87" s="49">
        <f>'дод 2'!L138</f>
        <v>0</v>
      </c>
      <c r="L87" s="49">
        <f>'дод 2'!M138</f>
        <v>0</v>
      </c>
      <c r="M87" s="49">
        <f>'дод 2'!N138</f>
        <v>0</v>
      </c>
      <c r="N87" s="49">
        <f>'дод 2'!O138</f>
        <v>0</v>
      </c>
      <c r="O87" s="49">
        <f>'дод 2'!P138</f>
        <v>7683806</v>
      </c>
      <c r="P87" s="191"/>
    </row>
    <row r="88" spans="1:16" s="54" customFormat="1" ht="31.5" hidden="1" customHeight="1" x14ac:dyDescent="0.25">
      <c r="A88" s="82"/>
      <c r="B88" s="82"/>
      <c r="C88" s="83" t="s">
        <v>392</v>
      </c>
      <c r="D88" s="84">
        <f>'дод 2'!E139</f>
        <v>0</v>
      </c>
      <c r="E88" s="84">
        <f>'дод 2'!F139</f>
        <v>0</v>
      </c>
      <c r="F88" s="84">
        <f>'дод 2'!G139</f>
        <v>0</v>
      </c>
      <c r="G88" s="84">
        <f>'дод 2'!H139</f>
        <v>0</v>
      </c>
      <c r="H88" s="84">
        <f>'дод 2'!I139</f>
        <v>0</v>
      </c>
      <c r="I88" s="84">
        <f>'дод 2'!J139</f>
        <v>0</v>
      </c>
      <c r="J88" s="84">
        <f>'дод 2'!K139</f>
        <v>0</v>
      </c>
      <c r="K88" s="84">
        <f>'дод 2'!L139</f>
        <v>0</v>
      </c>
      <c r="L88" s="84">
        <f>'дод 2'!M139</f>
        <v>0</v>
      </c>
      <c r="M88" s="84">
        <f>'дод 2'!N139</f>
        <v>0</v>
      </c>
      <c r="N88" s="84">
        <f>'дод 2'!O139</f>
        <v>0</v>
      </c>
      <c r="O88" s="84">
        <f>'дод 2'!P139</f>
        <v>0</v>
      </c>
      <c r="P88" s="191"/>
    </row>
    <row r="89" spans="1:16" ht="48.75" customHeight="1" x14ac:dyDescent="0.25">
      <c r="A89" s="37" t="s">
        <v>124</v>
      </c>
      <c r="B89" s="37" t="s">
        <v>315</v>
      </c>
      <c r="C89" s="6" t="s">
        <v>470</v>
      </c>
      <c r="D89" s="49">
        <f>'дод 2'!E140</f>
        <v>2944631</v>
      </c>
      <c r="E89" s="49">
        <f>'дод 2'!F140</f>
        <v>2944631</v>
      </c>
      <c r="F89" s="49">
        <f>'дод 2'!G140</f>
        <v>0</v>
      </c>
      <c r="G89" s="49">
        <f>'дод 2'!H140</f>
        <v>0</v>
      </c>
      <c r="H89" s="49">
        <f>'дод 2'!I140</f>
        <v>0</v>
      </c>
      <c r="I89" s="49">
        <f>'дод 2'!J140</f>
        <v>0</v>
      </c>
      <c r="J89" s="49">
        <f>'дод 2'!K140</f>
        <v>0</v>
      </c>
      <c r="K89" s="49">
        <f>'дод 2'!L140</f>
        <v>0</v>
      </c>
      <c r="L89" s="49">
        <f>'дод 2'!M140</f>
        <v>0</v>
      </c>
      <c r="M89" s="49">
        <f>'дод 2'!N140</f>
        <v>0</v>
      </c>
      <c r="N89" s="49">
        <f>'дод 2'!O140</f>
        <v>0</v>
      </c>
      <c r="O89" s="49">
        <f>'дод 2'!P140</f>
        <v>2944631</v>
      </c>
      <c r="P89" s="191"/>
    </row>
    <row r="90" spans="1:16" s="54" customFormat="1" ht="47.25" hidden="1" customHeight="1" x14ac:dyDescent="0.25">
      <c r="A90" s="82"/>
      <c r="B90" s="82"/>
      <c r="C90" s="85" t="s">
        <v>394</v>
      </c>
      <c r="D90" s="84">
        <f>'дод 2'!E141</f>
        <v>0</v>
      </c>
      <c r="E90" s="84">
        <f>'дод 2'!F141</f>
        <v>0</v>
      </c>
      <c r="F90" s="84">
        <f>'дод 2'!G141</f>
        <v>0</v>
      </c>
      <c r="G90" s="84">
        <f>'дод 2'!H141</f>
        <v>0</v>
      </c>
      <c r="H90" s="84">
        <f>'дод 2'!I141</f>
        <v>0</v>
      </c>
      <c r="I90" s="84">
        <f>'дод 2'!J141</f>
        <v>0</v>
      </c>
      <c r="J90" s="84">
        <f>'дод 2'!K141</f>
        <v>0</v>
      </c>
      <c r="K90" s="84">
        <f>'дод 2'!L141</f>
        <v>0</v>
      </c>
      <c r="L90" s="84">
        <f>'дод 2'!M141</f>
        <v>0</v>
      </c>
      <c r="M90" s="84">
        <f>'дод 2'!N141</f>
        <v>0</v>
      </c>
      <c r="N90" s="84">
        <f>'дод 2'!O141</f>
        <v>0</v>
      </c>
      <c r="O90" s="84">
        <f>'дод 2'!P141</f>
        <v>0</v>
      </c>
      <c r="P90" s="191"/>
    </row>
    <row r="91" spans="1:16" ht="31.5" x14ac:dyDescent="0.25">
      <c r="A91" s="40">
        <v>2144</v>
      </c>
      <c r="B91" s="37" t="s">
        <v>65</v>
      </c>
      <c r="C91" s="6" t="s">
        <v>406</v>
      </c>
      <c r="D91" s="49">
        <f>'дод 2'!E142</f>
        <v>11403700</v>
      </c>
      <c r="E91" s="49">
        <f>'дод 2'!F142</f>
        <v>11403700</v>
      </c>
      <c r="F91" s="49">
        <f>'дод 2'!G142</f>
        <v>0</v>
      </c>
      <c r="G91" s="49">
        <f>'дод 2'!H142</f>
        <v>0</v>
      </c>
      <c r="H91" s="49">
        <f>'дод 2'!I142</f>
        <v>0</v>
      </c>
      <c r="I91" s="49">
        <f>'дод 2'!J142</f>
        <v>0</v>
      </c>
      <c r="J91" s="49">
        <f>'дод 2'!K142</f>
        <v>0</v>
      </c>
      <c r="K91" s="49">
        <f>'дод 2'!L142</f>
        <v>0</v>
      </c>
      <c r="L91" s="49">
        <f>'дод 2'!M142</f>
        <v>0</v>
      </c>
      <c r="M91" s="49">
        <f>'дод 2'!N142</f>
        <v>0</v>
      </c>
      <c r="N91" s="49">
        <f>'дод 2'!O142</f>
        <v>0</v>
      </c>
      <c r="O91" s="49">
        <f>'дод 2'!P142</f>
        <v>11403700</v>
      </c>
      <c r="P91" s="191"/>
    </row>
    <row r="92" spans="1:16" s="54" customFormat="1" ht="47.25" hidden="1" customHeight="1" x14ac:dyDescent="0.25">
      <c r="A92" s="86"/>
      <c r="B92" s="82"/>
      <c r="C92" s="83" t="s">
        <v>393</v>
      </c>
      <c r="D92" s="84">
        <f>'дод 2'!E143</f>
        <v>0</v>
      </c>
      <c r="E92" s="84">
        <f>'дод 2'!F143</f>
        <v>0</v>
      </c>
      <c r="F92" s="84">
        <f>'дод 2'!G143</f>
        <v>0</v>
      </c>
      <c r="G92" s="84">
        <f>'дод 2'!H143</f>
        <v>0</v>
      </c>
      <c r="H92" s="84">
        <f>'дод 2'!I143</f>
        <v>0</v>
      </c>
      <c r="I92" s="84">
        <f>'дод 2'!J143</f>
        <v>0</v>
      </c>
      <c r="J92" s="84">
        <f>'дод 2'!K143</f>
        <v>0</v>
      </c>
      <c r="K92" s="84">
        <f>'дод 2'!L143</f>
        <v>0</v>
      </c>
      <c r="L92" s="84">
        <f>'дод 2'!M143</f>
        <v>0</v>
      </c>
      <c r="M92" s="84">
        <f>'дод 2'!N143</f>
        <v>0</v>
      </c>
      <c r="N92" s="84">
        <f>'дод 2'!O143</f>
        <v>0</v>
      </c>
      <c r="O92" s="84">
        <f>'дод 2'!P143</f>
        <v>0</v>
      </c>
      <c r="P92" s="191"/>
    </row>
    <row r="93" spans="1:16" s="54" customFormat="1" ht="63" x14ac:dyDescent="0.25">
      <c r="A93" s="86"/>
      <c r="B93" s="82"/>
      <c r="C93" s="83" t="s">
        <v>394</v>
      </c>
      <c r="D93" s="84">
        <f>'дод 2'!E144</f>
        <v>11403700</v>
      </c>
      <c r="E93" s="84">
        <f>'дод 2'!F144</f>
        <v>11403700</v>
      </c>
      <c r="F93" s="84">
        <f>'дод 2'!G144</f>
        <v>0</v>
      </c>
      <c r="G93" s="84">
        <f>'дод 2'!H144</f>
        <v>0</v>
      </c>
      <c r="H93" s="84">
        <f>'дод 2'!I144</f>
        <v>0</v>
      </c>
      <c r="I93" s="84">
        <f>'дод 2'!J144</f>
        <v>0</v>
      </c>
      <c r="J93" s="84">
        <f>'дод 2'!K144</f>
        <v>0</v>
      </c>
      <c r="K93" s="84">
        <f>'дод 2'!L144</f>
        <v>0</v>
      </c>
      <c r="L93" s="84">
        <f>'дод 2'!M144</f>
        <v>0</v>
      </c>
      <c r="M93" s="84">
        <f>'дод 2'!N144</f>
        <v>0</v>
      </c>
      <c r="N93" s="84">
        <f>'дод 2'!O144</f>
        <v>0</v>
      </c>
      <c r="O93" s="84">
        <f>'дод 2'!P144</f>
        <v>11403700</v>
      </c>
      <c r="P93" s="191"/>
    </row>
    <row r="94" spans="1:16" ht="33.75" customHeight="1" x14ac:dyDescent="0.25">
      <c r="A94" s="37" t="s">
        <v>284</v>
      </c>
      <c r="B94" s="37" t="s">
        <v>65</v>
      </c>
      <c r="C94" s="3" t="s">
        <v>286</v>
      </c>
      <c r="D94" s="49">
        <f>'дод 2'!E145</f>
        <v>3062384</v>
      </c>
      <c r="E94" s="49">
        <f>'дод 2'!F145</f>
        <v>3062384</v>
      </c>
      <c r="F94" s="49">
        <f>'дод 2'!G145</f>
        <v>2387600</v>
      </c>
      <c r="G94" s="49">
        <f>'дод 2'!H145</f>
        <v>61784</v>
      </c>
      <c r="H94" s="49">
        <f>'дод 2'!I145</f>
        <v>0</v>
      </c>
      <c r="I94" s="49">
        <f>'дод 2'!J145</f>
        <v>0</v>
      </c>
      <c r="J94" s="49">
        <f>'дод 2'!K145</f>
        <v>0</v>
      </c>
      <c r="K94" s="49">
        <f>'дод 2'!L145</f>
        <v>0</v>
      </c>
      <c r="L94" s="49">
        <f>'дод 2'!M145</f>
        <v>0</v>
      </c>
      <c r="M94" s="49">
        <f>'дод 2'!N145</f>
        <v>0</v>
      </c>
      <c r="N94" s="49">
        <f>'дод 2'!O145</f>
        <v>0</v>
      </c>
      <c r="O94" s="49">
        <f>'дод 2'!P145</f>
        <v>3062384</v>
      </c>
      <c r="P94" s="191"/>
    </row>
    <row r="95" spans="1:16" ht="21.75" customHeight="1" x14ac:dyDescent="0.25">
      <c r="A95" s="37" t="s">
        <v>285</v>
      </c>
      <c r="B95" s="37" t="s">
        <v>65</v>
      </c>
      <c r="C95" s="3" t="s">
        <v>287</v>
      </c>
      <c r="D95" s="49">
        <f>'дод 2'!E146</f>
        <v>19853800</v>
      </c>
      <c r="E95" s="49">
        <f>'дод 2'!F146</f>
        <v>19853800</v>
      </c>
      <c r="F95" s="49">
        <f>'дод 2'!G146</f>
        <v>0</v>
      </c>
      <c r="G95" s="49">
        <f>'дод 2'!H146</f>
        <v>0</v>
      </c>
      <c r="H95" s="49">
        <f>'дод 2'!I146</f>
        <v>0</v>
      </c>
      <c r="I95" s="49">
        <f>'дод 2'!J146</f>
        <v>23031354</v>
      </c>
      <c r="J95" s="49">
        <f>'дод 2'!K146</f>
        <v>23031354</v>
      </c>
      <c r="K95" s="49">
        <f>'дод 2'!L146</f>
        <v>0</v>
      </c>
      <c r="L95" s="49">
        <f>'дод 2'!M146</f>
        <v>0</v>
      </c>
      <c r="M95" s="49">
        <f>'дод 2'!N146</f>
        <v>0</v>
      </c>
      <c r="N95" s="49">
        <f>'дод 2'!O146</f>
        <v>23031354</v>
      </c>
      <c r="O95" s="49">
        <f>'дод 2'!P146</f>
        <v>42885154</v>
      </c>
      <c r="P95" s="191"/>
    </row>
    <row r="96" spans="1:16" s="52" customFormat="1" ht="33" customHeight="1" x14ac:dyDescent="0.25">
      <c r="A96" s="38" t="s">
        <v>66</v>
      </c>
      <c r="B96" s="41"/>
      <c r="C96" s="2" t="s">
        <v>523</v>
      </c>
      <c r="D96" s="48">
        <f>D102+D103+D104+D106+D107+D108+D110+D112+D113+D114+D115+D116+D117+D118+D119+D121+D123+D124+D125+D126+D127+D128+D130+D134+D135</f>
        <v>155299756.35000002</v>
      </c>
      <c r="E96" s="48">
        <f t="shared" ref="E96:O96" si="16">E102+E103+E104+E106+E107+E108+E110+E112+E113+E114+E115+E116+E117+E118+E119+E121+E123+E124+E125+E126+E127+E128+E130+E134+E135</f>
        <v>155299756.35000002</v>
      </c>
      <c r="F96" s="48">
        <f t="shared" si="16"/>
        <v>21152900</v>
      </c>
      <c r="G96" s="48">
        <f t="shared" si="16"/>
        <v>848091</v>
      </c>
      <c r="H96" s="48">
        <f t="shared" si="16"/>
        <v>0</v>
      </c>
      <c r="I96" s="48">
        <f t="shared" si="16"/>
        <v>2453811.0499999998</v>
      </c>
      <c r="J96" s="48">
        <f t="shared" si="16"/>
        <v>2357611.0499999998</v>
      </c>
      <c r="K96" s="48">
        <f t="shared" si="16"/>
        <v>96200</v>
      </c>
      <c r="L96" s="48">
        <f t="shared" si="16"/>
        <v>75000</v>
      </c>
      <c r="M96" s="48">
        <f t="shared" si="16"/>
        <v>0</v>
      </c>
      <c r="N96" s="48">
        <f t="shared" si="16"/>
        <v>2357611.0499999998</v>
      </c>
      <c r="O96" s="48">
        <f t="shared" si="16"/>
        <v>157753567.40000001</v>
      </c>
      <c r="P96" s="191"/>
    </row>
    <row r="97" spans="1:16" s="53" customFormat="1" ht="262.5" hidden="1" customHeight="1" x14ac:dyDescent="0.25">
      <c r="A97" s="75"/>
      <c r="B97" s="76"/>
      <c r="C97" s="79" t="s">
        <v>447</v>
      </c>
      <c r="D97" s="80">
        <f>D129</f>
        <v>0</v>
      </c>
      <c r="E97" s="80">
        <f t="shared" ref="E97:O97" si="17">E129</f>
        <v>0</v>
      </c>
      <c r="F97" s="80">
        <f t="shared" si="17"/>
        <v>0</v>
      </c>
      <c r="G97" s="80">
        <f t="shared" si="17"/>
        <v>0</v>
      </c>
      <c r="H97" s="80">
        <f t="shared" si="17"/>
        <v>0</v>
      </c>
      <c r="I97" s="80">
        <f t="shared" si="17"/>
        <v>975480.06</v>
      </c>
      <c r="J97" s="80">
        <f t="shared" si="17"/>
        <v>975480.06</v>
      </c>
      <c r="K97" s="80">
        <f t="shared" si="17"/>
        <v>0</v>
      </c>
      <c r="L97" s="80">
        <f t="shared" si="17"/>
        <v>0</v>
      </c>
      <c r="M97" s="80">
        <f t="shared" si="17"/>
        <v>0</v>
      </c>
      <c r="N97" s="80">
        <f t="shared" si="17"/>
        <v>975480.06</v>
      </c>
      <c r="O97" s="80">
        <f t="shared" si="17"/>
        <v>975480.06</v>
      </c>
      <c r="P97" s="191"/>
    </row>
    <row r="98" spans="1:16" s="53" customFormat="1" ht="231" hidden="1" customHeight="1" x14ac:dyDescent="0.25">
      <c r="A98" s="75"/>
      <c r="B98" s="76"/>
      <c r="C98" s="79" t="s">
        <v>446</v>
      </c>
      <c r="D98" s="80">
        <f>D133</f>
        <v>0</v>
      </c>
      <c r="E98" s="80">
        <f t="shared" ref="E98:O98" si="18">E133</f>
        <v>0</v>
      </c>
      <c r="F98" s="80">
        <f t="shared" si="18"/>
        <v>0</v>
      </c>
      <c r="G98" s="80">
        <f t="shared" si="18"/>
        <v>0</v>
      </c>
      <c r="H98" s="80">
        <f t="shared" si="18"/>
        <v>0</v>
      </c>
      <c r="I98" s="80">
        <f t="shared" si="18"/>
        <v>0</v>
      </c>
      <c r="J98" s="80">
        <f t="shared" si="18"/>
        <v>0</v>
      </c>
      <c r="K98" s="80">
        <f t="shared" si="18"/>
        <v>0</v>
      </c>
      <c r="L98" s="80">
        <f t="shared" si="18"/>
        <v>0</v>
      </c>
      <c r="M98" s="80">
        <f t="shared" si="18"/>
        <v>0</v>
      </c>
      <c r="N98" s="80">
        <f t="shared" si="18"/>
        <v>0</v>
      </c>
      <c r="O98" s="80">
        <f t="shared" si="18"/>
        <v>0</v>
      </c>
      <c r="P98" s="191"/>
    </row>
    <row r="99" spans="1:16" s="53" customFormat="1" x14ac:dyDescent="0.25">
      <c r="A99" s="75"/>
      <c r="B99" s="76"/>
      <c r="C99" s="79" t="s">
        <v>397</v>
      </c>
      <c r="D99" s="80">
        <f>D105+D109+D111+D120+D122+D136</f>
        <v>4858460.24</v>
      </c>
      <c r="E99" s="80">
        <f t="shared" ref="E99:O99" si="19">E105+E109+E111+E120+E122+E136</f>
        <v>4858460.24</v>
      </c>
      <c r="F99" s="80">
        <f t="shared" si="19"/>
        <v>0</v>
      </c>
      <c r="G99" s="80">
        <f t="shared" si="19"/>
        <v>0</v>
      </c>
      <c r="H99" s="80">
        <f t="shared" si="19"/>
        <v>0</v>
      </c>
      <c r="I99" s="80">
        <f t="shared" si="19"/>
        <v>0</v>
      </c>
      <c r="J99" s="80">
        <f t="shared" si="19"/>
        <v>0</v>
      </c>
      <c r="K99" s="80">
        <f t="shared" si="19"/>
        <v>0</v>
      </c>
      <c r="L99" s="80">
        <f t="shared" si="19"/>
        <v>0</v>
      </c>
      <c r="M99" s="80">
        <f t="shared" si="19"/>
        <v>0</v>
      </c>
      <c r="N99" s="80">
        <f t="shared" si="19"/>
        <v>0</v>
      </c>
      <c r="O99" s="80">
        <f t="shared" si="19"/>
        <v>4858460.24</v>
      </c>
      <c r="P99" s="191"/>
    </row>
    <row r="100" spans="1:16" s="53" customFormat="1" ht="283.5" x14ac:dyDescent="0.25">
      <c r="A100" s="75"/>
      <c r="B100" s="76"/>
      <c r="C100" s="81" t="s">
        <v>447</v>
      </c>
      <c r="D100" s="80">
        <f>D129</f>
        <v>0</v>
      </c>
      <c r="E100" s="80">
        <f t="shared" ref="E100:O100" si="20">E129</f>
        <v>0</v>
      </c>
      <c r="F100" s="80">
        <f t="shared" si="20"/>
        <v>0</v>
      </c>
      <c r="G100" s="80">
        <f t="shared" si="20"/>
        <v>0</v>
      </c>
      <c r="H100" s="80">
        <f t="shared" si="20"/>
        <v>0</v>
      </c>
      <c r="I100" s="80">
        <f t="shared" si="20"/>
        <v>975480.06</v>
      </c>
      <c r="J100" s="80">
        <f t="shared" si="20"/>
        <v>975480.06</v>
      </c>
      <c r="K100" s="80">
        <f t="shared" si="20"/>
        <v>0</v>
      </c>
      <c r="L100" s="80">
        <f t="shared" si="20"/>
        <v>0</v>
      </c>
      <c r="M100" s="80">
        <f t="shared" si="20"/>
        <v>0</v>
      </c>
      <c r="N100" s="80">
        <f t="shared" si="20"/>
        <v>975480.06</v>
      </c>
      <c r="O100" s="80">
        <f t="shared" si="20"/>
        <v>975480.06</v>
      </c>
      <c r="P100" s="191">
        <v>94</v>
      </c>
    </row>
    <row r="101" spans="1:16" s="53" customFormat="1" ht="339" customHeight="1" x14ac:dyDescent="0.25">
      <c r="A101" s="75"/>
      <c r="B101" s="76"/>
      <c r="C101" s="81" t="s">
        <v>605</v>
      </c>
      <c r="D101" s="80">
        <f>D131</f>
        <v>0</v>
      </c>
      <c r="E101" s="80">
        <f t="shared" ref="E101:O101" si="21">E131</f>
        <v>0</v>
      </c>
      <c r="F101" s="80">
        <f t="shared" si="21"/>
        <v>0</v>
      </c>
      <c r="G101" s="80">
        <f t="shared" si="21"/>
        <v>0</v>
      </c>
      <c r="H101" s="80">
        <f t="shared" si="21"/>
        <v>0</v>
      </c>
      <c r="I101" s="80">
        <f t="shared" si="21"/>
        <v>1176130.99</v>
      </c>
      <c r="J101" s="80">
        <f t="shared" si="21"/>
        <v>1176130.99</v>
      </c>
      <c r="K101" s="80">
        <f t="shared" si="21"/>
        <v>0</v>
      </c>
      <c r="L101" s="80">
        <f t="shared" si="21"/>
        <v>0</v>
      </c>
      <c r="M101" s="80">
        <f t="shared" si="21"/>
        <v>0</v>
      </c>
      <c r="N101" s="80">
        <f t="shared" si="21"/>
        <v>1176130.99</v>
      </c>
      <c r="O101" s="80">
        <f t="shared" si="21"/>
        <v>1176130.99</v>
      </c>
      <c r="P101" s="191"/>
    </row>
    <row r="102" spans="1:16" ht="38.25" customHeight="1" x14ac:dyDescent="0.25">
      <c r="A102" s="37" t="s">
        <v>100</v>
      </c>
      <c r="B102" s="37" t="s">
        <v>53</v>
      </c>
      <c r="C102" s="3" t="s">
        <v>125</v>
      </c>
      <c r="D102" s="49">
        <f>'дод 2'!E164</f>
        <v>604900</v>
      </c>
      <c r="E102" s="49">
        <f>'дод 2'!F164</f>
        <v>604900</v>
      </c>
      <c r="F102" s="49">
        <f>'дод 2'!G164</f>
        <v>0</v>
      </c>
      <c r="G102" s="49">
        <f>'дод 2'!H164</f>
        <v>0</v>
      </c>
      <c r="H102" s="49">
        <f>'дод 2'!I164</f>
        <v>0</v>
      </c>
      <c r="I102" s="49">
        <f>'дод 2'!J164</f>
        <v>0</v>
      </c>
      <c r="J102" s="49">
        <f>'дод 2'!K164</f>
        <v>0</v>
      </c>
      <c r="K102" s="49">
        <f>'дод 2'!L164</f>
        <v>0</v>
      </c>
      <c r="L102" s="49">
        <f>'дод 2'!M164</f>
        <v>0</v>
      </c>
      <c r="M102" s="49">
        <f>'дод 2'!N164</f>
        <v>0</v>
      </c>
      <c r="N102" s="49">
        <f>'дод 2'!O164</f>
        <v>0</v>
      </c>
      <c r="O102" s="49">
        <f>'дод 2'!P164</f>
        <v>604900</v>
      </c>
      <c r="P102" s="191"/>
    </row>
    <row r="103" spans="1:16" ht="36.75" customHeight="1" x14ac:dyDescent="0.25">
      <c r="A103" s="37" t="s">
        <v>126</v>
      </c>
      <c r="B103" s="37" t="s">
        <v>55</v>
      </c>
      <c r="C103" s="3" t="s">
        <v>362</v>
      </c>
      <c r="D103" s="49">
        <f>'дод 2'!E165</f>
        <v>1129230</v>
      </c>
      <c r="E103" s="49">
        <f>'дод 2'!F165</f>
        <v>1129230</v>
      </c>
      <c r="F103" s="49">
        <f>'дод 2'!G165</f>
        <v>0</v>
      </c>
      <c r="G103" s="49">
        <f>'дод 2'!H165</f>
        <v>0</v>
      </c>
      <c r="H103" s="49">
        <f>'дод 2'!I165</f>
        <v>0</v>
      </c>
      <c r="I103" s="49">
        <f>'дод 2'!J165</f>
        <v>0</v>
      </c>
      <c r="J103" s="49">
        <f>'дод 2'!K165</f>
        <v>0</v>
      </c>
      <c r="K103" s="49">
        <f>'дод 2'!L165</f>
        <v>0</v>
      </c>
      <c r="L103" s="49">
        <f>'дод 2'!M165</f>
        <v>0</v>
      </c>
      <c r="M103" s="49">
        <f>'дод 2'!N165</f>
        <v>0</v>
      </c>
      <c r="N103" s="49">
        <f>'дод 2'!O165</f>
        <v>0</v>
      </c>
      <c r="O103" s="49">
        <f>'дод 2'!P165</f>
        <v>1129230</v>
      </c>
      <c r="P103" s="191"/>
    </row>
    <row r="104" spans="1:16" ht="39.75" customHeight="1" x14ac:dyDescent="0.25">
      <c r="A104" s="37" t="s">
        <v>101</v>
      </c>
      <c r="B104" s="37" t="s">
        <v>55</v>
      </c>
      <c r="C104" s="3" t="s">
        <v>413</v>
      </c>
      <c r="D104" s="49">
        <f>'дод 2'!E166+'дод 2'!E26</f>
        <v>24592321.240000002</v>
      </c>
      <c r="E104" s="49">
        <f>'дод 2'!F166+'дод 2'!F26</f>
        <v>24592321.240000002</v>
      </c>
      <c r="F104" s="49">
        <f>'дод 2'!G166+'дод 2'!G26</f>
        <v>0</v>
      </c>
      <c r="G104" s="49">
        <f>'дод 2'!H166+'дод 2'!H26</f>
        <v>0</v>
      </c>
      <c r="H104" s="49">
        <f>'дод 2'!I166+'дод 2'!I26</f>
        <v>0</v>
      </c>
      <c r="I104" s="49">
        <f>'дод 2'!J166+'дод 2'!J26</f>
        <v>0</v>
      </c>
      <c r="J104" s="49">
        <f>'дод 2'!K166+'дод 2'!K26</f>
        <v>0</v>
      </c>
      <c r="K104" s="49">
        <f>'дод 2'!L166+'дод 2'!L26</f>
        <v>0</v>
      </c>
      <c r="L104" s="49">
        <f>'дод 2'!M166+'дод 2'!M26</f>
        <v>0</v>
      </c>
      <c r="M104" s="49">
        <f>'дод 2'!N166+'дод 2'!N26</f>
        <v>0</v>
      </c>
      <c r="N104" s="49">
        <f>'дод 2'!O166+'дод 2'!O26</f>
        <v>0</v>
      </c>
      <c r="O104" s="49">
        <f>'дод 2'!P166+'дод 2'!P26</f>
        <v>24592321.240000002</v>
      </c>
      <c r="P104" s="191"/>
    </row>
    <row r="105" spans="1:16" s="54" customFormat="1" ht="21.75" customHeight="1" x14ac:dyDescent="0.25">
      <c r="A105" s="82"/>
      <c r="B105" s="82"/>
      <c r="C105" s="83" t="s">
        <v>395</v>
      </c>
      <c r="D105" s="84">
        <f>'дод 2'!E167</f>
        <v>3399661.24</v>
      </c>
      <c r="E105" s="84">
        <f>'дод 2'!F167</f>
        <v>3399661.24</v>
      </c>
      <c r="F105" s="84">
        <f>'дод 2'!G167</f>
        <v>0</v>
      </c>
      <c r="G105" s="84">
        <f>'дод 2'!H167</f>
        <v>0</v>
      </c>
      <c r="H105" s="84">
        <f>'дод 2'!I167</f>
        <v>0</v>
      </c>
      <c r="I105" s="84">
        <f>'дод 2'!J167</f>
        <v>0</v>
      </c>
      <c r="J105" s="84">
        <f>'дод 2'!K167</f>
        <v>0</v>
      </c>
      <c r="K105" s="84">
        <f>'дод 2'!L167</f>
        <v>0</v>
      </c>
      <c r="L105" s="84">
        <f>'дод 2'!M167</f>
        <v>0</v>
      </c>
      <c r="M105" s="84">
        <f>'дод 2'!N167</f>
        <v>0</v>
      </c>
      <c r="N105" s="84">
        <f>'дод 2'!O167</f>
        <v>0</v>
      </c>
      <c r="O105" s="84">
        <f>'дод 2'!P167</f>
        <v>3399661.24</v>
      </c>
      <c r="P105" s="191"/>
    </row>
    <row r="106" spans="1:16" ht="36" customHeight="1" x14ac:dyDescent="0.25">
      <c r="A106" s="37" t="s">
        <v>325</v>
      </c>
      <c r="B106" s="37" t="s">
        <v>55</v>
      </c>
      <c r="C106" s="3" t="s">
        <v>324</v>
      </c>
      <c r="D106" s="49">
        <f>'дод 2'!E168</f>
        <v>1500000</v>
      </c>
      <c r="E106" s="49">
        <f>'дод 2'!F168</f>
        <v>1500000</v>
      </c>
      <c r="F106" s="49">
        <f>'дод 2'!G168</f>
        <v>0</v>
      </c>
      <c r="G106" s="49">
        <f>'дод 2'!H168</f>
        <v>0</v>
      </c>
      <c r="H106" s="49">
        <f>'дод 2'!I168</f>
        <v>0</v>
      </c>
      <c r="I106" s="49">
        <f>'дод 2'!J168</f>
        <v>0</v>
      </c>
      <c r="J106" s="49">
        <f>'дод 2'!K168</f>
        <v>0</v>
      </c>
      <c r="K106" s="49">
        <f>'дод 2'!L168</f>
        <v>0</v>
      </c>
      <c r="L106" s="49">
        <f>'дод 2'!M168</f>
        <v>0</v>
      </c>
      <c r="M106" s="49">
        <f>'дод 2'!N168</f>
        <v>0</v>
      </c>
      <c r="N106" s="49">
        <f>'дод 2'!O168</f>
        <v>0</v>
      </c>
      <c r="O106" s="49">
        <f>'дод 2'!P168</f>
        <v>1500000</v>
      </c>
      <c r="P106" s="191"/>
    </row>
    <row r="107" spans="1:16" ht="44.25" customHeight="1" x14ac:dyDescent="0.25">
      <c r="A107" s="37" t="s">
        <v>127</v>
      </c>
      <c r="B107" s="37" t="s">
        <v>55</v>
      </c>
      <c r="C107" s="3" t="s">
        <v>19</v>
      </c>
      <c r="D107" s="49">
        <f>'дод 2'!E169+'дод 2'!E27</f>
        <v>41559586</v>
      </c>
      <c r="E107" s="49">
        <f>'дод 2'!F169+'дод 2'!F27</f>
        <v>41559586</v>
      </c>
      <c r="F107" s="49">
        <f>'дод 2'!G169+'дод 2'!G27</f>
        <v>0</v>
      </c>
      <c r="G107" s="49">
        <f>'дод 2'!H169+'дод 2'!H27</f>
        <v>0</v>
      </c>
      <c r="H107" s="49">
        <f>'дод 2'!I169+'дод 2'!I27</f>
        <v>0</v>
      </c>
      <c r="I107" s="49">
        <f>'дод 2'!J169+'дод 2'!J27</f>
        <v>0</v>
      </c>
      <c r="J107" s="49">
        <f>'дод 2'!K169+'дод 2'!K27</f>
        <v>0</v>
      </c>
      <c r="K107" s="49">
        <f>'дод 2'!L169+'дод 2'!L27</f>
        <v>0</v>
      </c>
      <c r="L107" s="49">
        <f>'дод 2'!M169+'дод 2'!M27</f>
        <v>0</v>
      </c>
      <c r="M107" s="49">
        <f>'дод 2'!N169+'дод 2'!N27</f>
        <v>0</v>
      </c>
      <c r="N107" s="49">
        <f>'дод 2'!O169+'дод 2'!O27</f>
        <v>0</v>
      </c>
      <c r="O107" s="49">
        <f>'дод 2'!P169+'дод 2'!P27</f>
        <v>41559586</v>
      </c>
      <c r="P107" s="191"/>
    </row>
    <row r="108" spans="1:16" ht="45" customHeight="1" x14ac:dyDescent="0.25">
      <c r="A108" s="37" t="s">
        <v>103</v>
      </c>
      <c r="B108" s="37" t="s">
        <v>55</v>
      </c>
      <c r="C108" s="3" t="s">
        <v>411</v>
      </c>
      <c r="D108" s="49">
        <f>'дод 2'!E170</f>
        <v>667500</v>
      </c>
      <c r="E108" s="49">
        <f>'дод 2'!F170</f>
        <v>667500</v>
      </c>
      <c r="F108" s="49">
        <f>'дод 2'!G170</f>
        <v>0</v>
      </c>
      <c r="G108" s="49">
        <f>'дод 2'!H170</f>
        <v>0</v>
      </c>
      <c r="H108" s="49">
        <f>'дод 2'!I170</f>
        <v>0</v>
      </c>
      <c r="I108" s="49">
        <f>'дод 2'!J170</f>
        <v>0</v>
      </c>
      <c r="J108" s="49">
        <f>'дод 2'!K170</f>
        <v>0</v>
      </c>
      <c r="K108" s="49">
        <f>'дод 2'!L170</f>
        <v>0</v>
      </c>
      <c r="L108" s="49">
        <f>'дод 2'!M170</f>
        <v>0</v>
      </c>
      <c r="M108" s="49">
        <f>'дод 2'!N170</f>
        <v>0</v>
      </c>
      <c r="N108" s="49">
        <f>'дод 2'!O170</f>
        <v>0</v>
      </c>
      <c r="O108" s="49">
        <f>'дод 2'!P170</f>
        <v>667500</v>
      </c>
      <c r="P108" s="191"/>
    </row>
    <row r="109" spans="1:16" s="54" customFormat="1" x14ac:dyDescent="0.25">
      <c r="A109" s="82"/>
      <c r="B109" s="82"/>
      <c r="C109" s="83" t="s">
        <v>395</v>
      </c>
      <c r="D109" s="84">
        <f>'дод 2'!E171</f>
        <v>667500</v>
      </c>
      <c r="E109" s="84">
        <f>'дод 2'!F171</f>
        <v>667500</v>
      </c>
      <c r="F109" s="84">
        <f>'дод 2'!G171</f>
        <v>0</v>
      </c>
      <c r="G109" s="84">
        <f>'дод 2'!H171</f>
        <v>0</v>
      </c>
      <c r="H109" s="84">
        <f>'дод 2'!I171</f>
        <v>0</v>
      </c>
      <c r="I109" s="84">
        <f>'дод 2'!J171</f>
        <v>0</v>
      </c>
      <c r="J109" s="84">
        <f>'дод 2'!K171</f>
        <v>0</v>
      </c>
      <c r="K109" s="84">
        <f>'дод 2'!L171</f>
        <v>0</v>
      </c>
      <c r="L109" s="84">
        <f>'дод 2'!M171</f>
        <v>0</v>
      </c>
      <c r="M109" s="84">
        <f>'дод 2'!N171</f>
        <v>0</v>
      </c>
      <c r="N109" s="84">
        <f>'дод 2'!O171</f>
        <v>0</v>
      </c>
      <c r="O109" s="84">
        <f>'дод 2'!P171</f>
        <v>667500</v>
      </c>
      <c r="P109" s="191"/>
    </row>
    <row r="110" spans="1:16" ht="40.5" customHeight="1" x14ac:dyDescent="0.25">
      <c r="A110" s="37" t="s">
        <v>317</v>
      </c>
      <c r="B110" s="37" t="s">
        <v>53</v>
      </c>
      <c r="C110" s="3" t="s">
        <v>412</v>
      </c>
      <c r="D110" s="49">
        <f>'дод 2'!E172</f>
        <v>245000</v>
      </c>
      <c r="E110" s="49">
        <f>'дод 2'!F172</f>
        <v>245000</v>
      </c>
      <c r="F110" s="49">
        <f>'дод 2'!G172</f>
        <v>0</v>
      </c>
      <c r="G110" s="49">
        <f>'дод 2'!H172</f>
        <v>0</v>
      </c>
      <c r="H110" s="49">
        <f>'дод 2'!I172</f>
        <v>0</v>
      </c>
      <c r="I110" s="49">
        <f>'дод 2'!J172</f>
        <v>0</v>
      </c>
      <c r="J110" s="49">
        <f>'дод 2'!K172</f>
        <v>0</v>
      </c>
      <c r="K110" s="49">
        <f>'дод 2'!L172</f>
        <v>0</v>
      </c>
      <c r="L110" s="49">
        <f>'дод 2'!M172</f>
        <v>0</v>
      </c>
      <c r="M110" s="49">
        <f>'дод 2'!N172</f>
        <v>0</v>
      </c>
      <c r="N110" s="49">
        <f>'дод 2'!O172</f>
        <v>0</v>
      </c>
      <c r="O110" s="49">
        <f>'дод 2'!P172</f>
        <v>245000</v>
      </c>
      <c r="P110" s="191"/>
    </row>
    <row r="111" spans="1:16" s="54" customFormat="1" x14ac:dyDescent="0.25">
      <c r="A111" s="82"/>
      <c r="B111" s="82"/>
      <c r="C111" s="83" t="s">
        <v>395</v>
      </c>
      <c r="D111" s="84">
        <f>'дод 2'!E173</f>
        <v>245000</v>
      </c>
      <c r="E111" s="84">
        <f>'дод 2'!F173</f>
        <v>245000</v>
      </c>
      <c r="F111" s="84">
        <f>'дод 2'!G173</f>
        <v>0</v>
      </c>
      <c r="G111" s="84">
        <f>'дод 2'!H173</f>
        <v>0</v>
      </c>
      <c r="H111" s="84">
        <f>'дод 2'!I173</f>
        <v>0</v>
      </c>
      <c r="I111" s="84">
        <f>'дод 2'!J173</f>
        <v>0</v>
      </c>
      <c r="J111" s="84">
        <f>'дод 2'!K173</f>
        <v>0</v>
      </c>
      <c r="K111" s="84">
        <f>'дод 2'!L173</f>
        <v>0</v>
      </c>
      <c r="L111" s="84">
        <f>'дод 2'!M173</f>
        <v>0</v>
      </c>
      <c r="M111" s="84">
        <f>'дод 2'!N173</f>
        <v>0</v>
      </c>
      <c r="N111" s="84">
        <f>'дод 2'!O173</f>
        <v>0</v>
      </c>
      <c r="O111" s="84">
        <f>'дод 2'!P173</f>
        <v>245000</v>
      </c>
      <c r="P111" s="191"/>
    </row>
    <row r="112" spans="1:16" ht="58.5" customHeight="1" x14ac:dyDescent="0.25">
      <c r="A112" s="37" t="s">
        <v>104</v>
      </c>
      <c r="B112" s="37" t="s">
        <v>51</v>
      </c>
      <c r="C112" s="3" t="s">
        <v>31</v>
      </c>
      <c r="D112" s="49">
        <f>'дод 2'!E174</f>
        <v>17521965</v>
      </c>
      <c r="E112" s="49">
        <f>'дод 2'!F174</f>
        <v>17521965</v>
      </c>
      <c r="F112" s="49">
        <f>'дод 2'!G174</f>
        <v>13551350</v>
      </c>
      <c r="G112" s="49">
        <f>'дод 2'!H174</f>
        <v>277315</v>
      </c>
      <c r="H112" s="49">
        <f>'дод 2'!I174</f>
        <v>0</v>
      </c>
      <c r="I112" s="49">
        <f>'дод 2'!J174</f>
        <v>96200</v>
      </c>
      <c r="J112" s="49">
        <f>'дод 2'!K174</f>
        <v>0</v>
      </c>
      <c r="K112" s="49">
        <f>'дод 2'!L174</f>
        <v>96200</v>
      </c>
      <c r="L112" s="49">
        <f>'дод 2'!M174</f>
        <v>75000</v>
      </c>
      <c r="M112" s="49">
        <f>'дод 2'!N174</f>
        <v>0</v>
      </c>
      <c r="N112" s="49">
        <f>'дод 2'!O174</f>
        <v>0</v>
      </c>
      <c r="O112" s="49">
        <f>'дод 2'!P174</f>
        <v>17618165</v>
      </c>
      <c r="P112" s="191">
        <v>95</v>
      </c>
    </row>
    <row r="113" spans="1:16" ht="69.75" customHeight="1" x14ac:dyDescent="0.25">
      <c r="A113" s="37" t="s">
        <v>334</v>
      </c>
      <c r="B113" s="37" t="s">
        <v>102</v>
      </c>
      <c r="C113" s="36" t="s">
        <v>335</v>
      </c>
      <c r="D113" s="49">
        <f>SUM('дод 2'!E200)</f>
        <v>91140</v>
      </c>
      <c r="E113" s="49">
        <f>SUM('дод 2'!F200)</f>
        <v>91140</v>
      </c>
      <c r="F113" s="49">
        <f>SUM('дод 2'!G200)</f>
        <v>0</v>
      </c>
      <c r="G113" s="49">
        <f>SUM('дод 2'!H200)</f>
        <v>0</v>
      </c>
      <c r="H113" s="49">
        <f>SUM('дод 2'!I200)</f>
        <v>0</v>
      </c>
      <c r="I113" s="49">
        <f>SUM('дод 2'!J200)</f>
        <v>0</v>
      </c>
      <c r="J113" s="49">
        <f>SUM('дод 2'!K200)</f>
        <v>0</v>
      </c>
      <c r="K113" s="49">
        <f>SUM('дод 2'!L200)</f>
        <v>0</v>
      </c>
      <c r="L113" s="49">
        <f>SUM('дод 2'!M200)</f>
        <v>0</v>
      </c>
      <c r="M113" s="49">
        <f>SUM('дод 2'!N200)</f>
        <v>0</v>
      </c>
      <c r="N113" s="49">
        <f>SUM('дод 2'!O200)</f>
        <v>0</v>
      </c>
      <c r="O113" s="49">
        <f>SUM('дод 2'!P200)</f>
        <v>91140</v>
      </c>
      <c r="P113" s="191"/>
    </row>
    <row r="114" spans="1:16" s="54" customFormat="1" ht="36" customHeight="1" x14ac:dyDescent="0.25">
      <c r="A114" s="37" t="s">
        <v>105</v>
      </c>
      <c r="B114" s="37" t="s">
        <v>102</v>
      </c>
      <c r="C114" s="3" t="s">
        <v>32</v>
      </c>
      <c r="D114" s="49">
        <f>'дод 2'!E201</f>
        <v>93040</v>
      </c>
      <c r="E114" s="49">
        <f>'дод 2'!F201</f>
        <v>93040</v>
      </c>
      <c r="F114" s="49">
        <f>'дод 2'!G201</f>
        <v>0</v>
      </c>
      <c r="G114" s="49">
        <f>'дод 2'!H201</f>
        <v>0</v>
      </c>
      <c r="H114" s="49">
        <f>'дод 2'!I201</f>
        <v>0</v>
      </c>
      <c r="I114" s="49">
        <f>'дод 2'!J201</f>
        <v>0</v>
      </c>
      <c r="J114" s="49">
        <f>'дод 2'!K201</f>
        <v>0</v>
      </c>
      <c r="K114" s="49">
        <f>'дод 2'!L201</f>
        <v>0</v>
      </c>
      <c r="L114" s="49">
        <f>'дод 2'!M201</f>
        <v>0</v>
      </c>
      <c r="M114" s="49">
        <f>'дод 2'!N201</f>
        <v>0</v>
      </c>
      <c r="N114" s="49">
        <f>'дод 2'!O201</f>
        <v>0</v>
      </c>
      <c r="O114" s="49">
        <f>'дод 2'!P201</f>
        <v>93040</v>
      </c>
      <c r="P114" s="191"/>
    </row>
    <row r="115" spans="1:16" s="54" customFormat="1" ht="38.25" customHeight="1" x14ac:dyDescent="0.25">
      <c r="A115" s="37" t="s">
        <v>128</v>
      </c>
      <c r="B115" s="37" t="s">
        <v>102</v>
      </c>
      <c r="C115" s="3" t="s">
        <v>510</v>
      </c>
      <c r="D115" s="49">
        <f>'дод 2'!E28</f>
        <v>3210440</v>
      </c>
      <c r="E115" s="49">
        <f>'дод 2'!F28</f>
        <v>3210440</v>
      </c>
      <c r="F115" s="49">
        <f>'дод 2'!G28</f>
        <v>2407050</v>
      </c>
      <c r="G115" s="49">
        <f>'дод 2'!H28</f>
        <v>43630</v>
      </c>
      <c r="H115" s="49">
        <f>'дод 2'!I28</f>
        <v>0</v>
      </c>
      <c r="I115" s="49">
        <f>'дод 2'!J28</f>
        <v>0</v>
      </c>
      <c r="J115" s="49">
        <f>'дод 2'!K28</f>
        <v>0</v>
      </c>
      <c r="K115" s="49">
        <f>'дод 2'!L28</f>
        <v>0</v>
      </c>
      <c r="L115" s="49">
        <f>'дод 2'!M28</f>
        <v>0</v>
      </c>
      <c r="M115" s="49">
        <f>'дод 2'!N28</f>
        <v>0</v>
      </c>
      <c r="N115" s="49">
        <f>'дод 2'!O28</f>
        <v>0</v>
      </c>
      <c r="O115" s="49">
        <f>'дод 2'!P28</f>
        <v>3210440</v>
      </c>
      <c r="P115" s="191"/>
    </row>
    <row r="116" spans="1:16" s="54" customFormat="1" ht="37.5" customHeight="1" x14ac:dyDescent="0.25">
      <c r="A116" s="40" t="s">
        <v>109</v>
      </c>
      <c r="B116" s="40" t="s">
        <v>102</v>
      </c>
      <c r="C116" s="3" t="s">
        <v>342</v>
      </c>
      <c r="D116" s="49">
        <f>'дод 2'!E29</f>
        <v>783850</v>
      </c>
      <c r="E116" s="49">
        <f>'дод 2'!F29</f>
        <v>783850</v>
      </c>
      <c r="F116" s="49">
        <f>'дод 2'!G29</f>
        <v>0</v>
      </c>
      <c r="G116" s="49">
        <f>'дод 2'!H29</f>
        <v>0</v>
      </c>
      <c r="H116" s="49">
        <f>'дод 2'!I29</f>
        <v>0</v>
      </c>
      <c r="I116" s="49">
        <f>'дод 2'!J29</f>
        <v>0</v>
      </c>
      <c r="J116" s="49">
        <f>'дод 2'!K29</f>
        <v>0</v>
      </c>
      <c r="K116" s="49">
        <f>'дод 2'!L29</f>
        <v>0</v>
      </c>
      <c r="L116" s="49">
        <f>'дод 2'!M29</f>
        <v>0</v>
      </c>
      <c r="M116" s="49">
        <f>'дод 2'!N29</f>
        <v>0</v>
      </c>
      <c r="N116" s="49">
        <f>'дод 2'!O29</f>
        <v>0</v>
      </c>
      <c r="O116" s="49">
        <f>'дод 2'!P29</f>
        <v>783850</v>
      </c>
      <c r="P116" s="191"/>
    </row>
    <row r="117" spans="1:16" ht="69" customHeight="1" x14ac:dyDescent="0.25">
      <c r="A117" s="37" t="s">
        <v>110</v>
      </c>
      <c r="B117" s="37" t="s">
        <v>102</v>
      </c>
      <c r="C117" s="6" t="s">
        <v>20</v>
      </c>
      <c r="D117" s="49">
        <f>'дод 2'!E30+'дод 2'!E107</f>
        <v>5780000</v>
      </c>
      <c r="E117" s="49">
        <f>'дод 2'!F30+'дод 2'!F107</f>
        <v>5780000</v>
      </c>
      <c r="F117" s="49">
        <f>'дод 2'!G30+'дод 2'!G107</f>
        <v>0</v>
      </c>
      <c r="G117" s="49">
        <f>'дод 2'!H30+'дод 2'!H107</f>
        <v>0</v>
      </c>
      <c r="H117" s="49">
        <f>'дод 2'!I30+'дод 2'!I107</f>
        <v>0</v>
      </c>
      <c r="I117" s="49">
        <f>'дод 2'!J30+'дод 2'!J107</f>
        <v>0</v>
      </c>
      <c r="J117" s="49">
        <f>'дод 2'!K30+'дод 2'!K107</f>
        <v>0</v>
      </c>
      <c r="K117" s="49">
        <f>'дод 2'!L30+'дод 2'!L107</f>
        <v>0</v>
      </c>
      <c r="L117" s="49">
        <f>'дод 2'!M30+'дод 2'!M107</f>
        <v>0</v>
      </c>
      <c r="M117" s="49">
        <f>'дод 2'!N30+'дод 2'!N107</f>
        <v>0</v>
      </c>
      <c r="N117" s="49">
        <f>'дод 2'!O30+'дод 2'!O107</f>
        <v>0</v>
      </c>
      <c r="O117" s="49">
        <f>'дод 2'!P30+'дод 2'!P107</f>
        <v>5780000</v>
      </c>
      <c r="P117" s="191"/>
    </row>
    <row r="118" spans="1:16" ht="68.25" customHeight="1" x14ac:dyDescent="0.25">
      <c r="A118" s="37" t="s">
        <v>111</v>
      </c>
      <c r="B118" s="37">
        <v>1010</v>
      </c>
      <c r="C118" s="3" t="s">
        <v>288</v>
      </c>
      <c r="D118" s="49">
        <f>'дод 2'!E175</f>
        <v>3000000</v>
      </c>
      <c r="E118" s="49">
        <f>'дод 2'!F175</f>
        <v>3000000</v>
      </c>
      <c r="F118" s="49">
        <f>'дод 2'!G175</f>
        <v>0</v>
      </c>
      <c r="G118" s="49">
        <f>'дод 2'!H175</f>
        <v>0</v>
      </c>
      <c r="H118" s="49">
        <f>'дод 2'!I175</f>
        <v>0</v>
      </c>
      <c r="I118" s="49">
        <f>'дод 2'!J175</f>
        <v>0</v>
      </c>
      <c r="J118" s="49">
        <f>'дод 2'!K175</f>
        <v>0</v>
      </c>
      <c r="K118" s="49">
        <f>'дод 2'!L175</f>
        <v>0</v>
      </c>
      <c r="L118" s="49">
        <f>'дод 2'!M175</f>
        <v>0</v>
      </c>
      <c r="M118" s="49">
        <f>'дод 2'!N175</f>
        <v>0</v>
      </c>
      <c r="N118" s="49">
        <f>'дод 2'!O175</f>
        <v>0</v>
      </c>
      <c r="O118" s="49">
        <f>'дод 2'!P175</f>
        <v>3000000</v>
      </c>
      <c r="P118" s="191"/>
    </row>
    <row r="119" spans="1:16" s="54" customFormat="1" ht="53.25" customHeight="1" x14ac:dyDescent="0.25">
      <c r="A119" s="37" t="s">
        <v>318</v>
      </c>
      <c r="B119" s="37">
        <v>1010</v>
      </c>
      <c r="C119" s="3" t="s">
        <v>407</v>
      </c>
      <c r="D119" s="49">
        <f>'дод 2'!E176</f>
        <v>198209</v>
      </c>
      <c r="E119" s="49">
        <f>'дод 2'!F176</f>
        <v>198209</v>
      </c>
      <c r="F119" s="49">
        <f>'дод 2'!G176</f>
        <v>0</v>
      </c>
      <c r="G119" s="49">
        <f>'дод 2'!H176</f>
        <v>0</v>
      </c>
      <c r="H119" s="49">
        <f>'дод 2'!I176</f>
        <v>0</v>
      </c>
      <c r="I119" s="49">
        <f>'дод 2'!J176</f>
        <v>0</v>
      </c>
      <c r="J119" s="49">
        <f>'дод 2'!K176</f>
        <v>0</v>
      </c>
      <c r="K119" s="49">
        <f>'дод 2'!L176</f>
        <v>0</v>
      </c>
      <c r="L119" s="49">
        <f>'дод 2'!M176</f>
        <v>0</v>
      </c>
      <c r="M119" s="49">
        <f>'дод 2'!N176</f>
        <v>0</v>
      </c>
      <c r="N119" s="49">
        <f>'дод 2'!O176</f>
        <v>0</v>
      </c>
      <c r="O119" s="49">
        <f>'дод 2'!P176</f>
        <v>198209</v>
      </c>
      <c r="P119" s="191"/>
    </row>
    <row r="120" spans="1:16" s="54" customFormat="1" x14ac:dyDescent="0.25">
      <c r="A120" s="82"/>
      <c r="B120" s="82"/>
      <c r="C120" s="83" t="s">
        <v>395</v>
      </c>
      <c r="D120" s="84">
        <f>'дод 2'!E177</f>
        <v>198209</v>
      </c>
      <c r="E120" s="84">
        <f>'дод 2'!F177</f>
        <v>198209</v>
      </c>
      <c r="F120" s="84">
        <f>'дод 2'!G177</f>
        <v>0</v>
      </c>
      <c r="G120" s="84">
        <f>'дод 2'!H177</f>
        <v>0</v>
      </c>
      <c r="H120" s="84">
        <f>'дод 2'!I177</f>
        <v>0</v>
      </c>
      <c r="I120" s="84">
        <f>'дод 2'!J177</f>
        <v>0</v>
      </c>
      <c r="J120" s="84">
        <f>'дод 2'!K177</f>
        <v>0</v>
      </c>
      <c r="K120" s="84">
        <f>'дод 2'!L177</f>
        <v>0</v>
      </c>
      <c r="L120" s="84">
        <f>'дод 2'!M177</f>
        <v>0</v>
      </c>
      <c r="M120" s="84">
        <f>'дод 2'!N177</f>
        <v>0</v>
      </c>
      <c r="N120" s="84">
        <f>'дод 2'!O177</f>
        <v>0</v>
      </c>
      <c r="O120" s="84">
        <f>'дод 2'!P177</f>
        <v>198209</v>
      </c>
      <c r="P120" s="191"/>
    </row>
    <row r="121" spans="1:16" s="54" customFormat="1" ht="36" customHeight="1" x14ac:dyDescent="0.25">
      <c r="A121" s="37" t="s">
        <v>319</v>
      </c>
      <c r="B121" s="37">
        <v>1010</v>
      </c>
      <c r="C121" s="3" t="s">
        <v>408</v>
      </c>
      <c r="D121" s="49">
        <f>'дод 2'!E178</f>
        <v>90</v>
      </c>
      <c r="E121" s="49">
        <f>'дод 2'!F178</f>
        <v>90</v>
      </c>
      <c r="F121" s="49">
        <f>'дод 2'!G178</f>
        <v>0</v>
      </c>
      <c r="G121" s="49">
        <f>'дод 2'!H178</f>
        <v>0</v>
      </c>
      <c r="H121" s="49">
        <f>'дод 2'!I178</f>
        <v>0</v>
      </c>
      <c r="I121" s="49">
        <f>'дод 2'!J178</f>
        <v>0</v>
      </c>
      <c r="J121" s="49">
        <f>'дод 2'!K178</f>
        <v>0</v>
      </c>
      <c r="K121" s="49">
        <f>'дод 2'!L178</f>
        <v>0</v>
      </c>
      <c r="L121" s="49">
        <f>'дод 2'!M178</f>
        <v>0</v>
      </c>
      <c r="M121" s="49">
        <f>'дод 2'!N178</f>
        <v>0</v>
      </c>
      <c r="N121" s="49">
        <f>'дод 2'!O178</f>
        <v>0</v>
      </c>
      <c r="O121" s="49">
        <f>'дод 2'!P178</f>
        <v>90</v>
      </c>
      <c r="P121" s="191"/>
    </row>
    <row r="122" spans="1:16" s="54" customFormat="1" x14ac:dyDescent="0.25">
      <c r="A122" s="82"/>
      <c r="B122" s="82"/>
      <c r="C122" s="83" t="s">
        <v>395</v>
      </c>
      <c r="D122" s="84">
        <f>'дод 2'!E179</f>
        <v>90</v>
      </c>
      <c r="E122" s="84">
        <f>'дод 2'!F179</f>
        <v>90</v>
      </c>
      <c r="F122" s="84">
        <f>'дод 2'!G179</f>
        <v>0</v>
      </c>
      <c r="G122" s="84">
        <f>'дод 2'!H179</f>
        <v>0</v>
      </c>
      <c r="H122" s="84">
        <f>'дод 2'!I179</f>
        <v>0</v>
      </c>
      <c r="I122" s="84">
        <f>'дод 2'!J179</f>
        <v>0</v>
      </c>
      <c r="J122" s="84">
        <f>'дод 2'!K179</f>
        <v>0</v>
      </c>
      <c r="K122" s="84">
        <f>'дод 2'!L179</f>
        <v>0</v>
      </c>
      <c r="L122" s="84">
        <f>'дод 2'!M179</f>
        <v>0</v>
      </c>
      <c r="M122" s="84">
        <f>'дод 2'!N179</f>
        <v>0</v>
      </c>
      <c r="N122" s="84">
        <f>'дод 2'!O179</f>
        <v>0</v>
      </c>
      <c r="O122" s="84">
        <f>'дод 2'!P179</f>
        <v>90</v>
      </c>
      <c r="P122" s="191"/>
    </row>
    <row r="123" spans="1:16" ht="72.75" customHeight="1" x14ac:dyDescent="0.25">
      <c r="A123" s="37" t="s">
        <v>106</v>
      </c>
      <c r="B123" s="37" t="s">
        <v>54</v>
      </c>
      <c r="C123" s="3" t="s">
        <v>343</v>
      </c>
      <c r="D123" s="49">
        <f>'дод 2'!E180</f>
        <v>2213520</v>
      </c>
      <c r="E123" s="49">
        <f>'дод 2'!F180</f>
        <v>2213520</v>
      </c>
      <c r="F123" s="49">
        <f>'дод 2'!G180</f>
        <v>0</v>
      </c>
      <c r="G123" s="49">
        <f>'дод 2'!H180</f>
        <v>0</v>
      </c>
      <c r="H123" s="49">
        <f>'дод 2'!I180</f>
        <v>0</v>
      </c>
      <c r="I123" s="49">
        <f>'дод 2'!J180</f>
        <v>0</v>
      </c>
      <c r="J123" s="49">
        <f>'дод 2'!K180</f>
        <v>0</v>
      </c>
      <c r="K123" s="49">
        <f>'дод 2'!L180</f>
        <v>0</v>
      </c>
      <c r="L123" s="49">
        <f>'дод 2'!M180</f>
        <v>0</v>
      </c>
      <c r="M123" s="49">
        <f>'дод 2'!N180</f>
        <v>0</v>
      </c>
      <c r="N123" s="49">
        <f>'дод 2'!O180</f>
        <v>0</v>
      </c>
      <c r="O123" s="49">
        <f>'дод 2'!P180</f>
        <v>2213520</v>
      </c>
      <c r="P123" s="191"/>
    </row>
    <row r="124" spans="1:16" s="54" customFormat="1" ht="19.5" customHeight="1" x14ac:dyDescent="0.25">
      <c r="A124" s="37" t="s">
        <v>289</v>
      </c>
      <c r="B124" s="37" t="s">
        <v>53</v>
      </c>
      <c r="C124" s="3" t="s">
        <v>18</v>
      </c>
      <c r="D124" s="49">
        <f>'дод 2'!E181</f>
        <v>2042960</v>
      </c>
      <c r="E124" s="49">
        <f>'дод 2'!F181</f>
        <v>2042960</v>
      </c>
      <c r="F124" s="49">
        <f>'дод 2'!G181</f>
        <v>0</v>
      </c>
      <c r="G124" s="49">
        <f>'дод 2'!H181</f>
        <v>0</v>
      </c>
      <c r="H124" s="49">
        <f>'дод 2'!I181</f>
        <v>0</v>
      </c>
      <c r="I124" s="49">
        <f>'дод 2'!J181</f>
        <v>0</v>
      </c>
      <c r="J124" s="49">
        <f>'дод 2'!K181</f>
        <v>0</v>
      </c>
      <c r="K124" s="49">
        <f>'дод 2'!L181</f>
        <v>0</v>
      </c>
      <c r="L124" s="49">
        <f>'дод 2'!M181</f>
        <v>0</v>
      </c>
      <c r="M124" s="49">
        <f>'дод 2'!N181</f>
        <v>0</v>
      </c>
      <c r="N124" s="49">
        <f>'дод 2'!O181</f>
        <v>0</v>
      </c>
      <c r="O124" s="49">
        <f>'дод 2'!P181</f>
        <v>2042960</v>
      </c>
      <c r="P124" s="191"/>
    </row>
    <row r="125" spans="1:16" s="54" customFormat="1" ht="51" customHeight="1" x14ac:dyDescent="0.25">
      <c r="A125" s="37" t="s">
        <v>290</v>
      </c>
      <c r="B125" s="37" t="s">
        <v>53</v>
      </c>
      <c r="C125" s="61" t="s">
        <v>511</v>
      </c>
      <c r="D125" s="49">
        <f>'дод 2'!E182</f>
        <v>2250688</v>
      </c>
      <c r="E125" s="49">
        <f>'дод 2'!F182</f>
        <v>2250688</v>
      </c>
      <c r="F125" s="49">
        <f>'дод 2'!G182</f>
        <v>0</v>
      </c>
      <c r="G125" s="49">
        <f>'дод 2'!H182</f>
        <v>0</v>
      </c>
      <c r="H125" s="49">
        <f>'дод 2'!I182</f>
        <v>0</v>
      </c>
      <c r="I125" s="49">
        <f>'дод 2'!J182</f>
        <v>0</v>
      </c>
      <c r="J125" s="49">
        <f>'дод 2'!K182</f>
        <v>0</v>
      </c>
      <c r="K125" s="49">
        <f>'дод 2'!L182</f>
        <v>0</v>
      </c>
      <c r="L125" s="49">
        <f>'дод 2'!M182</f>
        <v>0</v>
      </c>
      <c r="M125" s="49">
        <f>'дод 2'!N182</f>
        <v>0</v>
      </c>
      <c r="N125" s="49">
        <f>'дод 2'!O182</f>
        <v>0</v>
      </c>
      <c r="O125" s="49">
        <f>'дод 2'!P182</f>
        <v>2250688</v>
      </c>
      <c r="P125" s="191"/>
    </row>
    <row r="126" spans="1:16" ht="36.75" customHeight="1" x14ac:dyDescent="0.25">
      <c r="A126" s="37" t="s">
        <v>107</v>
      </c>
      <c r="B126" s="37" t="s">
        <v>57</v>
      </c>
      <c r="C126" s="3" t="s">
        <v>344</v>
      </c>
      <c r="D126" s="49">
        <f>'дод 2'!E183</f>
        <v>92000</v>
      </c>
      <c r="E126" s="49">
        <f>'дод 2'!F183</f>
        <v>92000</v>
      </c>
      <c r="F126" s="49">
        <f>'дод 2'!G183</f>
        <v>0</v>
      </c>
      <c r="G126" s="49">
        <f>'дод 2'!H183</f>
        <v>0</v>
      </c>
      <c r="H126" s="49">
        <f>'дод 2'!I183</f>
        <v>0</v>
      </c>
      <c r="I126" s="49">
        <f>'дод 2'!J183</f>
        <v>0</v>
      </c>
      <c r="J126" s="49">
        <f>'дод 2'!K183</f>
        <v>0</v>
      </c>
      <c r="K126" s="49">
        <f>'дод 2'!L183</f>
        <v>0</v>
      </c>
      <c r="L126" s="49">
        <f>'дод 2'!M183</f>
        <v>0</v>
      </c>
      <c r="M126" s="49">
        <f>'дод 2'!N183</f>
        <v>0</v>
      </c>
      <c r="N126" s="49">
        <f>'дод 2'!O183</f>
        <v>0</v>
      </c>
      <c r="O126" s="49">
        <f>'дод 2'!P183</f>
        <v>92000</v>
      </c>
      <c r="P126" s="191"/>
    </row>
    <row r="127" spans="1:16" ht="20.25" customHeight="1" x14ac:dyDescent="0.25">
      <c r="A127" s="37" t="s">
        <v>291</v>
      </c>
      <c r="B127" s="37" t="s">
        <v>108</v>
      </c>
      <c r="C127" s="3" t="s">
        <v>38</v>
      </c>
      <c r="D127" s="49">
        <f>'дод 2'!E184+'дод 2'!E224</f>
        <v>210000</v>
      </c>
      <c r="E127" s="49">
        <f>'дод 2'!F184+'дод 2'!F224</f>
        <v>210000</v>
      </c>
      <c r="F127" s="49">
        <f>'дод 2'!G184+'дод 2'!G224</f>
        <v>40900</v>
      </c>
      <c r="G127" s="49">
        <f>'дод 2'!H184+'дод 2'!H224</f>
        <v>0</v>
      </c>
      <c r="H127" s="49">
        <f>'дод 2'!I184+'дод 2'!I224</f>
        <v>0</v>
      </c>
      <c r="I127" s="49">
        <f>'дод 2'!J184+'дод 2'!J224</f>
        <v>0</v>
      </c>
      <c r="J127" s="49">
        <f>'дод 2'!K184+'дод 2'!K224</f>
        <v>0</v>
      </c>
      <c r="K127" s="49">
        <f>'дод 2'!L184+'дод 2'!L224</f>
        <v>0</v>
      </c>
      <c r="L127" s="49">
        <f>'дод 2'!M184+'дод 2'!M224</f>
        <v>0</v>
      </c>
      <c r="M127" s="49">
        <f>'дод 2'!N184+'дод 2'!N224</f>
        <v>0</v>
      </c>
      <c r="N127" s="49">
        <f>'дод 2'!O184+'дод 2'!O224</f>
        <v>0</v>
      </c>
      <c r="O127" s="49">
        <f>'дод 2'!P184+'дод 2'!P224</f>
        <v>210000</v>
      </c>
      <c r="P127" s="191"/>
    </row>
    <row r="128" spans="1:16" ht="240.75" customHeight="1" x14ac:dyDescent="0.25">
      <c r="A128" s="37">
        <v>3221</v>
      </c>
      <c r="B128" s="59" t="s">
        <v>54</v>
      </c>
      <c r="C128" s="36" t="s">
        <v>607</v>
      </c>
      <c r="D128" s="49">
        <f>'дод 2'!E185</f>
        <v>0</v>
      </c>
      <c r="E128" s="49">
        <f>'дод 2'!F185</f>
        <v>0</v>
      </c>
      <c r="F128" s="49">
        <f>'дод 2'!G185</f>
        <v>0</v>
      </c>
      <c r="G128" s="49">
        <f>'дод 2'!H185</f>
        <v>0</v>
      </c>
      <c r="H128" s="49">
        <f>'дод 2'!I185</f>
        <v>0</v>
      </c>
      <c r="I128" s="49">
        <f>'дод 2'!J185</f>
        <v>975480.06</v>
      </c>
      <c r="J128" s="49">
        <f>'дод 2'!K185</f>
        <v>975480.06</v>
      </c>
      <c r="K128" s="49">
        <f>'дод 2'!L185</f>
        <v>0</v>
      </c>
      <c r="L128" s="49">
        <f>'дод 2'!M185</f>
        <v>0</v>
      </c>
      <c r="M128" s="49">
        <f>'дод 2'!N185</f>
        <v>0</v>
      </c>
      <c r="N128" s="49">
        <f>'дод 2'!O185</f>
        <v>975480.06</v>
      </c>
      <c r="O128" s="49">
        <f>'дод 2'!P185</f>
        <v>975480.06</v>
      </c>
      <c r="P128" s="191"/>
    </row>
    <row r="129" spans="1:16" s="54" customFormat="1" ht="267.75" customHeight="1" x14ac:dyDescent="0.25">
      <c r="A129" s="82"/>
      <c r="B129" s="93"/>
      <c r="C129" s="91" t="s">
        <v>447</v>
      </c>
      <c r="D129" s="84">
        <f>'дод 2'!E186</f>
        <v>0</v>
      </c>
      <c r="E129" s="84">
        <f>'дод 2'!F186</f>
        <v>0</v>
      </c>
      <c r="F129" s="84">
        <f>'дод 2'!G186</f>
        <v>0</v>
      </c>
      <c r="G129" s="84">
        <f>'дод 2'!H186</f>
        <v>0</v>
      </c>
      <c r="H129" s="84">
        <f>'дод 2'!I186</f>
        <v>0</v>
      </c>
      <c r="I129" s="84">
        <f>'дод 2'!J186</f>
        <v>975480.06</v>
      </c>
      <c r="J129" s="84">
        <f>'дод 2'!K186</f>
        <v>975480.06</v>
      </c>
      <c r="K129" s="84">
        <f>'дод 2'!L186</f>
        <v>0</v>
      </c>
      <c r="L129" s="84">
        <f>'дод 2'!M186</f>
        <v>0</v>
      </c>
      <c r="M129" s="84">
        <f>'дод 2'!N186</f>
        <v>0</v>
      </c>
      <c r="N129" s="84">
        <f>'дод 2'!O186</f>
        <v>975480.06</v>
      </c>
      <c r="O129" s="84">
        <f>'дод 2'!P186</f>
        <v>975480.06</v>
      </c>
      <c r="P129" s="191">
        <v>96</v>
      </c>
    </row>
    <row r="130" spans="1:16" s="54" customFormat="1" ht="293.25" customHeight="1" x14ac:dyDescent="0.25">
      <c r="A130" s="42">
        <v>3222</v>
      </c>
      <c r="B130" s="107" t="s">
        <v>54</v>
      </c>
      <c r="C130" s="36" t="s">
        <v>609</v>
      </c>
      <c r="D130" s="49">
        <f>'дод 2'!E187</f>
        <v>0</v>
      </c>
      <c r="E130" s="49">
        <f>'дод 2'!F187</f>
        <v>0</v>
      </c>
      <c r="F130" s="49">
        <f>'дод 2'!G187</f>
        <v>0</v>
      </c>
      <c r="G130" s="49">
        <f>'дод 2'!H187</f>
        <v>0</v>
      </c>
      <c r="H130" s="49">
        <f>'дод 2'!I187</f>
        <v>0</v>
      </c>
      <c r="I130" s="49">
        <f>'дод 2'!J187</f>
        <v>1176130.99</v>
      </c>
      <c r="J130" s="49">
        <f>'дод 2'!K187</f>
        <v>1176130.99</v>
      </c>
      <c r="K130" s="49">
        <f>'дод 2'!L187</f>
        <v>0</v>
      </c>
      <c r="L130" s="49">
        <f>'дод 2'!M187</f>
        <v>0</v>
      </c>
      <c r="M130" s="49">
        <f>'дод 2'!N187</f>
        <v>0</v>
      </c>
      <c r="N130" s="49">
        <f>'дод 2'!O187</f>
        <v>1176130.99</v>
      </c>
      <c r="O130" s="49">
        <f>'дод 2'!P187</f>
        <v>1176130.99</v>
      </c>
      <c r="P130" s="191"/>
    </row>
    <row r="131" spans="1:16" s="54" customFormat="1" ht="333.75" customHeight="1" x14ac:dyDescent="0.25">
      <c r="A131" s="82"/>
      <c r="B131" s="93"/>
      <c r="C131" s="91" t="s">
        <v>610</v>
      </c>
      <c r="D131" s="84">
        <f>'дод 2'!E188</f>
        <v>0</v>
      </c>
      <c r="E131" s="84">
        <f>'дод 2'!F188</f>
        <v>0</v>
      </c>
      <c r="F131" s="84">
        <f>'дод 2'!G188</f>
        <v>0</v>
      </c>
      <c r="G131" s="84">
        <f>'дод 2'!H188</f>
        <v>0</v>
      </c>
      <c r="H131" s="84">
        <f>'дод 2'!I188</f>
        <v>0</v>
      </c>
      <c r="I131" s="84">
        <f>'дод 2'!J188</f>
        <v>1176130.99</v>
      </c>
      <c r="J131" s="84">
        <f>'дод 2'!K188</f>
        <v>1176130.99</v>
      </c>
      <c r="K131" s="84">
        <f>'дод 2'!L188</f>
        <v>0</v>
      </c>
      <c r="L131" s="84">
        <f>'дод 2'!M188</f>
        <v>0</v>
      </c>
      <c r="M131" s="84">
        <f>'дод 2'!N188</f>
        <v>0</v>
      </c>
      <c r="N131" s="84">
        <f>'дод 2'!O188</f>
        <v>1176130.99</v>
      </c>
      <c r="O131" s="84">
        <f>'дод 2'!P188</f>
        <v>1176130.99</v>
      </c>
      <c r="P131" s="191"/>
    </row>
    <row r="132" spans="1:16" ht="189" hidden="1" customHeight="1" x14ac:dyDescent="0.25">
      <c r="A132" s="37">
        <v>3223</v>
      </c>
      <c r="B132" s="59" t="s">
        <v>54</v>
      </c>
      <c r="C132" s="36" t="s">
        <v>445</v>
      </c>
      <c r="D132" s="49">
        <f>'дод 2'!E189</f>
        <v>0</v>
      </c>
      <c r="E132" s="49">
        <f>'дод 2'!F189</f>
        <v>0</v>
      </c>
      <c r="F132" s="49">
        <f>'дод 2'!G189</f>
        <v>0</v>
      </c>
      <c r="G132" s="49">
        <f>'дод 2'!H189</f>
        <v>0</v>
      </c>
      <c r="H132" s="49">
        <f>'дод 2'!I189</f>
        <v>0</v>
      </c>
      <c r="I132" s="49">
        <f>'дод 2'!J189</f>
        <v>0</v>
      </c>
      <c r="J132" s="49">
        <f>'дод 2'!K189</f>
        <v>0</v>
      </c>
      <c r="K132" s="49">
        <f>'дод 2'!L189</f>
        <v>0</v>
      </c>
      <c r="L132" s="49">
        <f>'дод 2'!M189</f>
        <v>0</v>
      </c>
      <c r="M132" s="49">
        <f>'дод 2'!N189</f>
        <v>0</v>
      </c>
      <c r="N132" s="49">
        <f>'дод 2'!O189</f>
        <v>0</v>
      </c>
      <c r="O132" s="49">
        <f>'дод 2'!P189</f>
        <v>0</v>
      </c>
      <c r="P132" s="191"/>
    </row>
    <row r="133" spans="1:16" s="54" customFormat="1" ht="236.25" hidden="1" customHeight="1" x14ac:dyDescent="0.25">
      <c r="A133" s="82"/>
      <c r="B133" s="93"/>
      <c r="C133" s="91" t="s">
        <v>446</v>
      </c>
      <c r="D133" s="84">
        <f>'дод 2'!E190</f>
        <v>0</v>
      </c>
      <c r="E133" s="84">
        <f>'дод 2'!F190</f>
        <v>0</v>
      </c>
      <c r="F133" s="84">
        <f>'дод 2'!G190</f>
        <v>0</v>
      </c>
      <c r="G133" s="84">
        <f>'дод 2'!H190</f>
        <v>0</v>
      </c>
      <c r="H133" s="84">
        <f>'дод 2'!I190</f>
        <v>0</v>
      </c>
      <c r="I133" s="84">
        <f>'дод 2'!J190</f>
        <v>0</v>
      </c>
      <c r="J133" s="84">
        <f>'дод 2'!K190</f>
        <v>0</v>
      </c>
      <c r="K133" s="84">
        <f>'дод 2'!L190</f>
        <v>0</v>
      </c>
      <c r="L133" s="84">
        <f>'дод 2'!M190</f>
        <v>0</v>
      </c>
      <c r="M133" s="84">
        <f>'дод 2'!N190</f>
        <v>0</v>
      </c>
      <c r="N133" s="84">
        <f>'дод 2'!O190</f>
        <v>0</v>
      </c>
      <c r="O133" s="84">
        <f>'дод 2'!P190</f>
        <v>0</v>
      </c>
      <c r="P133" s="191"/>
    </row>
    <row r="134" spans="1:16" s="54" customFormat="1" ht="32.25" customHeight="1" x14ac:dyDescent="0.25">
      <c r="A134" s="37" t="s">
        <v>292</v>
      </c>
      <c r="B134" s="37" t="s">
        <v>57</v>
      </c>
      <c r="C134" s="3" t="s">
        <v>294</v>
      </c>
      <c r="D134" s="49">
        <f>'дод 2'!E191+'дод 2'!E31</f>
        <v>8468314.5599999987</v>
      </c>
      <c r="E134" s="49">
        <f>'дод 2'!F191+'дод 2'!F31</f>
        <v>8468314.5599999987</v>
      </c>
      <c r="F134" s="49">
        <f>'дод 2'!G191+'дод 2'!G31</f>
        <v>5153600</v>
      </c>
      <c r="G134" s="49">
        <f>'дод 2'!H191+'дод 2'!H31</f>
        <v>527146</v>
      </c>
      <c r="H134" s="49">
        <f>'дод 2'!I191+'дод 2'!I31</f>
        <v>0</v>
      </c>
      <c r="I134" s="49">
        <f>'дод 2'!J191+'дод 2'!J31</f>
        <v>161000</v>
      </c>
      <c r="J134" s="49">
        <f>'дод 2'!K191+'дод 2'!K31</f>
        <v>161000</v>
      </c>
      <c r="K134" s="49">
        <f>'дод 2'!L191+'дод 2'!L31</f>
        <v>0</v>
      </c>
      <c r="L134" s="49">
        <f>'дод 2'!M191+'дод 2'!M31</f>
        <v>0</v>
      </c>
      <c r="M134" s="49">
        <f>'дод 2'!N191+'дод 2'!N31</f>
        <v>0</v>
      </c>
      <c r="N134" s="49">
        <f>'дод 2'!O191+'дод 2'!O31</f>
        <v>161000</v>
      </c>
      <c r="O134" s="49">
        <f>'дод 2'!P191+'дод 2'!P31</f>
        <v>8629314.5599999987</v>
      </c>
      <c r="P134" s="191"/>
    </row>
    <row r="135" spans="1:16" s="54" customFormat="1" ht="31.5" customHeight="1" x14ac:dyDescent="0.25">
      <c r="A135" s="37" t="s">
        <v>293</v>
      </c>
      <c r="B135" s="37" t="s">
        <v>57</v>
      </c>
      <c r="C135" s="3" t="s">
        <v>524</v>
      </c>
      <c r="D135" s="49">
        <f>'дод 2'!E32+'дод 2'!E108+'дод 2'!E192</f>
        <v>39045002.549999997</v>
      </c>
      <c r="E135" s="49">
        <f>'дод 2'!F32+'дод 2'!F108+'дод 2'!F192</f>
        <v>39045002.549999997</v>
      </c>
      <c r="F135" s="49">
        <f>'дод 2'!G32+'дод 2'!G108+'дод 2'!G192</f>
        <v>0</v>
      </c>
      <c r="G135" s="49">
        <f>'дод 2'!H32+'дод 2'!H108+'дод 2'!H192</f>
        <v>0</v>
      </c>
      <c r="H135" s="49">
        <f>'дод 2'!I32+'дод 2'!I108+'дод 2'!I192</f>
        <v>0</v>
      </c>
      <c r="I135" s="49">
        <f>'дод 2'!J32+'дод 2'!J108+'дод 2'!J192</f>
        <v>45000</v>
      </c>
      <c r="J135" s="49">
        <f>'дод 2'!K32+'дод 2'!K108+'дод 2'!K192</f>
        <v>45000</v>
      </c>
      <c r="K135" s="49">
        <f>'дод 2'!L32+'дод 2'!L108+'дод 2'!L192</f>
        <v>0</v>
      </c>
      <c r="L135" s="49">
        <f>'дод 2'!M32+'дод 2'!M108+'дод 2'!M192</f>
        <v>0</v>
      </c>
      <c r="M135" s="49">
        <f>'дод 2'!N32+'дод 2'!N108+'дод 2'!N192</f>
        <v>0</v>
      </c>
      <c r="N135" s="49">
        <f>'дод 2'!O32+'дод 2'!O108+'дод 2'!O192</f>
        <v>45000</v>
      </c>
      <c r="O135" s="49">
        <f>'дод 2'!P32+'дод 2'!P108+'дод 2'!P192</f>
        <v>39090002.549999997</v>
      </c>
      <c r="P135" s="191"/>
    </row>
    <row r="136" spans="1:16" s="54" customFormat="1" x14ac:dyDescent="0.25">
      <c r="A136" s="82"/>
      <c r="B136" s="82"/>
      <c r="C136" s="83" t="s">
        <v>395</v>
      </c>
      <c r="D136" s="84">
        <f>'дод 2'!E193</f>
        <v>348000</v>
      </c>
      <c r="E136" s="84">
        <f>'дод 2'!F193</f>
        <v>348000</v>
      </c>
      <c r="F136" s="84">
        <f>'дод 2'!G193</f>
        <v>0</v>
      </c>
      <c r="G136" s="84">
        <f>'дод 2'!H193</f>
        <v>0</v>
      </c>
      <c r="H136" s="84">
        <f>'дод 2'!I193</f>
        <v>0</v>
      </c>
      <c r="I136" s="84">
        <f>'дод 2'!J193</f>
        <v>0</v>
      </c>
      <c r="J136" s="84">
        <f>'дод 2'!K193</f>
        <v>0</v>
      </c>
      <c r="K136" s="84">
        <f>'дод 2'!L193</f>
        <v>0</v>
      </c>
      <c r="L136" s="84">
        <f>'дод 2'!M193</f>
        <v>0</v>
      </c>
      <c r="M136" s="84">
        <f>'дод 2'!N193</f>
        <v>0</v>
      </c>
      <c r="N136" s="84">
        <f>'дод 2'!O193</f>
        <v>0</v>
      </c>
      <c r="O136" s="84">
        <f>'дод 2'!P193</f>
        <v>348000</v>
      </c>
      <c r="P136" s="191"/>
    </row>
    <row r="137" spans="1:16" s="52" customFormat="1" ht="19.5" customHeight="1" x14ac:dyDescent="0.25">
      <c r="A137" s="38" t="s">
        <v>72</v>
      </c>
      <c r="B137" s="41"/>
      <c r="C137" s="2" t="s">
        <v>73</v>
      </c>
      <c r="D137" s="48">
        <f t="shared" ref="D137:O137" si="22">D138+D139+D140+D141</f>
        <v>36997478</v>
      </c>
      <c r="E137" s="48">
        <f t="shared" si="22"/>
        <v>36997478</v>
      </c>
      <c r="F137" s="48">
        <f t="shared" si="22"/>
        <v>24290500</v>
      </c>
      <c r="G137" s="48">
        <f t="shared" si="22"/>
        <v>2323897</v>
      </c>
      <c r="H137" s="48">
        <f t="shared" si="22"/>
        <v>0</v>
      </c>
      <c r="I137" s="48">
        <f t="shared" si="22"/>
        <v>346500</v>
      </c>
      <c r="J137" s="48">
        <f t="shared" si="22"/>
        <v>315500</v>
      </c>
      <c r="K137" s="48">
        <f t="shared" si="22"/>
        <v>31000</v>
      </c>
      <c r="L137" s="48">
        <f t="shared" si="22"/>
        <v>12100</v>
      </c>
      <c r="M137" s="48">
        <f t="shared" si="22"/>
        <v>3300</v>
      </c>
      <c r="N137" s="48">
        <f t="shared" si="22"/>
        <v>315500</v>
      </c>
      <c r="O137" s="48">
        <f t="shared" si="22"/>
        <v>37343978</v>
      </c>
      <c r="P137" s="191"/>
    </row>
    <row r="138" spans="1:16" ht="22.5" customHeight="1" x14ac:dyDescent="0.25">
      <c r="A138" s="37" t="s">
        <v>74</v>
      </c>
      <c r="B138" s="37" t="s">
        <v>75</v>
      </c>
      <c r="C138" s="3" t="s">
        <v>15</v>
      </c>
      <c r="D138" s="49">
        <f>'дод 2'!E208</f>
        <v>23024164</v>
      </c>
      <c r="E138" s="49">
        <f>'дод 2'!F208</f>
        <v>23024164</v>
      </c>
      <c r="F138" s="49">
        <f>'дод 2'!G208</f>
        <v>16852700</v>
      </c>
      <c r="G138" s="49">
        <f>'дод 2'!H208</f>
        <v>1328264</v>
      </c>
      <c r="H138" s="49">
        <f>'дод 2'!I208</f>
        <v>0</v>
      </c>
      <c r="I138" s="49">
        <f>'дод 2'!J208</f>
        <v>252500</v>
      </c>
      <c r="J138" s="49">
        <f>'дод 2'!K208</f>
        <v>227500</v>
      </c>
      <c r="K138" s="49">
        <f>'дод 2'!L208</f>
        <v>25000</v>
      </c>
      <c r="L138" s="49">
        <f>'дод 2'!M208</f>
        <v>12100</v>
      </c>
      <c r="M138" s="49">
        <f>'дод 2'!N208</f>
        <v>0</v>
      </c>
      <c r="N138" s="49">
        <f>'дод 2'!O208</f>
        <v>227500</v>
      </c>
      <c r="O138" s="49">
        <f>'дод 2'!P208</f>
        <v>23276664</v>
      </c>
      <c r="P138" s="191">
        <v>97</v>
      </c>
    </row>
    <row r="139" spans="1:16" ht="33.75" customHeight="1" x14ac:dyDescent="0.25">
      <c r="A139" s="37" t="s">
        <v>321</v>
      </c>
      <c r="B139" s="37" t="s">
        <v>322</v>
      </c>
      <c r="C139" s="3" t="s">
        <v>323</v>
      </c>
      <c r="D139" s="49">
        <f>'дод 2'!E33+'дод 2'!E209</f>
        <v>7136125</v>
      </c>
      <c r="E139" s="49">
        <f>'дод 2'!F33+'дод 2'!F209</f>
        <v>7136125</v>
      </c>
      <c r="F139" s="49">
        <f>'дод 2'!G33+'дод 2'!G209</f>
        <v>4057800</v>
      </c>
      <c r="G139" s="49">
        <f>'дод 2'!H33+'дод 2'!H209</f>
        <v>865725</v>
      </c>
      <c r="H139" s="49">
        <f>'дод 2'!I33+'дод 2'!I209</f>
        <v>0</v>
      </c>
      <c r="I139" s="49">
        <f>'дод 2'!J33+'дод 2'!J209</f>
        <v>6000</v>
      </c>
      <c r="J139" s="49">
        <f>'дод 2'!K33+'дод 2'!K209</f>
        <v>0</v>
      </c>
      <c r="K139" s="49">
        <f>'дод 2'!L33+'дод 2'!L209</f>
        <v>6000</v>
      </c>
      <c r="L139" s="49">
        <f>'дод 2'!M33+'дод 2'!M209</f>
        <v>0</v>
      </c>
      <c r="M139" s="49">
        <f>'дод 2'!N33+'дод 2'!N209</f>
        <v>3300</v>
      </c>
      <c r="N139" s="49">
        <f>'дод 2'!O33+'дод 2'!O209</f>
        <v>0</v>
      </c>
      <c r="O139" s="49">
        <f>'дод 2'!P33+'дод 2'!P209</f>
        <v>7142125</v>
      </c>
      <c r="P139" s="191"/>
    </row>
    <row r="140" spans="1:16" s="54" customFormat="1" ht="37.5" customHeight="1" x14ac:dyDescent="0.25">
      <c r="A140" s="37" t="s">
        <v>295</v>
      </c>
      <c r="B140" s="37" t="s">
        <v>76</v>
      </c>
      <c r="C140" s="3" t="s">
        <v>345</v>
      </c>
      <c r="D140" s="49">
        <f>'дод 2'!E34+'дод 2'!E210</f>
        <v>5128008</v>
      </c>
      <c r="E140" s="49">
        <f>'дод 2'!F34+'дод 2'!F210</f>
        <v>5128008</v>
      </c>
      <c r="F140" s="49">
        <f>'дод 2'!G34+'дод 2'!G210</f>
        <v>3380000</v>
      </c>
      <c r="G140" s="49">
        <f>'дод 2'!H34+'дод 2'!H210</f>
        <v>129908</v>
      </c>
      <c r="H140" s="49">
        <f>'дод 2'!I34+'дод 2'!I210</f>
        <v>0</v>
      </c>
      <c r="I140" s="49">
        <f>'дод 2'!J34+'дод 2'!J210</f>
        <v>88000</v>
      </c>
      <c r="J140" s="49">
        <f>'дод 2'!K34+'дод 2'!K210</f>
        <v>88000</v>
      </c>
      <c r="K140" s="49">
        <f>'дод 2'!L34+'дод 2'!L210</f>
        <v>0</v>
      </c>
      <c r="L140" s="49">
        <f>'дод 2'!M34+'дод 2'!M210</f>
        <v>0</v>
      </c>
      <c r="M140" s="49">
        <f>'дод 2'!N34+'дод 2'!N210</f>
        <v>0</v>
      </c>
      <c r="N140" s="49">
        <f>'дод 2'!O34+'дод 2'!O210</f>
        <v>88000</v>
      </c>
      <c r="O140" s="49">
        <f>'дод 2'!P34+'дод 2'!P210</f>
        <v>5216008</v>
      </c>
      <c r="P140" s="191"/>
    </row>
    <row r="141" spans="1:16" s="54" customFormat="1" ht="22.5" customHeight="1" x14ac:dyDescent="0.25">
      <c r="A141" s="37" t="s">
        <v>296</v>
      </c>
      <c r="B141" s="37" t="s">
        <v>76</v>
      </c>
      <c r="C141" s="3" t="s">
        <v>297</v>
      </c>
      <c r="D141" s="49">
        <f>'дод 2'!E35+'дод 2'!E211</f>
        <v>1709181</v>
      </c>
      <c r="E141" s="49">
        <f>'дод 2'!F35+'дод 2'!F211</f>
        <v>1709181</v>
      </c>
      <c r="F141" s="49">
        <f>'дод 2'!G35+'дод 2'!G211</f>
        <v>0</v>
      </c>
      <c r="G141" s="49">
        <f>'дод 2'!H35+'дод 2'!H211</f>
        <v>0</v>
      </c>
      <c r="H141" s="49">
        <f>'дод 2'!I35+'дод 2'!I211</f>
        <v>0</v>
      </c>
      <c r="I141" s="49">
        <f>'дод 2'!J35+'дод 2'!J211</f>
        <v>0</v>
      </c>
      <c r="J141" s="49">
        <f>'дод 2'!K35+'дод 2'!K211</f>
        <v>0</v>
      </c>
      <c r="K141" s="49">
        <f>'дод 2'!L35+'дод 2'!L211</f>
        <v>0</v>
      </c>
      <c r="L141" s="49">
        <f>'дод 2'!M35+'дод 2'!M211</f>
        <v>0</v>
      </c>
      <c r="M141" s="49">
        <f>'дод 2'!N35+'дод 2'!N211</f>
        <v>0</v>
      </c>
      <c r="N141" s="49">
        <f>'дод 2'!O35+'дод 2'!O211</f>
        <v>0</v>
      </c>
      <c r="O141" s="49">
        <f>'дод 2'!P35+'дод 2'!P211</f>
        <v>1709181</v>
      </c>
      <c r="P141" s="191"/>
    </row>
    <row r="142" spans="1:16" s="52" customFormat="1" ht="21.75" customHeight="1" x14ac:dyDescent="0.25">
      <c r="A142" s="38" t="s">
        <v>79</v>
      </c>
      <c r="B142" s="41"/>
      <c r="C142" s="2" t="s">
        <v>80</v>
      </c>
      <c r="D142" s="48">
        <f t="shared" ref="D142:O142" si="23">D144+D145+D146+D148+D149+D150</f>
        <v>63173015</v>
      </c>
      <c r="E142" s="48">
        <f t="shared" si="23"/>
        <v>63173015</v>
      </c>
      <c r="F142" s="48">
        <f t="shared" si="23"/>
        <v>22466825</v>
      </c>
      <c r="G142" s="48">
        <f t="shared" si="23"/>
        <v>1361479</v>
      </c>
      <c r="H142" s="48">
        <f t="shared" si="23"/>
        <v>0</v>
      </c>
      <c r="I142" s="48">
        <f t="shared" si="23"/>
        <v>2315794</v>
      </c>
      <c r="J142" s="48">
        <f t="shared" si="23"/>
        <v>2102800</v>
      </c>
      <c r="K142" s="48">
        <f t="shared" si="23"/>
        <v>212994</v>
      </c>
      <c r="L142" s="48">
        <f t="shared" si="23"/>
        <v>119291</v>
      </c>
      <c r="M142" s="48">
        <f t="shared" si="23"/>
        <v>50432</v>
      </c>
      <c r="N142" s="48">
        <f t="shared" si="23"/>
        <v>2102800</v>
      </c>
      <c r="O142" s="48">
        <f t="shared" si="23"/>
        <v>65488809</v>
      </c>
      <c r="P142" s="191"/>
    </row>
    <row r="143" spans="1:16" s="52" customFormat="1" ht="21.75" customHeight="1" x14ac:dyDescent="0.25">
      <c r="A143" s="38"/>
      <c r="B143" s="41"/>
      <c r="C143" s="81" t="s">
        <v>397</v>
      </c>
      <c r="D143" s="80">
        <f>D147</f>
        <v>134064</v>
      </c>
      <c r="E143" s="80">
        <f t="shared" ref="E143:O143" si="24">E147</f>
        <v>134064</v>
      </c>
      <c r="F143" s="80">
        <f t="shared" si="24"/>
        <v>0</v>
      </c>
      <c r="G143" s="80">
        <f t="shared" si="24"/>
        <v>0</v>
      </c>
      <c r="H143" s="80">
        <f t="shared" si="24"/>
        <v>0</v>
      </c>
      <c r="I143" s="80">
        <f t="shared" si="24"/>
        <v>0</v>
      </c>
      <c r="J143" s="80">
        <f t="shared" si="24"/>
        <v>0</v>
      </c>
      <c r="K143" s="80">
        <f t="shared" si="24"/>
        <v>0</v>
      </c>
      <c r="L143" s="80">
        <f t="shared" si="24"/>
        <v>0</v>
      </c>
      <c r="M143" s="80">
        <f t="shared" si="24"/>
        <v>0</v>
      </c>
      <c r="N143" s="80">
        <f t="shared" si="24"/>
        <v>0</v>
      </c>
      <c r="O143" s="80">
        <f t="shared" si="24"/>
        <v>134064</v>
      </c>
      <c r="P143" s="191"/>
    </row>
    <row r="144" spans="1:16" s="54" customFormat="1" ht="37.5" customHeight="1" x14ac:dyDescent="0.25">
      <c r="A144" s="37" t="s">
        <v>81</v>
      </c>
      <c r="B144" s="37" t="s">
        <v>82</v>
      </c>
      <c r="C144" s="3" t="s">
        <v>21</v>
      </c>
      <c r="D144" s="49">
        <f>'дод 2'!E36</f>
        <v>710000</v>
      </c>
      <c r="E144" s="49">
        <f>'дод 2'!F36</f>
        <v>710000</v>
      </c>
      <c r="F144" s="49">
        <f>'дод 2'!G36</f>
        <v>0</v>
      </c>
      <c r="G144" s="49">
        <f>'дод 2'!H36</f>
        <v>0</v>
      </c>
      <c r="H144" s="49">
        <f>'дод 2'!I36</f>
        <v>0</v>
      </c>
      <c r="I144" s="49">
        <f>'дод 2'!J36</f>
        <v>0</v>
      </c>
      <c r="J144" s="49">
        <f>'дод 2'!K36</f>
        <v>0</v>
      </c>
      <c r="K144" s="49">
        <f>'дод 2'!L36</f>
        <v>0</v>
      </c>
      <c r="L144" s="49">
        <f>'дод 2'!M36</f>
        <v>0</v>
      </c>
      <c r="M144" s="49">
        <f>'дод 2'!N36</f>
        <v>0</v>
      </c>
      <c r="N144" s="49">
        <f>'дод 2'!O36</f>
        <v>0</v>
      </c>
      <c r="O144" s="49">
        <f>'дод 2'!P36</f>
        <v>710000</v>
      </c>
      <c r="P144" s="191"/>
    </row>
    <row r="145" spans="1:16" s="54" customFormat="1" ht="34.5" customHeight="1" x14ac:dyDescent="0.25">
      <c r="A145" s="37" t="s">
        <v>83</v>
      </c>
      <c r="B145" s="37" t="s">
        <v>82</v>
      </c>
      <c r="C145" s="3" t="s">
        <v>16</v>
      </c>
      <c r="D145" s="49">
        <f>'дод 2'!E37</f>
        <v>959480</v>
      </c>
      <c r="E145" s="49">
        <f>'дод 2'!F37</f>
        <v>959480</v>
      </c>
      <c r="F145" s="49">
        <f>'дод 2'!G37</f>
        <v>0</v>
      </c>
      <c r="G145" s="49">
        <f>'дод 2'!H37</f>
        <v>0</v>
      </c>
      <c r="H145" s="49">
        <f>'дод 2'!I37</f>
        <v>0</v>
      </c>
      <c r="I145" s="49">
        <f>'дод 2'!J37</f>
        <v>0</v>
      </c>
      <c r="J145" s="49">
        <f>'дод 2'!K37</f>
        <v>0</v>
      </c>
      <c r="K145" s="49">
        <f>'дод 2'!L37</f>
        <v>0</v>
      </c>
      <c r="L145" s="49">
        <f>'дод 2'!M37</f>
        <v>0</v>
      </c>
      <c r="M145" s="49">
        <f>'дод 2'!N37</f>
        <v>0</v>
      </c>
      <c r="N145" s="49">
        <f>'дод 2'!O37</f>
        <v>0</v>
      </c>
      <c r="O145" s="49">
        <f>'дод 2'!P37</f>
        <v>959480</v>
      </c>
      <c r="P145" s="191"/>
    </row>
    <row r="146" spans="1:16" s="54" customFormat="1" ht="36.75" customHeight="1" x14ac:dyDescent="0.25">
      <c r="A146" s="37" t="s">
        <v>118</v>
      </c>
      <c r="B146" s="37" t="s">
        <v>82</v>
      </c>
      <c r="C146" s="3" t="s">
        <v>22</v>
      </c>
      <c r="D146" s="49">
        <f>'дод 2'!E38+'дод 2'!E109</f>
        <v>26684014</v>
      </c>
      <c r="E146" s="49">
        <f>'дод 2'!F38+'дод 2'!F109</f>
        <v>26684014</v>
      </c>
      <c r="F146" s="49">
        <f>'дод 2'!G38+'дод 2'!G109</f>
        <v>19479425</v>
      </c>
      <c r="G146" s="49">
        <f>'дод 2'!H38+'дод 2'!H109</f>
        <v>1042440</v>
      </c>
      <c r="H146" s="49">
        <f>'дод 2'!I38+'дод 2'!I109</f>
        <v>0</v>
      </c>
      <c r="I146" s="49">
        <f>'дод 2'!J38+'дод 2'!J109</f>
        <v>200700</v>
      </c>
      <c r="J146" s="49">
        <f>'дод 2'!K38+'дод 2'!K109</f>
        <v>200700</v>
      </c>
      <c r="K146" s="49">
        <f>'дод 2'!L38+'дод 2'!L109</f>
        <v>0</v>
      </c>
      <c r="L146" s="49">
        <f>'дод 2'!M38+'дод 2'!M109</f>
        <v>0</v>
      </c>
      <c r="M146" s="49">
        <f>'дод 2'!N38+'дод 2'!N109</f>
        <v>0</v>
      </c>
      <c r="N146" s="49">
        <f>'дод 2'!O38+'дод 2'!O109</f>
        <v>200700</v>
      </c>
      <c r="O146" s="49">
        <f>'дод 2'!P38+'дод 2'!P109</f>
        <v>26884714</v>
      </c>
      <c r="P146" s="191"/>
    </row>
    <row r="147" spans="1:16" s="54" customFormat="1" ht="25.5" customHeight="1" x14ac:dyDescent="0.25">
      <c r="A147" s="37"/>
      <c r="B147" s="37"/>
      <c r="C147" s="91" t="s">
        <v>397</v>
      </c>
      <c r="D147" s="84">
        <f>'дод 2'!E110</f>
        <v>134064</v>
      </c>
      <c r="E147" s="84">
        <f>'дод 2'!F110</f>
        <v>134064</v>
      </c>
      <c r="F147" s="84">
        <f>'дод 2'!G110</f>
        <v>0</v>
      </c>
      <c r="G147" s="84">
        <f>'дод 2'!H110</f>
        <v>0</v>
      </c>
      <c r="H147" s="84">
        <f>'дод 2'!I110</f>
        <v>0</v>
      </c>
      <c r="I147" s="84">
        <f>'дод 2'!J110</f>
        <v>0</v>
      </c>
      <c r="J147" s="84">
        <f>'дод 2'!K110</f>
        <v>0</v>
      </c>
      <c r="K147" s="84">
        <f>'дод 2'!L110</f>
        <v>0</v>
      </c>
      <c r="L147" s="84">
        <f>'дод 2'!M110</f>
        <v>0</v>
      </c>
      <c r="M147" s="84">
        <f>'дод 2'!N110</f>
        <v>0</v>
      </c>
      <c r="N147" s="84">
        <f>'дод 2'!O110</f>
        <v>0</v>
      </c>
      <c r="O147" s="84">
        <f>'дод 2'!P110</f>
        <v>134064</v>
      </c>
      <c r="P147" s="191"/>
    </row>
    <row r="148" spans="1:16" s="54" customFormat="1" ht="31.5" customHeight="1" x14ac:dyDescent="0.25">
      <c r="A148" s="37" t="s">
        <v>119</v>
      </c>
      <c r="B148" s="37" t="s">
        <v>82</v>
      </c>
      <c r="C148" s="3" t="s">
        <v>23</v>
      </c>
      <c r="D148" s="49">
        <f>'дод 2'!E39</f>
        <v>14877642</v>
      </c>
      <c r="E148" s="49">
        <f>'дод 2'!F39</f>
        <v>14877642</v>
      </c>
      <c r="F148" s="49">
        <f>'дод 2'!G39</f>
        <v>0</v>
      </c>
      <c r="G148" s="49">
        <f>'дод 2'!H39</f>
        <v>0</v>
      </c>
      <c r="H148" s="49">
        <f>'дод 2'!I39</f>
        <v>0</v>
      </c>
      <c r="I148" s="49">
        <f>'дод 2'!J39</f>
        <v>372100</v>
      </c>
      <c r="J148" s="49">
        <f>'дод 2'!K39</f>
        <v>372100</v>
      </c>
      <c r="K148" s="49">
        <f>'дод 2'!L39</f>
        <v>0</v>
      </c>
      <c r="L148" s="49">
        <f>'дод 2'!M39</f>
        <v>0</v>
      </c>
      <c r="M148" s="49">
        <f>'дод 2'!N39</f>
        <v>0</v>
      </c>
      <c r="N148" s="49">
        <f>'дод 2'!O39</f>
        <v>372100</v>
      </c>
      <c r="O148" s="49">
        <f>'дод 2'!P39</f>
        <v>15249742</v>
      </c>
      <c r="P148" s="191"/>
    </row>
    <row r="149" spans="1:16" s="54" customFormat="1" ht="54" customHeight="1" x14ac:dyDescent="0.25">
      <c r="A149" s="37" t="s">
        <v>114</v>
      </c>
      <c r="B149" s="37" t="s">
        <v>82</v>
      </c>
      <c r="C149" s="3" t="s">
        <v>115</v>
      </c>
      <c r="D149" s="49">
        <f>'дод 2'!E40</f>
        <v>4973184</v>
      </c>
      <c r="E149" s="49">
        <f>'дод 2'!F40</f>
        <v>4973184</v>
      </c>
      <c r="F149" s="49">
        <f>'дод 2'!G40</f>
        <v>2987400</v>
      </c>
      <c r="G149" s="49">
        <f>'дод 2'!H40</f>
        <v>319039</v>
      </c>
      <c r="H149" s="49">
        <f>'дод 2'!I40</f>
        <v>0</v>
      </c>
      <c r="I149" s="49">
        <f>'дод 2'!J40</f>
        <v>1742994</v>
      </c>
      <c r="J149" s="49">
        <f>'дод 2'!K40</f>
        <v>1530000</v>
      </c>
      <c r="K149" s="49">
        <f>'дод 2'!L40</f>
        <v>212994</v>
      </c>
      <c r="L149" s="49">
        <f>'дод 2'!M40</f>
        <v>119291</v>
      </c>
      <c r="M149" s="49">
        <f>'дод 2'!N40</f>
        <v>50432</v>
      </c>
      <c r="N149" s="49">
        <f>'дод 2'!O40</f>
        <v>1530000</v>
      </c>
      <c r="O149" s="49">
        <f>'дод 2'!P40</f>
        <v>6716178</v>
      </c>
      <c r="P149" s="191"/>
    </row>
    <row r="150" spans="1:16" s="54" customFormat="1" ht="37.5" customHeight="1" x14ac:dyDescent="0.25">
      <c r="A150" s="37" t="s">
        <v>117</v>
      </c>
      <c r="B150" s="37" t="s">
        <v>82</v>
      </c>
      <c r="C150" s="3" t="s">
        <v>116</v>
      </c>
      <c r="D150" s="49">
        <f>'дод 2'!E41</f>
        <v>14968695</v>
      </c>
      <c r="E150" s="49">
        <f>'дод 2'!F41</f>
        <v>14968695</v>
      </c>
      <c r="F150" s="49">
        <f>'дод 2'!G41</f>
        <v>0</v>
      </c>
      <c r="G150" s="49">
        <f>'дод 2'!H41</f>
        <v>0</v>
      </c>
      <c r="H150" s="49">
        <f>'дод 2'!I41</f>
        <v>0</v>
      </c>
      <c r="I150" s="49">
        <f>'дод 2'!J41</f>
        <v>0</v>
      </c>
      <c r="J150" s="49">
        <f>'дод 2'!K41</f>
        <v>0</v>
      </c>
      <c r="K150" s="49">
        <f>'дод 2'!L41</f>
        <v>0</v>
      </c>
      <c r="L150" s="49">
        <f>'дод 2'!M41</f>
        <v>0</v>
      </c>
      <c r="M150" s="49">
        <f>'дод 2'!N41</f>
        <v>0</v>
      </c>
      <c r="N150" s="49">
        <f>'дод 2'!O41</f>
        <v>0</v>
      </c>
      <c r="O150" s="49">
        <f>'дод 2'!P41</f>
        <v>14968695</v>
      </c>
      <c r="P150" s="191"/>
    </row>
    <row r="151" spans="1:16" s="52" customFormat="1" ht="18" customHeight="1" x14ac:dyDescent="0.25">
      <c r="A151" s="38" t="s">
        <v>67</v>
      </c>
      <c r="B151" s="41"/>
      <c r="C151" s="2" t="s">
        <v>68</v>
      </c>
      <c r="D151" s="48">
        <f>D153+D154+D155+D156+D157+D158+D159+D161+D162</f>
        <v>274021320.26999998</v>
      </c>
      <c r="E151" s="48">
        <f t="shared" ref="E151:O151" si="25">E153+E154+E155+E156+E157+E158+E159+E161+E162</f>
        <v>243279361.78999999</v>
      </c>
      <c r="F151" s="48">
        <f t="shared" si="25"/>
        <v>0</v>
      </c>
      <c r="G151" s="48">
        <f t="shared" si="25"/>
        <v>35017960</v>
      </c>
      <c r="H151" s="48">
        <f t="shared" si="25"/>
        <v>30741958.48</v>
      </c>
      <c r="I151" s="48">
        <f t="shared" si="25"/>
        <v>125749034.22999999</v>
      </c>
      <c r="J151" s="48">
        <f t="shared" si="25"/>
        <v>123806205.57999998</v>
      </c>
      <c r="K151" s="48">
        <f t="shared" si="25"/>
        <v>0</v>
      </c>
      <c r="L151" s="48">
        <f t="shared" si="25"/>
        <v>0</v>
      </c>
      <c r="M151" s="48">
        <f t="shared" si="25"/>
        <v>0</v>
      </c>
      <c r="N151" s="48">
        <f t="shared" si="25"/>
        <v>125749034.22999999</v>
      </c>
      <c r="O151" s="48">
        <f t="shared" si="25"/>
        <v>399770354.5</v>
      </c>
      <c r="P151" s="191"/>
    </row>
    <row r="152" spans="1:16" s="52" customFormat="1" ht="110.25" hidden="1" customHeight="1" x14ac:dyDescent="0.25">
      <c r="A152" s="38"/>
      <c r="B152" s="41"/>
      <c r="C152" s="2" t="s">
        <v>448</v>
      </c>
      <c r="D152" s="48">
        <f>D160</f>
        <v>0</v>
      </c>
      <c r="E152" s="48">
        <f t="shared" ref="E152:O152" si="26">E160</f>
        <v>0</v>
      </c>
      <c r="F152" s="48">
        <f t="shared" si="26"/>
        <v>0</v>
      </c>
      <c r="G152" s="48">
        <f t="shared" si="26"/>
        <v>0</v>
      </c>
      <c r="H152" s="48">
        <f t="shared" si="26"/>
        <v>0</v>
      </c>
      <c r="I152" s="48">
        <f t="shared" si="26"/>
        <v>0</v>
      </c>
      <c r="J152" s="48">
        <f t="shared" si="26"/>
        <v>0</v>
      </c>
      <c r="K152" s="48">
        <f t="shared" si="26"/>
        <v>0</v>
      </c>
      <c r="L152" s="48">
        <f t="shared" si="26"/>
        <v>0</v>
      </c>
      <c r="M152" s="48">
        <f t="shared" si="26"/>
        <v>0</v>
      </c>
      <c r="N152" s="48">
        <f t="shared" si="26"/>
        <v>0</v>
      </c>
      <c r="O152" s="48">
        <f t="shared" si="26"/>
        <v>0</v>
      </c>
      <c r="P152" s="191"/>
    </row>
    <row r="153" spans="1:16" s="54" customFormat="1" ht="29.25" customHeight="1" x14ac:dyDescent="0.25">
      <c r="A153" s="37" t="s">
        <v>129</v>
      </c>
      <c r="B153" s="37" t="s">
        <v>69</v>
      </c>
      <c r="C153" s="3" t="s">
        <v>130</v>
      </c>
      <c r="D153" s="49">
        <f>'дод 2'!E225</f>
        <v>0</v>
      </c>
      <c r="E153" s="49">
        <f>'дод 2'!F225</f>
        <v>0</v>
      </c>
      <c r="F153" s="49">
        <f>'дод 2'!G225</f>
        <v>0</v>
      </c>
      <c r="G153" s="49">
        <f>'дод 2'!H225</f>
        <v>0</v>
      </c>
      <c r="H153" s="49">
        <f>'дод 2'!I225</f>
        <v>0</v>
      </c>
      <c r="I153" s="49">
        <f>'дод 2'!J225</f>
        <v>8602296</v>
      </c>
      <c r="J153" s="49">
        <f>'дод 2'!K225</f>
        <v>8565816</v>
      </c>
      <c r="K153" s="49">
        <f>'дод 2'!L225</f>
        <v>0</v>
      </c>
      <c r="L153" s="49">
        <f>'дод 2'!M225</f>
        <v>0</v>
      </c>
      <c r="M153" s="49">
        <f>'дод 2'!N225</f>
        <v>0</v>
      </c>
      <c r="N153" s="49">
        <f>'дод 2'!O225</f>
        <v>8602296</v>
      </c>
      <c r="O153" s="49">
        <f>'дод 2'!P225</f>
        <v>8602296</v>
      </c>
      <c r="P153" s="191"/>
    </row>
    <row r="154" spans="1:16" s="54" customFormat="1" ht="36.75" customHeight="1" x14ac:dyDescent="0.25">
      <c r="A154" s="37" t="s">
        <v>131</v>
      </c>
      <c r="B154" s="37" t="s">
        <v>71</v>
      </c>
      <c r="C154" s="3" t="s">
        <v>149</v>
      </c>
      <c r="D154" s="49">
        <f>'дод 2'!E226</f>
        <v>29614040</v>
      </c>
      <c r="E154" s="49">
        <f>'дод 2'!F226</f>
        <v>1114040</v>
      </c>
      <c r="F154" s="49">
        <f>'дод 2'!G226</f>
        <v>0</v>
      </c>
      <c r="G154" s="49">
        <f>'дод 2'!H226</f>
        <v>0</v>
      </c>
      <c r="H154" s="49">
        <f>'дод 2'!I226</f>
        <v>28500000</v>
      </c>
      <c r="I154" s="49">
        <f>'дод 2'!J226</f>
        <v>200000</v>
      </c>
      <c r="J154" s="49">
        <f>'дод 2'!K226</f>
        <v>200000</v>
      </c>
      <c r="K154" s="49">
        <f>'дод 2'!L226</f>
        <v>0</v>
      </c>
      <c r="L154" s="49">
        <f>'дод 2'!M226</f>
        <v>0</v>
      </c>
      <c r="M154" s="49">
        <f>'дод 2'!N226</f>
        <v>0</v>
      </c>
      <c r="N154" s="49">
        <f>'дод 2'!O226</f>
        <v>200000</v>
      </c>
      <c r="O154" s="49">
        <f>'дод 2'!P226</f>
        <v>29814040</v>
      </c>
      <c r="P154" s="191"/>
    </row>
    <row r="155" spans="1:16" s="54" customFormat="1" ht="26.25" customHeight="1" x14ac:dyDescent="0.25">
      <c r="A155" s="40" t="s">
        <v>262</v>
      </c>
      <c r="B155" s="40" t="s">
        <v>71</v>
      </c>
      <c r="C155" s="3" t="s">
        <v>263</v>
      </c>
      <c r="D155" s="49">
        <f>'дод 2'!E227</f>
        <v>115980</v>
      </c>
      <c r="E155" s="49">
        <f>'дод 2'!F227</f>
        <v>115980</v>
      </c>
      <c r="F155" s="49">
        <f>'дод 2'!G227</f>
        <v>0</v>
      </c>
      <c r="G155" s="49">
        <f>'дод 2'!H227</f>
        <v>0</v>
      </c>
      <c r="H155" s="49">
        <f>'дод 2'!I227</f>
        <v>0</v>
      </c>
      <c r="I155" s="49">
        <f>'дод 2'!J227</f>
        <v>32680050</v>
      </c>
      <c r="J155" s="49">
        <f>'дод 2'!K227</f>
        <v>32630050</v>
      </c>
      <c r="K155" s="49">
        <f>'дод 2'!L227</f>
        <v>0</v>
      </c>
      <c r="L155" s="49">
        <f>'дод 2'!M227</f>
        <v>0</v>
      </c>
      <c r="M155" s="49">
        <f>'дод 2'!N227</f>
        <v>0</v>
      </c>
      <c r="N155" s="49">
        <f>'дод 2'!O227</f>
        <v>32680050</v>
      </c>
      <c r="O155" s="49">
        <f>'дод 2'!P227</f>
        <v>32796030</v>
      </c>
      <c r="P155" s="191"/>
    </row>
    <row r="156" spans="1:16" s="54" customFormat="1" ht="33" customHeight="1" x14ac:dyDescent="0.25">
      <c r="A156" s="37" t="s">
        <v>265</v>
      </c>
      <c r="B156" s="37" t="s">
        <v>71</v>
      </c>
      <c r="C156" s="3" t="s">
        <v>346</v>
      </c>
      <c r="D156" s="49">
        <f>'дод 2'!E228</f>
        <v>100000</v>
      </c>
      <c r="E156" s="49">
        <f>'дод 2'!F228</f>
        <v>100000</v>
      </c>
      <c r="F156" s="49">
        <f>'дод 2'!G228</f>
        <v>0</v>
      </c>
      <c r="G156" s="49">
        <f>'дод 2'!H228</f>
        <v>0</v>
      </c>
      <c r="H156" s="49">
        <f>'дод 2'!I228</f>
        <v>0</v>
      </c>
      <c r="I156" s="49">
        <f>'дод 2'!J228</f>
        <v>0</v>
      </c>
      <c r="J156" s="49">
        <f>'дод 2'!K228</f>
        <v>0</v>
      </c>
      <c r="K156" s="49">
        <f>'дод 2'!L228</f>
        <v>0</v>
      </c>
      <c r="L156" s="49">
        <f>'дод 2'!M228</f>
        <v>0</v>
      </c>
      <c r="M156" s="49">
        <f>'дод 2'!N228</f>
        <v>0</v>
      </c>
      <c r="N156" s="49">
        <f>'дод 2'!O228</f>
        <v>0</v>
      </c>
      <c r="O156" s="49">
        <f>'дод 2'!P228</f>
        <v>100000</v>
      </c>
      <c r="P156" s="191"/>
    </row>
    <row r="157" spans="1:16" s="54" customFormat="1" ht="52.5" customHeight="1" x14ac:dyDescent="0.25">
      <c r="A157" s="37" t="s">
        <v>70</v>
      </c>
      <c r="B157" s="37" t="s">
        <v>71</v>
      </c>
      <c r="C157" s="3" t="s">
        <v>134</v>
      </c>
      <c r="D157" s="49">
        <f>'дод 2'!E229</f>
        <v>1871258.48</v>
      </c>
      <c r="E157" s="49">
        <f>'дод 2'!F229</f>
        <v>29300</v>
      </c>
      <c r="F157" s="49">
        <f>'дод 2'!G229</f>
        <v>0</v>
      </c>
      <c r="G157" s="49">
        <f>'дод 2'!H229</f>
        <v>0</v>
      </c>
      <c r="H157" s="49">
        <f>'дод 2'!I229</f>
        <v>1841958.48</v>
      </c>
      <c r="I157" s="49">
        <f>'дод 2'!J229</f>
        <v>0</v>
      </c>
      <c r="J157" s="49">
        <f>'дод 2'!K229</f>
        <v>0</v>
      </c>
      <c r="K157" s="49">
        <f>'дод 2'!L229</f>
        <v>0</v>
      </c>
      <c r="L157" s="49">
        <f>'дод 2'!M229</f>
        <v>0</v>
      </c>
      <c r="M157" s="49">
        <f>'дод 2'!N229</f>
        <v>0</v>
      </c>
      <c r="N157" s="49">
        <f>'дод 2'!O229</f>
        <v>0</v>
      </c>
      <c r="O157" s="49">
        <f>'дод 2'!P229</f>
        <v>1871258.48</v>
      </c>
      <c r="P157" s="191"/>
    </row>
    <row r="158" spans="1:16" ht="24" customHeight="1" x14ac:dyDescent="0.25">
      <c r="A158" s="37" t="s">
        <v>132</v>
      </c>
      <c r="B158" s="37" t="s">
        <v>71</v>
      </c>
      <c r="C158" s="3" t="s">
        <v>133</v>
      </c>
      <c r="D158" s="49">
        <f>'дод 2'!E230+'дод 2'!E259</f>
        <v>225390075.50999999</v>
      </c>
      <c r="E158" s="49">
        <f>'дод 2'!F230+'дод 2'!F259</f>
        <v>225290075.50999999</v>
      </c>
      <c r="F158" s="49">
        <f>'дод 2'!G230+'дод 2'!G259</f>
        <v>0</v>
      </c>
      <c r="G158" s="49">
        <f>'дод 2'!H230+'дод 2'!H259</f>
        <v>34990460</v>
      </c>
      <c r="H158" s="49">
        <f>'дод 2'!I230+'дод 2'!I259</f>
        <v>100000</v>
      </c>
      <c r="I158" s="49">
        <f>'дод 2'!J230+'дод 2'!J259</f>
        <v>82377139.579999983</v>
      </c>
      <c r="J158" s="49">
        <f>'дод 2'!K230+'дод 2'!K259</f>
        <v>82377139.579999983</v>
      </c>
      <c r="K158" s="49">
        <f>'дод 2'!L230+'дод 2'!L259</f>
        <v>0</v>
      </c>
      <c r="L158" s="49">
        <f>'дод 2'!M230+'дод 2'!M259</f>
        <v>0</v>
      </c>
      <c r="M158" s="49">
        <f>'дод 2'!N230+'дод 2'!N259</f>
        <v>0</v>
      </c>
      <c r="N158" s="49">
        <f>'дод 2'!O230+'дод 2'!O259</f>
        <v>82377139.579999983</v>
      </c>
      <c r="O158" s="49">
        <f>'дод 2'!P230+'дод 2'!P259</f>
        <v>307767215.08999997</v>
      </c>
      <c r="P158" s="191"/>
    </row>
    <row r="159" spans="1:16" ht="83.25" customHeight="1" x14ac:dyDescent="0.25">
      <c r="A159" s="37">
        <v>6083</v>
      </c>
      <c r="B159" s="59" t="s">
        <v>69</v>
      </c>
      <c r="C159" s="11" t="s">
        <v>441</v>
      </c>
      <c r="D159" s="49">
        <f>'дод 2'!E202</f>
        <v>0</v>
      </c>
      <c r="E159" s="49">
        <f>'дод 2'!F202</f>
        <v>0</v>
      </c>
      <c r="F159" s="49">
        <f>'дод 2'!G202</f>
        <v>0</v>
      </c>
      <c r="G159" s="49">
        <f>'дод 2'!H202</f>
        <v>0</v>
      </c>
      <c r="H159" s="49">
        <f>'дод 2'!I202</f>
        <v>0</v>
      </c>
      <c r="I159" s="49">
        <f>'дод 2'!J202</f>
        <v>33200</v>
      </c>
      <c r="J159" s="49">
        <f>'дод 2'!K202</f>
        <v>33200</v>
      </c>
      <c r="K159" s="49">
        <f>'дод 2'!L202</f>
        <v>0</v>
      </c>
      <c r="L159" s="49">
        <f>'дод 2'!M202</f>
        <v>0</v>
      </c>
      <c r="M159" s="49">
        <f>'дод 2'!N202</f>
        <v>0</v>
      </c>
      <c r="N159" s="49">
        <f>'дод 2'!O202</f>
        <v>33200</v>
      </c>
      <c r="O159" s="49">
        <f>'дод 2'!P202</f>
        <v>33200</v>
      </c>
      <c r="P159" s="191"/>
    </row>
    <row r="160" spans="1:16" s="54" customFormat="1" ht="110.25" hidden="1" customHeight="1" x14ac:dyDescent="0.25">
      <c r="A160" s="82"/>
      <c r="B160" s="93"/>
      <c r="C160" s="94" t="s">
        <v>448</v>
      </c>
      <c r="D160" s="84">
        <f>'дод 2'!E203</f>
        <v>0</v>
      </c>
      <c r="E160" s="84">
        <f>'дод 2'!F203</f>
        <v>0</v>
      </c>
      <c r="F160" s="84">
        <f>'дод 2'!G203</f>
        <v>0</v>
      </c>
      <c r="G160" s="84">
        <f>'дод 2'!H203</f>
        <v>0</v>
      </c>
      <c r="H160" s="84">
        <f>'дод 2'!I203</f>
        <v>0</v>
      </c>
      <c r="I160" s="84">
        <f>'дод 2'!J203</f>
        <v>0</v>
      </c>
      <c r="J160" s="84">
        <f>'дод 2'!K203</f>
        <v>0</v>
      </c>
      <c r="K160" s="84">
        <f>'дод 2'!L203</f>
        <v>0</v>
      </c>
      <c r="L160" s="84">
        <f>'дод 2'!M203</f>
        <v>0</v>
      </c>
      <c r="M160" s="84">
        <f>'дод 2'!N203</f>
        <v>0</v>
      </c>
      <c r="N160" s="84">
        <f>'дод 2'!O203</f>
        <v>0</v>
      </c>
      <c r="O160" s="84">
        <f>'дод 2'!P203</f>
        <v>0</v>
      </c>
      <c r="P160" s="191"/>
    </row>
    <row r="161" spans="1:16" s="54" customFormat="1" ht="54.75" customHeight="1" x14ac:dyDescent="0.25">
      <c r="A161" s="37" t="s">
        <v>136</v>
      </c>
      <c r="B161" s="42" t="s">
        <v>69</v>
      </c>
      <c r="C161" s="3" t="s">
        <v>137</v>
      </c>
      <c r="D161" s="49">
        <f>'дод 2'!E260</f>
        <v>0</v>
      </c>
      <c r="E161" s="49">
        <f>'дод 2'!F260</f>
        <v>0</v>
      </c>
      <c r="F161" s="49">
        <f>'дод 2'!G260</f>
        <v>0</v>
      </c>
      <c r="G161" s="49">
        <f>'дод 2'!H260</f>
        <v>0</v>
      </c>
      <c r="H161" s="49">
        <f>'дод 2'!I260</f>
        <v>0</v>
      </c>
      <c r="I161" s="49">
        <f>'дод 2'!J260</f>
        <v>71348.649999999994</v>
      </c>
      <c r="J161" s="49">
        <f>'дод 2'!K260</f>
        <v>0</v>
      </c>
      <c r="K161" s="49">
        <f>'дод 2'!L260</f>
        <v>0</v>
      </c>
      <c r="L161" s="49">
        <f>'дод 2'!M260</f>
        <v>0</v>
      </c>
      <c r="M161" s="49">
        <f>'дод 2'!N260</f>
        <v>0</v>
      </c>
      <c r="N161" s="49">
        <f>'дод 2'!O260</f>
        <v>71348.649999999994</v>
      </c>
      <c r="O161" s="49">
        <f>'дод 2'!P260</f>
        <v>71348.649999999994</v>
      </c>
      <c r="P161" s="191"/>
    </row>
    <row r="162" spans="1:16" ht="36" customHeight="1" x14ac:dyDescent="0.25">
      <c r="A162" s="37" t="s">
        <v>143</v>
      </c>
      <c r="B162" s="42" t="s">
        <v>314</v>
      </c>
      <c r="C162" s="3" t="s">
        <v>144</v>
      </c>
      <c r="D162" s="49">
        <f>'дод 2'!E231+'дод 2'!E278</f>
        <v>16929966.280000001</v>
      </c>
      <c r="E162" s="49">
        <f>'дод 2'!F231+'дод 2'!F278</f>
        <v>16629966.280000001</v>
      </c>
      <c r="F162" s="49">
        <f>'дод 2'!G231+'дод 2'!G278</f>
        <v>0</v>
      </c>
      <c r="G162" s="49">
        <f>'дод 2'!H231+'дод 2'!H278</f>
        <v>27500</v>
      </c>
      <c r="H162" s="49">
        <f>'дод 2'!I231+'дод 2'!I278</f>
        <v>300000</v>
      </c>
      <c r="I162" s="49">
        <f>'дод 2'!J231+'дод 2'!J278</f>
        <v>1785000</v>
      </c>
      <c r="J162" s="49">
        <f>'дод 2'!K231+'дод 2'!K278</f>
        <v>0</v>
      </c>
      <c r="K162" s="49">
        <f>'дод 2'!L231+'дод 2'!L278</f>
        <v>0</v>
      </c>
      <c r="L162" s="49">
        <f>'дод 2'!M231+'дод 2'!M278</f>
        <v>0</v>
      </c>
      <c r="M162" s="49">
        <f>'дод 2'!N231+'дод 2'!N278</f>
        <v>0</v>
      </c>
      <c r="N162" s="49">
        <f>'дод 2'!O231+'дод 2'!O278</f>
        <v>1785000</v>
      </c>
      <c r="O162" s="49">
        <f>'дод 2'!P231+'дод 2'!P278</f>
        <v>18714966.280000001</v>
      </c>
      <c r="P162" s="191"/>
    </row>
    <row r="163" spans="1:16" s="52" customFormat="1" ht="21.75" customHeight="1" x14ac:dyDescent="0.25">
      <c r="A163" s="38" t="s">
        <v>138</v>
      </c>
      <c r="B163" s="41"/>
      <c r="C163" s="2" t="s">
        <v>409</v>
      </c>
      <c r="D163" s="48">
        <f>D167+D169+D185+D198+D200+D212</f>
        <v>74942055.549999997</v>
      </c>
      <c r="E163" s="48">
        <f t="shared" ref="E163:O163" si="27">E167+E169+E185+E198+E200+E212</f>
        <v>19842859.550000001</v>
      </c>
      <c r="F163" s="48">
        <f t="shared" si="27"/>
        <v>0</v>
      </c>
      <c r="G163" s="48">
        <f t="shared" si="27"/>
        <v>0</v>
      </c>
      <c r="H163" s="48">
        <f t="shared" si="27"/>
        <v>55099196</v>
      </c>
      <c r="I163" s="48">
        <f t="shared" si="27"/>
        <v>423294415.01999998</v>
      </c>
      <c r="J163" s="48">
        <f t="shared" si="27"/>
        <v>406334443.14999998</v>
      </c>
      <c r="K163" s="48">
        <f t="shared" si="27"/>
        <v>2948437.8699999996</v>
      </c>
      <c r="L163" s="48">
        <f t="shared" si="27"/>
        <v>0</v>
      </c>
      <c r="M163" s="48">
        <f t="shared" si="27"/>
        <v>0</v>
      </c>
      <c r="N163" s="48">
        <f t="shared" si="27"/>
        <v>420345977.14999998</v>
      </c>
      <c r="O163" s="48">
        <f t="shared" si="27"/>
        <v>498236470.56999999</v>
      </c>
      <c r="P163" s="191"/>
    </row>
    <row r="164" spans="1:16" s="53" customFormat="1" ht="47.25" hidden="1" customHeight="1" x14ac:dyDescent="0.25">
      <c r="A164" s="75"/>
      <c r="B164" s="76"/>
      <c r="C164" s="79" t="s">
        <v>390</v>
      </c>
      <c r="D164" s="80">
        <f>D170</f>
        <v>0</v>
      </c>
      <c r="E164" s="80">
        <f t="shared" ref="E164:O164" si="28">E170</f>
        <v>0</v>
      </c>
      <c r="F164" s="80">
        <f t="shared" si="28"/>
        <v>0</v>
      </c>
      <c r="G164" s="80">
        <f t="shared" si="28"/>
        <v>0</v>
      </c>
      <c r="H164" s="80">
        <f t="shared" si="28"/>
        <v>0</v>
      </c>
      <c r="I164" s="80">
        <f t="shared" si="28"/>
        <v>6380916</v>
      </c>
      <c r="J164" s="80">
        <f t="shared" si="28"/>
        <v>6380916</v>
      </c>
      <c r="K164" s="80">
        <f t="shared" si="28"/>
        <v>0</v>
      </c>
      <c r="L164" s="80">
        <f t="shared" si="28"/>
        <v>0</v>
      </c>
      <c r="M164" s="80">
        <f t="shared" si="28"/>
        <v>0</v>
      </c>
      <c r="N164" s="80">
        <f t="shared" si="28"/>
        <v>6380916</v>
      </c>
      <c r="O164" s="80">
        <f t="shared" si="28"/>
        <v>6380916</v>
      </c>
      <c r="P164" s="191"/>
    </row>
    <row r="165" spans="1:16" s="53" customFormat="1" ht="94.5" hidden="1" customHeight="1" x14ac:dyDescent="0.25">
      <c r="A165" s="75"/>
      <c r="B165" s="76"/>
      <c r="C165" s="79" t="s">
        <v>399</v>
      </c>
      <c r="D165" s="80">
        <f>D186</f>
        <v>0</v>
      </c>
      <c r="E165" s="80">
        <f t="shared" ref="E165:N165" si="29">E186</f>
        <v>0</v>
      </c>
      <c r="F165" s="80">
        <f t="shared" si="29"/>
        <v>0</v>
      </c>
      <c r="G165" s="80">
        <f t="shared" si="29"/>
        <v>0</v>
      </c>
      <c r="H165" s="80">
        <f t="shared" si="29"/>
        <v>0</v>
      </c>
      <c r="I165" s="80">
        <f t="shared" si="29"/>
        <v>0</v>
      </c>
      <c r="J165" s="80">
        <f t="shared" si="29"/>
        <v>0</v>
      </c>
      <c r="K165" s="80">
        <f t="shared" si="29"/>
        <v>0</v>
      </c>
      <c r="L165" s="80">
        <f t="shared" si="29"/>
        <v>0</v>
      </c>
      <c r="M165" s="80">
        <f t="shared" si="29"/>
        <v>0</v>
      </c>
      <c r="N165" s="80">
        <f t="shared" si="29"/>
        <v>0</v>
      </c>
      <c r="O165" s="80">
        <f t="shared" ref="O165" si="30">O186</f>
        <v>0</v>
      </c>
      <c r="P165" s="191"/>
    </row>
    <row r="166" spans="1:16" s="53" customFormat="1" ht="18" customHeight="1" x14ac:dyDescent="0.25">
      <c r="A166" s="75"/>
      <c r="B166" s="75"/>
      <c r="C166" s="87" t="s">
        <v>421</v>
      </c>
      <c r="D166" s="80">
        <f>D201</f>
        <v>0</v>
      </c>
      <c r="E166" s="80">
        <f t="shared" ref="E166:O166" si="31">E201</f>
        <v>0</v>
      </c>
      <c r="F166" s="80">
        <f t="shared" si="31"/>
        <v>0</v>
      </c>
      <c r="G166" s="80">
        <f t="shared" si="31"/>
        <v>0</v>
      </c>
      <c r="H166" s="80">
        <f t="shared" si="31"/>
        <v>0</v>
      </c>
      <c r="I166" s="80">
        <f t="shared" si="31"/>
        <v>127771665.12</v>
      </c>
      <c r="J166" s="80">
        <f t="shared" si="31"/>
        <v>127771665.12</v>
      </c>
      <c r="K166" s="80">
        <f t="shared" si="31"/>
        <v>0</v>
      </c>
      <c r="L166" s="80">
        <f t="shared" si="31"/>
        <v>0</v>
      </c>
      <c r="M166" s="80">
        <f t="shared" si="31"/>
        <v>0</v>
      </c>
      <c r="N166" s="80">
        <f t="shared" si="31"/>
        <v>127771665.12</v>
      </c>
      <c r="O166" s="80">
        <f t="shared" si="31"/>
        <v>127771665.12</v>
      </c>
      <c r="P166" s="191"/>
    </row>
    <row r="167" spans="1:16" s="52" customFormat="1" x14ac:dyDescent="0.25">
      <c r="A167" s="38" t="s">
        <v>145</v>
      </c>
      <c r="B167" s="41"/>
      <c r="C167" s="2" t="s">
        <v>146</v>
      </c>
      <c r="D167" s="48">
        <f t="shared" ref="D167:O167" si="32">D168</f>
        <v>450000</v>
      </c>
      <c r="E167" s="48">
        <f t="shared" si="32"/>
        <v>450000</v>
      </c>
      <c r="F167" s="48">
        <f t="shared" si="32"/>
        <v>0</v>
      </c>
      <c r="G167" s="48">
        <f t="shared" si="32"/>
        <v>0</v>
      </c>
      <c r="H167" s="48">
        <f t="shared" si="32"/>
        <v>0</v>
      </c>
      <c r="I167" s="48">
        <f t="shared" si="32"/>
        <v>0</v>
      </c>
      <c r="J167" s="48">
        <f t="shared" si="32"/>
        <v>0</v>
      </c>
      <c r="K167" s="48">
        <f t="shared" si="32"/>
        <v>0</v>
      </c>
      <c r="L167" s="48">
        <f t="shared" si="32"/>
        <v>0</v>
      </c>
      <c r="M167" s="48">
        <f t="shared" si="32"/>
        <v>0</v>
      </c>
      <c r="N167" s="48">
        <f t="shared" si="32"/>
        <v>0</v>
      </c>
      <c r="O167" s="48">
        <f t="shared" si="32"/>
        <v>450000</v>
      </c>
      <c r="P167" s="191"/>
    </row>
    <row r="168" spans="1:16" ht="24" customHeight="1" x14ac:dyDescent="0.25">
      <c r="A168" s="37" t="s">
        <v>139</v>
      </c>
      <c r="B168" s="37" t="s">
        <v>85</v>
      </c>
      <c r="C168" s="3" t="s">
        <v>347</v>
      </c>
      <c r="D168" s="49">
        <f>'дод 2'!E288</f>
        <v>450000</v>
      </c>
      <c r="E168" s="49">
        <f>'дод 2'!F288</f>
        <v>450000</v>
      </c>
      <c r="F168" s="49">
        <f>'дод 2'!G288</f>
        <v>0</v>
      </c>
      <c r="G168" s="49">
        <f>'дод 2'!H288</f>
        <v>0</v>
      </c>
      <c r="H168" s="49">
        <f>'дод 2'!I288</f>
        <v>0</v>
      </c>
      <c r="I168" s="49">
        <f>'дод 2'!J288</f>
        <v>0</v>
      </c>
      <c r="J168" s="49">
        <f>'дод 2'!K288</f>
        <v>0</v>
      </c>
      <c r="K168" s="49">
        <f>'дод 2'!L288</f>
        <v>0</v>
      </c>
      <c r="L168" s="49">
        <f>'дод 2'!M288</f>
        <v>0</v>
      </c>
      <c r="M168" s="49">
        <f>'дод 2'!N288</f>
        <v>0</v>
      </c>
      <c r="N168" s="49">
        <f>'дод 2'!O288</f>
        <v>0</v>
      </c>
      <c r="O168" s="49">
        <f>'дод 2'!P288</f>
        <v>450000</v>
      </c>
      <c r="P168" s="191"/>
    </row>
    <row r="169" spans="1:16" s="52" customFormat="1" ht="18.75" customHeight="1" x14ac:dyDescent="0.25">
      <c r="A169" s="38" t="s">
        <v>99</v>
      </c>
      <c r="B169" s="38"/>
      <c r="C169" s="13" t="s">
        <v>471</v>
      </c>
      <c r="D169" s="48">
        <f>D171+D172+D173+D174+D175+D176+D177+D178+D179+D180+D182+D184</f>
        <v>2364686</v>
      </c>
      <c r="E169" s="48">
        <f t="shared" ref="E169:O169" si="33">E171+E172+E173+E174+E175+E176+E177+E178+E179+E180+E182+E184</f>
        <v>2364686</v>
      </c>
      <c r="F169" s="48">
        <f t="shared" si="33"/>
        <v>0</v>
      </c>
      <c r="G169" s="48">
        <f t="shared" si="33"/>
        <v>0</v>
      </c>
      <c r="H169" s="48">
        <f t="shared" si="33"/>
        <v>0</v>
      </c>
      <c r="I169" s="48">
        <f t="shared" si="33"/>
        <v>205657272.57999998</v>
      </c>
      <c r="J169" s="48">
        <f t="shared" si="33"/>
        <v>205657272.57999998</v>
      </c>
      <c r="K169" s="48">
        <f t="shared" si="33"/>
        <v>0</v>
      </c>
      <c r="L169" s="48">
        <f t="shared" si="33"/>
        <v>0</v>
      </c>
      <c r="M169" s="48">
        <f t="shared" si="33"/>
        <v>0</v>
      </c>
      <c r="N169" s="48">
        <f t="shared" si="33"/>
        <v>205657272.57999998</v>
      </c>
      <c r="O169" s="48">
        <f t="shared" si="33"/>
        <v>208021958.57999998</v>
      </c>
      <c r="P169" s="191"/>
    </row>
    <row r="170" spans="1:16" s="53" customFormat="1" ht="55.5" customHeight="1" x14ac:dyDescent="0.25">
      <c r="A170" s="75"/>
      <c r="B170" s="75"/>
      <c r="C170" s="79" t="s">
        <v>569</v>
      </c>
      <c r="D170" s="80">
        <f>D183</f>
        <v>0</v>
      </c>
      <c r="E170" s="80">
        <f t="shared" ref="E170:O170" si="34">E183</f>
        <v>0</v>
      </c>
      <c r="F170" s="80">
        <f t="shared" si="34"/>
        <v>0</v>
      </c>
      <c r="G170" s="80">
        <f t="shared" si="34"/>
        <v>0</v>
      </c>
      <c r="H170" s="80">
        <f t="shared" si="34"/>
        <v>0</v>
      </c>
      <c r="I170" s="80">
        <f t="shared" si="34"/>
        <v>6380916</v>
      </c>
      <c r="J170" s="80">
        <f t="shared" si="34"/>
        <v>6380916</v>
      </c>
      <c r="K170" s="80">
        <f t="shared" si="34"/>
        <v>0</v>
      </c>
      <c r="L170" s="80">
        <f t="shared" si="34"/>
        <v>0</v>
      </c>
      <c r="M170" s="80">
        <f t="shared" si="34"/>
        <v>0</v>
      </c>
      <c r="N170" s="80">
        <f t="shared" si="34"/>
        <v>6380916</v>
      </c>
      <c r="O170" s="80">
        <f t="shared" si="34"/>
        <v>6380916</v>
      </c>
      <c r="P170" s="191"/>
    </row>
    <row r="171" spans="1:16" ht="33" customHeight="1" x14ac:dyDescent="0.25">
      <c r="A171" s="40" t="s">
        <v>274</v>
      </c>
      <c r="B171" s="40" t="s">
        <v>113</v>
      </c>
      <c r="C171" s="6" t="s">
        <v>566</v>
      </c>
      <c r="D171" s="49">
        <f>'дод 2'!E261+'дод 2'!E232</f>
        <v>0</v>
      </c>
      <c r="E171" s="49">
        <f>'дод 2'!F261+'дод 2'!F232</f>
        <v>0</v>
      </c>
      <c r="F171" s="49">
        <f>'дод 2'!G261+'дод 2'!G232</f>
        <v>0</v>
      </c>
      <c r="G171" s="49">
        <f>'дод 2'!H261+'дод 2'!H232</f>
        <v>0</v>
      </c>
      <c r="H171" s="49">
        <f>'дод 2'!I261+'дод 2'!I232</f>
        <v>0</v>
      </c>
      <c r="I171" s="49">
        <f>'дод 2'!J261+'дод 2'!J232</f>
        <v>20078713</v>
      </c>
      <c r="J171" s="49">
        <f>'дод 2'!K261+'дод 2'!K232</f>
        <v>20078713</v>
      </c>
      <c r="K171" s="49">
        <f>'дод 2'!L261+'дод 2'!L232</f>
        <v>0</v>
      </c>
      <c r="L171" s="49">
        <f>'дод 2'!M261+'дод 2'!M232</f>
        <v>0</v>
      </c>
      <c r="M171" s="49">
        <f>'дод 2'!N261+'дод 2'!N232</f>
        <v>0</v>
      </c>
      <c r="N171" s="49">
        <f>'дод 2'!O261+'дод 2'!O232</f>
        <v>20078713</v>
      </c>
      <c r="O171" s="49">
        <f>'дод 2'!P261+'дод 2'!P232</f>
        <v>20078713</v>
      </c>
      <c r="P171" s="191"/>
    </row>
    <row r="172" spans="1:16" s="54" customFormat="1" ht="21.75" customHeight="1" x14ac:dyDescent="0.25">
      <c r="A172" s="40" t="s">
        <v>279</v>
      </c>
      <c r="B172" s="40" t="s">
        <v>113</v>
      </c>
      <c r="C172" s="6" t="s">
        <v>562</v>
      </c>
      <c r="D172" s="49">
        <f>'дод 2'!E111+'дод 2'!E262</f>
        <v>0</v>
      </c>
      <c r="E172" s="49">
        <f>'дод 2'!F111+'дод 2'!F262</f>
        <v>0</v>
      </c>
      <c r="F172" s="49">
        <f>'дод 2'!G111+'дод 2'!G262</f>
        <v>0</v>
      </c>
      <c r="G172" s="49">
        <f>'дод 2'!H111+'дод 2'!H262</f>
        <v>0</v>
      </c>
      <c r="H172" s="49">
        <f>'дод 2'!I111+'дод 2'!I262</f>
        <v>0</v>
      </c>
      <c r="I172" s="49">
        <f>'дод 2'!J111+'дод 2'!J262</f>
        <v>24321326</v>
      </c>
      <c r="J172" s="49">
        <f>'дод 2'!K111+'дод 2'!K262</f>
        <v>24321326</v>
      </c>
      <c r="K172" s="49">
        <f>'дод 2'!L111+'дод 2'!L262</f>
        <v>0</v>
      </c>
      <c r="L172" s="49">
        <f>'дод 2'!M111+'дод 2'!M262</f>
        <v>0</v>
      </c>
      <c r="M172" s="49">
        <f>'дод 2'!N111+'дод 2'!N262</f>
        <v>0</v>
      </c>
      <c r="N172" s="49">
        <f>'дод 2'!O111+'дод 2'!O262</f>
        <v>24321326</v>
      </c>
      <c r="O172" s="49">
        <f>'дод 2'!P111+'дод 2'!P262</f>
        <v>24321326</v>
      </c>
      <c r="P172" s="191">
        <v>98</v>
      </c>
    </row>
    <row r="173" spans="1:16" s="54" customFormat="1" ht="24" customHeight="1" x14ac:dyDescent="0.25">
      <c r="A173" s="40" t="s">
        <v>281</v>
      </c>
      <c r="B173" s="40" t="s">
        <v>113</v>
      </c>
      <c r="C173" s="6" t="s">
        <v>563</v>
      </c>
      <c r="D173" s="49">
        <f>'дод 2'!E263+'дод 2'!E147</f>
        <v>0</v>
      </c>
      <c r="E173" s="49">
        <f>'дод 2'!F263+'дод 2'!F147</f>
        <v>0</v>
      </c>
      <c r="F173" s="49">
        <f>'дод 2'!G263+'дод 2'!G147</f>
        <v>0</v>
      </c>
      <c r="G173" s="49">
        <f>'дод 2'!H263+'дод 2'!H147</f>
        <v>0</v>
      </c>
      <c r="H173" s="49">
        <f>'дод 2'!I263+'дод 2'!I147</f>
        <v>0</v>
      </c>
      <c r="I173" s="49">
        <f>'дод 2'!J263+'дод 2'!J147</f>
        <v>37733372</v>
      </c>
      <c r="J173" s="49">
        <f>'дод 2'!K263+'дод 2'!K147</f>
        <v>37733372</v>
      </c>
      <c r="K173" s="49">
        <f>'дод 2'!L263+'дод 2'!L147</f>
        <v>0</v>
      </c>
      <c r="L173" s="49">
        <f>'дод 2'!M263+'дод 2'!M147</f>
        <v>0</v>
      </c>
      <c r="M173" s="49">
        <f>'дод 2'!N263+'дод 2'!N147</f>
        <v>0</v>
      </c>
      <c r="N173" s="49">
        <f>'дод 2'!O263+'дод 2'!O147</f>
        <v>37733372</v>
      </c>
      <c r="O173" s="49">
        <f>'дод 2'!P263+'дод 2'!P147</f>
        <v>37733372</v>
      </c>
      <c r="P173" s="191"/>
    </row>
    <row r="174" spans="1:16" s="54" customFormat="1" ht="22.5" customHeight="1" x14ac:dyDescent="0.25">
      <c r="A174" s="40">
        <v>7323</v>
      </c>
      <c r="B174" s="77" t="s">
        <v>113</v>
      </c>
      <c r="C174" s="146" t="s">
        <v>564</v>
      </c>
      <c r="D174" s="49">
        <f>'дод 2'!E194</f>
        <v>0</v>
      </c>
      <c r="E174" s="49">
        <f>'дод 2'!F194</f>
        <v>0</v>
      </c>
      <c r="F174" s="49">
        <f>'дод 2'!G194</f>
        <v>0</v>
      </c>
      <c r="G174" s="49">
        <f>'дод 2'!H194</f>
        <v>0</v>
      </c>
      <c r="H174" s="49">
        <f>'дод 2'!I194</f>
        <v>0</v>
      </c>
      <c r="I174" s="49">
        <f>'дод 2'!J194</f>
        <v>473213</v>
      </c>
      <c r="J174" s="49">
        <f>'дод 2'!K194</f>
        <v>473213</v>
      </c>
      <c r="K174" s="49">
        <f>'дод 2'!L194</f>
        <v>0</v>
      </c>
      <c r="L174" s="49">
        <f>'дод 2'!M194</f>
        <v>0</v>
      </c>
      <c r="M174" s="49">
        <f>'дод 2'!N194</f>
        <v>0</v>
      </c>
      <c r="N174" s="49">
        <f>'дод 2'!O194</f>
        <v>473213</v>
      </c>
      <c r="O174" s="49">
        <f>'дод 2'!P194</f>
        <v>473213</v>
      </c>
      <c r="P174" s="191"/>
    </row>
    <row r="175" spans="1:16" s="54" customFormat="1" ht="19.5" customHeight="1" x14ac:dyDescent="0.25">
      <c r="A175" s="40">
        <v>7324</v>
      </c>
      <c r="B175" s="77" t="s">
        <v>113</v>
      </c>
      <c r="C175" s="6" t="s">
        <v>565</v>
      </c>
      <c r="D175" s="49">
        <f>'дод 2'!E212+'дод 2'!E264</f>
        <v>0</v>
      </c>
      <c r="E175" s="49">
        <f>'дод 2'!F212+'дод 2'!F264</f>
        <v>0</v>
      </c>
      <c r="F175" s="49">
        <f>'дод 2'!G212+'дод 2'!G264</f>
        <v>0</v>
      </c>
      <c r="G175" s="49">
        <f>'дод 2'!H212+'дод 2'!H264</f>
        <v>0</v>
      </c>
      <c r="H175" s="49">
        <f>'дод 2'!I212+'дод 2'!I264</f>
        <v>0</v>
      </c>
      <c r="I175" s="49">
        <f>'дод 2'!J212+'дод 2'!J264</f>
        <v>970000</v>
      </c>
      <c r="J175" s="49">
        <f>'дод 2'!K212+'дод 2'!K264</f>
        <v>970000</v>
      </c>
      <c r="K175" s="49">
        <f>'дод 2'!L212+'дод 2'!L264</f>
        <v>0</v>
      </c>
      <c r="L175" s="49">
        <f>'дод 2'!M212+'дод 2'!M264</f>
        <v>0</v>
      </c>
      <c r="M175" s="49">
        <f>'дод 2'!N212+'дод 2'!N264</f>
        <v>0</v>
      </c>
      <c r="N175" s="49">
        <f>'дод 2'!O212+'дод 2'!O264</f>
        <v>970000</v>
      </c>
      <c r="O175" s="49">
        <f>'дод 2'!P212+'дод 2'!P264</f>
        <v>970000</v>
      </c>
      <c r="P175" s="191"/>
    </row>
    <row r="176" spans="1:16" s="54" customFormat="1" ht="34.5" x14ac:dyDescent="0.25">
      <c r="A176" s="40">
        <v>7325</v>
      </c>
      <c r="B176" s="77" t="s">
        <v>113</v>
      </c>
      <c r="C176" s="6" t="s">
        <v>560</v>
      </c>
      <c r="D176" s="49">
        <f>'дод 2'!E265+'дод 2'!E42</f>
        <v>0</v>
      </c>
      <c r="E176" s="49">
        <f>'дод 2'!F265+'дод 2'!F42</f>
        <v>0</v>
      </c>
      <c r="F176" s="49">
        <f>'дод 2'!G265+'дод 2'!G42</f>
        <v>0</v>
      </c>
      <c r="G176" s="49">
        <f>'дод 2'!H265+'дод 2'!H42</f>
        <v>0</v>
      </c>
      <c r="H176" s="49">
        <f>'дод 2'!I265+'дод 2'!I42</f>
        <v>0</v>
      </c>
      <c r="I176" s="49">
        <f>'дод 2'!J265+'дод 2'!J42</f>
        <v>11589440</v>
      </c>
      <c r="J176" s="49">
        <f>'дод 2'!K265+'дод 2'!K42</f>
        <v>11589440</v>
      </c>
      <c r="K176" s="49">
        <f>'дод 2'!L265+'дод 2'!L42</f>
        <v>0</v>
      </c>
      <c r="L176" s="49">
        <f>'дод 2'!M265+'дод 2'!M42</f>
        <v>0</v>
      </c>
      <c r="M176" s="49">
        <f>'дод 2'!N265+'дод 2'!N42</f>
        <v>0</v>
      </c>
      <c r="N176" s="49">
        <f>'дод 2'!O265+'дод 2'!O42</f>
        <v>11589440</v>
      </c>
      <c r="O176" s="49">
        <f>'дод 2'!P265+'дод 2'!P42</f>
        <v>11589440</v>
      </c>
      <c r="P176" s="191"/>
    </row>
    <row r="177" spans="1:16" ht="21.75" customHeight="1" x14ac:dyDescent="0.25">
      <c r="A177" s="40" t="s">
        <v>276</v>
      </c>
      <c r="B177" s="40" t="s">
        <v>113</v>
      </c>
      <c r="C177" s="6" t="s">
        <v>561</v>
      </c>
      <c r="D177" s="49">
        <f>'дод 2'!E266+'дод 2'!E233+'дод 2'!E43</f>
        <v>0</v>
      </c>
      <c r="E177" s="49">
        <f>'дод 2'!F266+'дод 2'!F233+'дод 2'!F43</f>
        <v>0</v>
      </c>
      <c r="F177" s="49">
        <f>'дод 2'!G266+'дод 2'!G233+'дод 2'!G43</f>
        <v>0</v>
      </c>
      <c r="G177" s="49">
        <f>'дод 2'!H266+'дод 2'!H233+'дод 2'!H43</f>
        <v>0</v>
      </c>
      <c r="H177" s="49">
        <f>'дод 2'!I266+'дод 2'!I233+'дод 2'!I43</f>
        <v>0</v>
      </c>
      <c r="I177" s="49">
        <f>'дод 2'!J266+'дод 2'!J233+'дод 2'!J43</f>
        <v>33812855.579999998</v>
      </c>
      <c r="J177" s="49">
        <f>'дод 2'!K266+'дод 2'!K233+'дод 2'!K43</f>
        <v>33812855.579999998</v>
      </c>
      <c r="K177" s="49">
        <f>'дод 2'!L266+'дод 2'!L233+'дод 2'!L43</f>
        <v>0</v>
      </c>
      <c r="L177" s="49">
        <f>'дод 2'!M266+'дод 2'!M233+'дод 2'!M43</f>
        <v>0</v>
      </c>
      <c r="M177" s="49">
        <f>'дод 2'!N266+'дод 2'!N233+'дод 2'!N43</f>
        <v>0</v>
      </c>
      <c r="N177" s="49">
        <f>'дод 2'!O266+'дод 2'!O233+'дод 2'!O43</f>
        <v>33812855.579999998</v>
      </c>
      <c r="O177" s="49">
        <f>'дод 2'!P266+'дод 2'!P233+'дод 2'!P43</f>
        <v>33812855.579999998</v>
      </c>
      <c r="P177" s="191"/>
    </row>
    <row r="178" spans="1:16" ht="31.5" customHeight="1" x14ac:dyDescent="0.25">
      <c r="A178" s="37" t="s">
        <v>140</v>
      </c>
      <c r="B178" s="37" t="s">
        <v>113</v>
      </c>
      <c r="C178" s="3" t="s">
        <v>1</v>
      </c>
      <c r="D178" s="49">
        <f>'дод 2'!E234+'дод 2'!E267</f>
        <v>0</v>
      </c>
      <c r="E178" s="49">
        <f>'дод 2'!F234+'дод 2'!F267</f>
        <v>0</v>
      </c>
      <c r="F178" s="49">
        <f>'дод 2'!G234+'дод 2'!G267</f>
        <v>0</v>
      </c>
      <c r="G178" s="49">
        <f>'дод 2'!H234+'дод 2'!H267</f>
        <v>0</v>
      </c>
      <c r="H178" s="49">
        <f>'дод 2'!I234+'дод 2'!I267</f>
        <v>0</v>
      </c>
      <c r="I178" s="49">
        <f>'дод 2'!J234+'дод 2'!J267</f>
        <v>4250000</v>
      </c>
      <c r="J178" s="49">
        <f>'дод 2'!K234+'дод 2'!K267</f>
        <v>4250000</v>
      </c>
      <c r="K178" s="49">
        <f>'дод 2'!L234+'дод 2'!L267</f>
        <v>0</v>
      </c>
      <c r="L178" s="49">
        <f>'дод 2'!M234+'дод 2'!M267</f>
        <v>0</v>
      </c>
      <c r="M178" s="49">
        <f>'дод 2'!N234+'дод 2'!N267</f>
        <v>0</v>
      </c>
      <c r="N178" s="49">
        <f>'дод 2'!O234+'дод 2'!O267</f>
        <v>4250000</v>
      </c>
      <c r="O178" s="49">
        <f>'дод 2'!P234+'дод 2'!P267</f>
        <v>4250000</v>
      </c>
      <c r="P178" s="191"/>
    </row>
    <row r="179" spans="1:16" ht="35.25" customHeight="1" x14ac:dyDescent="0.25">
      <c r="A179" s="59" t="s">
        <v>462</v>
      </c>
      <c r="B179" s="59" t="s">
        <v>113</v>
      </c>
      <c r="C179" s="3" t="s">
        <v>463</v>
      </c>
      <c r="D179" s="49">
        <f>'дод 2'!E279</f>
        <v>0</v>
      </c>
      <c r="E179" s="49">
        <f>'дод 2'!F279</f>
        <v>0</v>
      </c>
      <c r="F179" s="49">
        <f>'дод 2'!G279</f>
        <v>0</v>
      </c>
      <c r="G179" s="49">
        <f>'дод 2'!H279</f>
        <v>0</v>
      </c>
      <c r="H179" s="49">
        <f>'дод 2'!I279</f>
        <v>0</v>
      </c>
      <c r="I179" s="49">
        <f>'дод 2'!J279</f>
        <v>0</v>
      </c>
      <c r="J179" s="49">
        <f>'дод 2'!K279</f>
        <v>0</v>
      </c>
      <c r="K179" s="49">
        <f>'дод 2'!L279</f>
        <v>0</v>
      </c>
      <c r="L179" s="49">
        <f>'дод 2'!M279</f>
        <v>0</v>
      </c>
      <c r="M179" s="49">
        <f>'дод 2'!N279</f>
        <v>0</v>
      </c>
      <c r="N179" s="49">
        <f>'дод 2'!O279</f>
        <v>0</v>
      </c>
      <c r="O179" s="49">
        <f>'дод 2'!P279</f>
        <v>0</v>
      </c>
      <c r="P179" s="191"/>
    </row>
    <row r="180" spans="1:16" ht="51.75" customHeight="1" x14ac:dyDescent="0.25">
      <c r="A180" s="37">
        <v>7361</v>
      </c>
      <c r="B180" s="37" t="s">
        <v>84</v>
      </c>
      <c r="C180" s="3" t="s">
        <v>374</v>
      </c>
      <c r="D180" s="49">
        <f>'дод 2'!E235+'дод 2'!E268+'дод 2'!E148</f>
        <v>0</v>
      </c>
      <c r="E180" s="49">
        <f>'дод 2'!F235+'дод 2'!F268+'дод 2'!F148</f>
        <v>0</v>
      </c>
      <c r="F180" s="49">
        <f>'дод 2'!G235+'дод 2'!G268+'дод 2'!G148</f>
        <v>0</v>
      </c>
      <c r="G180" s="49">
        <f>'дод 2'!H235+'дод 2'!H268+'дод 2'!H148</f>
        <v>0</v>
      </c>
      <c r="H180" s="49">
        <f>'дод 2'!I235+'дод 2'!I268+'дод 2'!I148</f>
        <v>0</v>
      </c>
      <c r="I180" s="49">
        <f>'дод 2'!J235+'дод 2'!J268+'дод 2'!J148</f>
        <v>57461673</v>
      </c>
      <c r="J180" s="49">
        <f>'дод 2'!K235+'дод 2'!K268+'дод 2'!K148</f>
        <v>57461673</v>
      </c>
      <c r="K180" s="49">
        <f>'дод 2'!L235+'дод 2'!L268+'дод 2'!L148</f>
        <v>0</v>
      </c>
      <c r="L180" s="49">
        <f>'дод 2'!M235+'дод 2'!M268+'дод 2'!M148</f>
        <v>0</v>
      </c>
      <c r="M180" s="49">
        <f>'дод 2'!N235+'дод 2'!N268+'дод 2'!N148</f>
        <v>0</v>
      </c>
      <c r="N180" s="49">
        <f>'дод 2'!O235+'дод 2'!O268+'дод 2'!O148</f>
        <v>57461673</v>
      </c>
      <c r="O180" s="49">
        <f>'дод 2'!P235+'дод 2'!P268+'дод 2'!P148</f>
        <v>57461673</v>
      </c>
      <c r="P180" s="191"/>
    </row>
    <row r="181" spans="1:16" s="54" customFormat="1" ht="46.5" hidden="1" customHeight="1" x14ac:dyDescent="0.25">
      <c r="A181" s="37">
        <v>7362</v>
      </c>
      <c r="B181" s="37" t="s">
        <v>84</v>
      </c>
      <c r="C181" s="3" t="s">
        <v>366</v>
      </c>
      <c r="D181" s="49">
        <f>'дод 2'!E236</f>
        <v>0</v>
      </c>
      <c r="E181" s="49">
        <f>'дод 2'!F236</f>
        <v>0</v>
      </c>
      <c r="F181" s="49">
        <f>'дод 2'!G236</f>
        <v>0</v>
      </c>
      <c r="G181" s="49">
        <f>'дод 2'!H236</f>
        <v>0</v>
      </c>
      <c r="H181" s="49">
        <f>'дод 2'!I236</f>
        <v>0</v>
      </c>
      <c r="I181" s="49">
        <f>'дод 2'!J236</f>
        <v>0</v>
      </c>
      <c r="J181" s="49">
        <f>'дод 2'!K236</f>
        <v>0</v>
      </c>
      <c r="K181" s="49">
        <f>'дод 2'!L236</f>
        <v>0</v>
      </c>
      <c r="L181" s="49">
        <f>'дод 2'!M236</f>
        <v>0</v>
      </c>
      <c r="M181" s="49">
        <f>'дод 2'!N236</f>
        <v>0</v>
      </c>
      <c r="N181" s="49">
        <f>'дод 2'!O236</f>
        <v>0</v>
      </c>
      <c r="O181" s="49">
        <f>'дод 2'!P236</f>
        <v>0</v>
      </c>
      <c r="P181" s="191"/>
    </row>
    <row r="182" spans="1:16" s="54" customFormat="1" ht="54.75" customHeight="1" x14ac:dyDescent="0.25">
      <c r="A182" s="37">
        <v>7363</v>
      </c>
      <c r="B182" s="60" t="s">
        <v>84</v>
      </c>
      <c r="C182" s="61" t="s">
        <v>400</v>
      </c>
      <c r="D182" s="49">
        <f>'дод 2'!E237+'дод 2'!E112+'дод 2'!E149</f>
        <v>0</v>
      </c>
      <c r="E182" s="49">
        <f>'дод 2'!F237+'дод 2'!F112+'дод 2'!F149</f>
        <v>0</v>
      </c>
      <c r="F182" s="49">
        <f>'дод 2'!G237+'дод 2'!G112+'дод 2'!G149</f>
        <v>0</v>
      </c>
      <c r="G182" s="49">
        <f>'дод 2'!H237+'дод 2'!H112+'дод 2'!H149</f>
        <v>0</v>
      </c>
      <c r="H182" s="49">
        <f>'дод 2'!I237+'дод 2'!I112+'дод 2'!I149</f>
        <v>0</v>
      </c>
      <c r="I182" s="49">
        <f>'дод 2'!J237+'дод 2'!J112+'дод 2'!J149</f>
        <v>14966680</v>
      </c>
      <c r="J182" s="49">
        <f>'дод 2'!K237+'дод 2'!K112+'дод 2'!K149</f>
        <v>14966680</v>
      </c>
      <c r="K182" s="49">
        <f>'дод 2'!L237+'дод 2'!L112+'дод 2'!L149</f>
        <v>0</v>
      </c>
      <c r="L182" s="49">
        <f>'дод 2'!M237+'дод 2'!M112+'дод 2'!M149</f>
        <v>0</v>
      </c>
      <c r="M182" s="49">
        <f>'дод 2'!N237+'дод 2'!N112+'дод 2'!N149</f>
        <v>0</v>
      </c>
      <c r="N182" s="49">
        <f>'дод 2'!O237+'дод 2'!O112+'дод 2'!O149</f>
        <v>14966680</v>
      </c>
      <c r="O182" s="49">
        <f>'дод 2'!P237+'дод 2'!P112+'дод 2'!P149</f>
        <v>14966680</v>
      </c>
      <c r="P182" s="191"/>
    </row>
    <row r="183" spans="1:16" s="54" customFormat="1" ht="52.5" customHeight="1" x14ac:dyDescent="0.25">
      <c r="A183" s="82"/>
      <c r="B183" s="88"/>
      <c r="C183" s="83" t="s">
        <v>569</v>
      </c>
      <c r="D183" s="84">
        <f>'дод 2'!E113+'дод 2'!E150+'дод 2'!E238</f>
        <v>0</v>
      </c>
      <c r="E183" s="84">
        <f>'дод 2'!F113+'дод 2'!F150+'дод 2'!F238</f>
        <v>0</v>
      </c>
      <c r="F183" s="84">
        <f>'дод 2'!G113+'дод 2'!G150+'дод 2'!G238</f>
        <v>0</v>
      </c>
      <c r="G183" s="84">
        <f>'дод 2'!H113+'дод 2'!H150+'дод 2'!H238</f>
        <v>0</v>
      </c>
      <c r="H183" s="84">
        <f>'дод 2'!I113+'дод 2'!I150+'дод 2'!I238</f>
        <v>0</v>
      </c>
      <c r="I183" s="84">
        <f>'дод 2'!J113+'дод 2'!J150+'дод 2'!J238</f>
        <v>6380916</v>
      </c>
      <c r="J183" s="84">
        <f>'дод 2'!K113+'дод 2'!K150+'дод 2'!K238</f>
        <v>6380916</v>
      </c>
      <c r="K183" s="84">
        <f>'дод 2'!L113+'дод 2'!L150+'дод 2'!L238</f>
        <v>0</v>
      </c>
      <c r="L183" s="84">
        <f>'дод 2'!M113+'дод 2'!M150+'дод 2'!M238</f>
        <v>0</v>
      </c>
      <c r="M183" s="84">
        <f>'дод 2'!N113+'дод 2'!N150+'дод 2'!N238</f>
        <v>0</v>
      </c>
      <c r="N183" s="84">
        <f>'дод 2'!O113+'дод 2'!O150+'дод 2'!O238</f>
        <v>6380916</v>
      </c>
      <c r="O183" s="84">
        <f>'дод 2'!P113+'дод 2'!P150+'дод 2'!P238</f>
        <v>6380916</v>
      </c>
      <c r="P183" s="191"/>
    </row>
    <row r="184" spans="1:16" s="54" customFormat="1" ht="31.5" x14ac:dyDescent="0.25">
      <c r="A184" s="37">
        <v>7370</v>
      </c>
      <c r="B184" s="60" t="s">
        <v>84</v>
      </c>
      <c r="C184" s="61" t="s">
        <v>434</v>
      </c>
      <c r="D184" s="49">
        <f>'дод 2'!E270+'дод 2'!E280</f>
        <v>2364686</v>
      </c>
      <c r="E184" s="49">
        <f>'дод 2'!F270+'дод 2'!F280</f>
        <v>2364686</v>
      </c>
      <c r="F184" s="49">
        <f>'дод 2'!G270+'дод 2'!G280</f>
        <v>0</v>
      </c>
      <c r="G184" s="49">
        <f>'дод 2'!H270+'дод 2'!H280</f>
        <v>0</v>
      </c>
      <c r="H184" s="49">
        <f>'дод 2'!I270+'дод 2'!I280</f>
        <v>0</v>
      </c>
      <c r="I184" s="49">
        <f>'дод 2'!J270+'дод 2'!J280</f>
        <v>0</v>
      </c>
      <c r="J184" s="49">
        <f>'дод 2'!K270+'дод 2'!K280</f>
        <v>0</v>
      </c>
      <c r="K184" s="49">
        <f>'дод 2'!L270+'дод 2'!L280</f>
        <v>0</v>
      </c>
      <c r="L184" s="49">
        <f>'дод 2'!M270+'дод 2'!M280</f>
        <v>0</v>
      </c>
      <c r="M184" s="49">
        <f>'дод 2'!N270+'дод 2'!N280</f>
        <v>0</v>
      </c>
      <c r="N184" s="49">
        <f>'дод 2'!O270+'дод 2'!O280</f>
        <v>0</v>
      </c>
      <c r="O184" s="49">
        <f>'дод 2'!P270+'дод 2'!P280</f>
        <v>2364686</v>
      </c>
      <c r="P184" s="191"/>
    </row>
    <row r="185" spans="1:16" s="52" customFormat="1" ht="34.5" customHeight="1" x14ac:dyDescent="0.25">
      <c r="A185" s="38" t="s">
        <v>87</v>
      </c>
      <c r="B185" s="41"/>
      <c r="C185" s="2" t="s">
        <v>472</v>
      </c>
      <c r="D185" s="48">
        <f>D188+D189+D190+D191+D195+D196</f>
        <v>56852022</v>
      </c>
      <c r="E185" s="48">
        <f t="shared" ref="E185:O185" si="35">E188+E189+E190+E191+E195+E196</f>
        <v>4252826</v>
      </c>
      <c r="F185" s="48">
        <f t="shared" si="35"/>
        <v>0</v>
      </c>
      <c r="G185" s="48">
        <f t="shared" si="35"/>
        <v>0</v>
      </c>
      <c r="H185" s="48">
        <f t="shared" si="35"/>
        <v>52599196</v>
      </c>
      <c r="I185" s="48">
        <f t="shared" si="35"/>
        <v>0</v>
      </c>
      <c r="J185" s="48">
        <f t="shared" si="35"/>
        <v>0</v>
      </c>
      <c r="K185" s="48">
        <f t="shared" si="35"/>
        <v>0</v>
      </c>
      <c r="L185" s="48">
        <f t="shared" si="35"/>
        <v>0</v>
      </c>
      <c r="M185" s="48">
        <f t="shared" si="35"/>
        <v>0</v>
      </c>
      <c r="N185" s="48">
        <f t="shared" si="35"/>
        <v>0</v>
      </c>
      <c r="O185" s="48">
        <f t="shared" si="35"/>
        <v>56852022</v>
      </c>
      <c r="P185" s="191"/>
    </row>
    <row r="186" spans="1:16" s="53" customFormat="1" ht="94.5" hidden="1" customHeight="1" x14ac:dyDescent="0.25">
      <c r="A186" s="75"/>
      <c r="B186" s="76"/>
      <c r="C186" s="79" t="s">
        <v>399</v>
      </c>
      <c r="D186" s="80">
        <f>D193</f>
        <v>0</v>
      </c>
      <c r="E186" s="80">
        <f t="shared" ref="E186:O186" si="36">E193</f>
        <v>0</v>
      </c>
      <c r="F186" s="80">
        <f t="shared" si="36"/>
        <v>0</v>
      </c>
      <c r="G186" s="80">
        <f t="shared" si="36"/>
        <v>0</v>
      </c>
      <c r="H186" s="80">
        <f t="shared" si="36"/>
        <v>0</v>
      </c>
      <c r="I186" s="80">
        <f t="shared" si="36"/>
        <v>0</v>
      </c>
      <c r="J186" s="80">
        <f t="shared" si="36"/>
        <v>0</v>
      </c>
      <c r="K186" s="80">
        <f t="shared" si="36"/>
        <v>0</v>
      </c>
      <c r="L186" s="80">
        <f t="shared" si="36"/>
        <v>0</v>
      </c>
      <c r="M186" s="80">
        <f t="shared" si="36"/>
        <v>0</v>
      </c>
      <c r="N186" s="80">
        <f t="shared" si="36"/>
        <v>0</v>
      </c>
      <c r="O186" s="80">
        <f t="shared" si="36"/>
        <v>0</v>
      </c>
      <c r="P186" s="191"/>
    </row>
    <row r="187" spans="1:16" s="53" customFormat="1" ht="63" x14ac:dyDescent="0.25">
      <c r="A187" s="75"/>
      <c r="B187" s="76"/>
      <c r="C187" s="79" t="s">
        <v>449</v>
      </c>
      <c r="D187" s="80">
        <f>D197</f>
        <v>1527346</v>
      </c>
      <c r="E187" s="80">
        <f t="shared" ref="E187:O187" si="37">E197</f>
        <v>1527346</v>
      </c>
      <c r="F187" s="80">
        <f t="shared" si="37"/>
        <v>0</v>
      </c>
      <c r="G187" s="80">
        <f t="shared" si="37"/>
        <v>0</v>
      </c>
      <c r="H187" s="80">
        <f t="shared" si="37"/>
        <v>0</v>
      </c>
      <c r="I187" s="80">
        <f t="shared" si="37"/>
        <v>0</v>
      </c>
      <c r="J187" s="80">
        <f t="shared" si="37"/>
        <v>0</v>
      </c>
      <c r="K187" s="80">
        <f t="shared" si="37"/>
        <v>0</v>
      </c>
      <c r="L187" s="80">
        <f t="shared" si="37"/>
        <v>0</v>
      </c>
      <c r="M187" s="80">
        <f t="shared" si="37"/>
        <v>0</v>
      </c>
      <c r="N187" s="80">
        <f t="shared" si="37"/>
        <v>0</v>
      </c>
      <c r="O187" s="80">
        <f t="shared" si="37"/>
        <v>1527346</v>
      </c>
      <c r="P187" s="191"/>
    </row>
    <row r="188" spans="1:16" s="54" customFormat="1" ht="18.75" customHeight="1" x14ac:dyDescent="0.25">
      <c r="A188" s="37" t="s">
        <v>3</v>
      </c>
      <c r="B188" s="37" t="s">
        <v>86</v>
      </c>
      <c r="C188" s="3" t="s">
        <v>37</v>
      </c>
      <c r="D188" s="49">
        <f>'дод 2'!E44</f>
        <v>6542500</v>
      </c>
      <c r="E188" s="49">
        <f>'дод 2'!F44</f>
        <v>0</v>
      </c>
      <c r="F188" s="49">
        <f>'дод 2'!G44</f>
        <v>0</v>
      </c>
      <c r="G188" s="49">
        <f>'дод 2'!H44</f>
        <v>0</v>
      </c>
      <c r="H188" s="49">
        <f>'дод 2'!I44</f>
        <v>6542500</v>
      </c>
      <c r="I188" s="49">
        <f>'дод 2'!J44</f>
        <v>0</v>
      </c>
      <c r="J188" s="49">
        <f>'дод 2'!K44</f>
        <v>0</v>
      </c>
      <c r="K188" s="49">
        <f>'дод 2'!L44</f>
        <v>0</v>
      </c>
      <c r="L188" s="49">
        <f>'дод 2'!M44</f>
        <v>0</v>
      </c>
      <c r="M188" s="49">
        <f>'дод 2'!N44</f>
        <v>0</v>
      </c>
      <c r="N188" s="49">
        <f>'дод 2'!O44</f>
        <v>0</v>
      </c>
      <c r="O188" s="49">
        <f>'дод 2'!P44</f>
        <v>6542500</v>
      </c>
      <c r="P188" s="191"/>
    </row>
    <row r="189" spans="1:16" s="54" customFormat="1" ht="20.25" customHeight="1" x14ac:dyDescent="0.25">
      <c r="A189" s="37">
        <v>7413</v>
      </c>
      <c r="B189" s="37" t="s">
        <v>86</v>
      </c>
      <c r="C189" s="3" t="s">
        <v>377</v>
      </c>
      <c r="D189" s="49">
        <f>'дод 2'!E45</f>
        <v>11000000</v>
      </c>
      <c r="E189" s="49">
        <f>'дод 2'!F45</f>
        <v>0</v>
      </c>
      <c r="F189" s="49">
        <f>'дод 2'!G45</f>
        <v>0</v>
      </c>
      <c r="G189" s="49">
        <f>'дод 2'!H45</f>
        <v>0</v>
      </c>
      <c r="H189" s="49">
        <f>'дод 2'!I45</f>
        <v>11000000</v>
      </c>
      <c r="I189" s="49">
        <f>'дод 2'!J45</f>
        <v>0</v>
      </c>
      <c r="J189" s="49">
        <f>'дод 2'!K45</f>
        <v>0</v>
      </c>
      <c r="K189" s="49">
        <f>'дод 2'!L45</f>
        <v>0</v>
      </c>
      <c r="L189" s="49">
        <f>'дод 2'!M45</f>
        <v>0</v>
      </c>
      <c r="M189" s="49">
        <f>'дод 2'!N45</f>
        <v>0</v>
      </c>
      <c r="N189" s="49">
        <f>'дод 2'!O45</f>
        <v>0</v>
      </c>
      <c r="O189" s="49">
        <f>'дод 2'!P45</f>
        <v>11000000</v>
      </c>
      <c r="P189" s="191"/>
    </row>
    <row r="190" spans="1:16" s="54" customFormat="1" ht="31.5" x14ac:dyDescent="0.25">
      <c r="A190" s="42">
        <v>7422</v>
      </c>
      <c r="B190" s="107" t="s">
        <v>415</v>
      </c>
      <c r="C190" s="108" t="s">
        <v>584</v>
      </c>
      <c r="D190" s="49">
        <f>'дод 2'!E46</f>
        <v>4314400</v>
      </c>
      <c r="E190" s="49">
        <f>'дод 2'!F46</f>
        <v>0</v>
      </c>
      <c r="F190" s="49">
        <f>'дод 2'!G46</f>
        <v>0</v>
      </c>
      <c r="G190" s="49">
        <f>'дод 2'!H46</f>
        <v>0</v>
      </c>
      <c r="H190" s="49">
        <f>'дод 2'!I46</f>
        <v>4314400</v>
      </c>
      <c r="I190" s="49">
        <f>'дод 2'!J46</f>
        <v>0</v>
      </c>
      <c r="J190" s="49">
        <f>'дод 2'!K46</f>
        <v>0</v>
      </c>
      <c r="K190" s="49">
        <f>'дод 2'!L46</f>
        <v>0</v>
      </c>
      <c r="L190" s="49">
        <f>'дод 2'!M46</f>
        <v>0</v>
      </c>
      <c r="M190" s="49">
        <f>'дод 2'!N46</f>
        <v>0</v>
      </c>
      <c r="N190" s="49">
        <f>'дод 2'!O46</f>
        <v>0</v>
      </c>
      <c r="O190" s="49">
        <f>'дод 2'!P46</f>
        <v>4314400</v>
      </c>
      <c r="P190" s="191"/>
    </row>
    <row r="191" spans="1:16" s="54" customFormat="1" ht="24" customHeight="1" x14ac:dyDescent="0.25">
      <c r="A191" s="37">
        <v>7426</v>
      </c>
      <c r="B191" s="59" t="s">
        <v>415</v>
      </c>
      <c r="C191" s="3" t="s">
        <v>378</v>
      </c>
      <c r="D191" s="49">
        <f>'дод 2'!E47</f>
        <v>30742296</v>
      </c>
      <c r="E191" s="49">
        <f>'дод 2'!F47</f>
        <v>0</v>
      </c>
      <c r="F191" s="49">
        <f>'дод 2'!G47</f>
        <v>0</v>
      </c>
      <c r="G191" s="49">
        <f>'дод 2'!H47</f>
        <v>0</v>
      </c>
      <c r="H191" s="49">
        <f>'дод 2'!I47</f>
        <v>30742296</v>
      </c>
      <c r="I191" s="49">
        <f>'дод 2'!J47</f>
        <v>0</v>
      </c>
      <c r="J191" s="49">
        <f>'дод 2'!K47</f>
        <v>0</v>
      </c>
      <c r="K191" s="49">
        <f>'дод 2'!L47</f>
        <v>0</v>
      </c>
      <c r="L191" s="49">
        <f>'дод 2'!M47</f>
        <v>0</v>
      </c>
      <c r="M191" s="49">
        <f>'дод 2'!N47</f>
        <v>0</v>
      </c>
      <c r="N191" s="49">
        <f>'дод 2'!O47</f>
        <v>0</v>
      </c>
      <c r="O191" s="49">
        <f>'дод 2'!P47</f>
        <v>30742296</v>
      </c>
      <c r="P191" s="191"/>
    </row>
    <row r="192" spans="1:16" s="54" customFormat="1" ht="53.25" hidden="1" customHeight="1" x14ac:dyDescent="0.25">
      <c r="A192" s="37">
        <v>7462</v>
      </c>
      <c r="B192" s="59" t="s">
        <v>402</v>
      </c>
      <c r="C192" s="3" t="s">
        <v>401</v>
      </c>
      <c r="D192" s="49">
        <f>'дод 2'!E239</f>
        <v>1527346</v>
      </c>
      <c r="E192" s="49">
        <f>'дод 2'!F239</f>
        <v>1527346</v>
      </c>
      <c r="F192" s="49">
        <f>'дод 2'!G239</f>
        <v>0</v>
      </c>
      <c r="G192" s="49">
        <f>'дод 2'!H239</f>
        <v>0</v>
      </c>
      <c r="H192" s="49">
        <f>'дод 2'!I239</f>
        <v>0</v>
      </c>
      <c r="I192" s="49">
        <f>'дод 2'!J239</f>
        <v>0</v>
      </c>
      <c r="J192" s="49">
        <f>'дод 2'!K239</f>
        <v>0</v>
      </c>
      <c r="K192" s="49">
        <f>'дод 2'!L239</f>
        <v>0</v>
      </c>
      <c r="L192" s="49">
        <f>'дод 2'!M239</f>
        <v>0</v>
      </c>
      <c r="M192" s="49">
        <f>'дод 2'!N239</f>
        <v>0</v>
      </c>
      <c r="N192" s="49">
        <f>'дод 2'!O239</f>
        <v>0</v>
      </c>
      <c r="O192" s="49">
        <f>'дод 2'!P239</f>
        <v>1527346</v>
      </c>
      <c r="P192" s="191"/>
    </row>
    <row r="193" spans="1:16" s="54" customFormat="1" ht="94.5" hidden="1" customHeight="1" x14ac:dyDescent="0.25">
      <c r="A193" s="82"/>
      <c r="B193" s="82"/>
      <c r="C193" s="83" t="s">
        <v>399</v>
      </c>
      <c r="D193" s="84">
        <f>'дод 2'!E240</f>
        <v>0</v>
      </c>
      <c r="E193" s="84">
        <f>'дод 2'!F240</f>
        <v>0</v>
      </c>
      <c r="F193" s="84">
        <f>'дод 2'!G240</f>
        <v>0</v>
      </c>
      <c r="G193" s="84">
        <f>'дод 2'!H240</f>
        <v>0</v>
      </c>
      <c r="H193" s="84">
        <f>'дод 2'!I240</f>
        <v>0</v>
      </c>
      <c r="I193" s="84">
        <f>'дод 2'!J240</f>
        <v>0</v>
      </c>
      <c r="J193" s="84">
        <f>'дод 2'!K240</f>
        <v>0</v>
      </c>
      <c r="K193" s="84">
        <f>'дод 2'!L240</f>
        <v>0</v>
      </c>
      <c r="L193" s="84">
        <f>'дод 2'!M240</f>
        <v>0</v>
      </c>
      <c r="M193" s="84">
        <f>'дод 2'!N240</f>
        <v>0</v>
      </c>
      <c r="N193" s="84">
        <f>'дод 2'!O240</f>
        <v>0</v>
      </c>
      <c r="O193" s="84">
        <f>'дод 2'!P240</f>
        <v>0</v>
      </c>
      <c r="P193" s="191"/>
    </row>
    <row r="194" spans="1:16" s="54" customFormat="1" ht="63" hidden="1" customHeight="1" x14ac:dyDescent="0.25">
      <c r="A194" s="82"/>
      <c r="B194" s="82"/>
      <c r="C194" s="83" t="s">
        <v>449</v>
      </c>
      <c r="D194" s="84">
        <f>'дод 2'!E241</f>
        <v>1527346</v>
      </c>
      <c r="E194" s="84">
        <f>'дод 2'!F241</f>
        <v>1527346</v>
      </c>
      <c r="F194" s="84">
        <f>'дод 2'!G241</f>
        <v>0</v>
      </c>
      <c r="G194" s="84">
        <f>'дод 2'!H241</f>
        <v>0</v>
      </c>
      <c r="H194" s="84">
        <f>'дод 2'!I241</f>
        <v>0</v>
      </c>
      <c r="I194" s="84">
        <f>'дод 2'!J241</f>
        <v>0</v>
      </c>
      <c r="J194" s="84">
        <f>'дод 2'!K241</f>
        <v>0</v>
      </c>
      <c r="K194" s="84">
        <f>'дод 2'!L241</f>
        <v>0</v>
      </c>
      <c r="L194" s="84">
        <f>'дод 2'!M241</f>
        <v>0</v>
      </c>
      <c r="M194" s="84">
        <f>'дод 2'!N241</f>
        <v>0</v>
      </c>
      <c r="N194" s="84">
        <f>'дод 2'!O241</f>
        <v>0</v>
      </c>
      <c r="O194" s="84">
        <f>'дод 2'!P241</f>
        <v>1527346</v>
      </c>
      <c r="P194" s="191"/>
    </row>
    <row r="195" spans="1:16" s="54" customFormat="1" ht="18" customHeight="1" x14ac:dyDescent="0.25">
      <c r="A195" s="59" t="s">
        <v>458</v>
      </c>
      <c r="B195" s="59" t="s">
        <v>402</v>
      </c>
      <c r="C195" s="3" t="s">
        <v>464</v>
      </c>
      <c r="D195" s="49">
        <f>'дод 2'!E48</f>
        <v>2725480</v>
      </c>
      <c r="E195" s="49">
        <f>'дод 2'!F48</f>
        <v>2725480</v>
      </c>
      <c r="F195" s="49">
        <f>'дод 2'!G48</f>
        <v>0</v>
      </c>
      <c r="G195" s="49">
        <f>'дод 2'!H48</f>
        <v>0</v>
      </c>
      <c r="H195" s="49">
        <f>'дод 2'!I48</f>
        <v>0</v>
      </c>
      <c r="I195" s="49">
        <f>'дод 2'!J48</f>
        <v>0</v>
      </c>
      <c r="J195" s="49">
        <f>'дод 2'!K48</f>
        <v>0</v>
      </c>
      <c r="K195" s="49">
        <f>'дод 2'!L48</f>
        <v>0</v>
      </c>
      <c r="L195" s="49">
        <f>'дод 2'!M48</f>
        <v>0</v>
      </c>
      <c r="M195" s="49">
        <f>'дод 2'!N48</f>
        <v>0</v>
      </c>
      <c r="N195" s="49">
        <f>'дод 2'!O48</f>
        <v>0</v>
      </c>
      <c r="O195" s="49">
        <f>'дод 2'!P48</f>
        <v>2725480</v>
      </c>
      <c r="P195" s="191"/>
    </row>
    <row r="196" spans="1:16" s="54" customFormat="1" ht="54.75" customHeight="1" x14ac:dyDescent="0.25">
      <c r="A196" s="59" t="s">
        <v>556</v>
      </c>
      <c r="B196" s="59" t="s">
        <v>402</v>
      </c>
      <c r="C196" s="121" t="s">
        <v>401</v>
      </c>
      <c r="D196" s="49">
        <f>'дод 2'!E239</f>
        <v>1527346</v>
      </c>
      <c r="E196" s="49">
        <f>'дод 2'!F239</f>
        <v>1527346</v>
      </c>
      <c r="F196" s="49">
        <f>'дод 2'!G239</f>
        <v>0</v>
      </c>
      <c r="G196" s="49">
        <f>'дод 2'!H239</f>
        <v>0</v>
      </c>
      <c r="H196" s="49">
        <f>'дод 2'!I239</f>
        <v>0</v>
      </c>
      <c r="I196" s="49">
        <f>'дод 2'!J239</f>
        <v>0</v>
      </c>
      <c r="J196" s="49">
        <f>'дод 2'!K239</f>
        <v>0</v>
      </c>
      <c r="K196" s="49">
        <f>'дод 2'!L239</f>
        <v>0</v>
      </c>
      <c r="L196" s="49">
        <f>'дод 2'!M239</f>
        <v>0</v>
      </c>
      <c r="M196" s="49">
        <f>'дод 2'!N239</f>
        <v>0</v>
      </c>
      <c r="N196" s="49">
        <f>'дод 2'!O239</f>
        <v>0</v>
      </c>
      <c r="O196" s="49">
        <f>'дод 2'!P239</f>
        <v>1527346</v>
      </c>
      <c r="P196" s="191"/>
    </row>
    <row r="197" spans="1:16" s="54" customFormat="1" ht="67.5" customHeight="1" x14ac:dyDescent="0.25">
      <c r="A197" s="93"/>
      <c r="B197" s="93"/>
      <c r="C197" s="91" t="s">
        <v>554</v>
      </c>
      <c r="D197" s="84">
        <f>'дод 2'!E241</f>
        <v>1527346</v>
      </c>
      <c r="E197" s="84">
        <f>'дод 2'!F241</f>
        <v>1527346</v>
      </c>
      <c r="F197" s="84">
        <f>'дод 2'!G241</f>
        <v>0</v>
      </c>
      <c r="G197" s="84">
        <f>'дод 2'!H241</f>
        <v>0</v>
      </c>
      <c r="H197" s="84">
        <f>'дод 2'!I241</f>
        <v>0</v>
      </c>
      <c r="I197" s="84">
        <f>'дод 2'!J241</f>
        <v>0</v>
      </c>
      <c r="J197" s="84">
        <f>'дод 2'!K241</f>
        <v>0</v>
      </c>
      <c r="K197" s="84">
        <f>'дод 2'!L241</f>
        <v>0</v>
      </c>
      <c r="L197" s="84">
        <f>'дод 2'!M241</f>
        <v>0</v>
      </c>
      <c r="M197" s="84">
        <f>'дод 2'!N241</f>
        <v>0</v>
      </c>
      <c r="N197" s="84">
        <f>'дод 2'!O241</f>
        <v>0</v>
      </c>
      <c r="O197" s="84">
        <f>'дод 2'!P241</f>
        <v>1527346</v>
      </c>
      <c r="P197" s="191"/>
    </row>
    <row r="198" spans="1:16" s="52" customFormat="1" ht="18.75" customHeight="1" x14ac:dyDescent="0.25">
      <c r="A198" s="39" t="s">
        <v>239</v>
      </c>
      <c r="B198" s="41"/>
      <c r="C198" s="2" t="s">
        <v>240</v>
      </c>
      <c r="D198" s="48">
        <f>D199</f>
        <v>7250000</v>
      </c>
      <c r="E198" s="48">
        <f t="shared" ref="E198:O198" si="38">E199</f>
        <v>7250000</v>
      </c>
      <c r="F198" s="48">
        <f t="shared" si="38"/>
        <v>0</v>
      </c>
      <c r="G198" s="48">
        <f t="shared" si="38"/>
        <v>0</v>
      </c>
      <c r="H198" s="48">
        <f t="shared" si="38"/>
        <v>0</v>
      </c>
      <c r="I198" s="48">
        <f t="shared" si="38"/>
        <v>3150000</v>
      </c>
      <c r="J198" s="48">
        <f t="shared" si="38"/>
        <v>3150000</v>
      </c>
      <c r="K198" s="48">
        <f t="shared" si="38"/>
        <v>0</v>
      </c>
      <c r="L198" s="48">
        <f t="shared" si="38"/>
        <v>0</v>
      </c>
      <c r="M198" s="48">
        <f t="shared" si="38"/>
        <v>0</v>
      </c>
      <c r="N198" s="48">
        <f t="shared" si="38"/>
        <v>3150000</v>
      </c>
      <c r="O198" s="48">
        <f t="shared" si="38"/>
        <v>10400000</v>
      </c>
      <c r="P198" s="191"/>
    </row>
    <row r="199" spans="1:16" ht="37.5" customHeight="1" x14ac:dyDescent="0.25">
      <c r="A199" s="40" t="s">
        <v>237</v>
      </c>
      <c r="B199" s="40" t="s">
        <v>238</v>
      </c>
      <c r="C199" s="11" t="s">
        <v>236</v>
      </c>
      <c r="D199" s="49">
        <f>'дод 2'!E49+'дод 2'!E242</f>
        <v>7250000</v>
      </c>
      <c r="E199" s="49">
        <f>'дод 2'!F49+'дод 2'!F242</f>
        <v>7250000</v>
      </c>
      <c r="F199" s="49">
        <f>'дод 2'!G49+'дод 2'!G242</f>
        <v>0</v>
      </c>
      <c r="G199" s="49">
        <f>'дод 2'!H49+'дод 2'!H242</f>
        <v>0</v>
      </c>
      <c r="H199" s="49">
        <f>'дод 2'!I49+'дод 2'!I242</f>
        <v>0</v>
      </c>
      <c r="I199" s="49">
        <f>'дод 2'!J49+'дод 2'!J242</f>
        <v>3150000</v>
      </c>
      <c r="J199" s="49">
        <f>'дод 2'!K49+'дод 2'!K242</f>
        <v>3150000</v>
      </c>
      <c r="K199" s="49">
        <f>'дод 2'!L49+'дод 2'!L242</f>
        <v>0</v>
      </c>
      <c r="L199" s="49">
        <f>'дод 2'!M49+'дод 2'!M242</f>
        <v>0</v>
      </c>
      <c r="M199" s="49">
        <f>'дод 2'!N49+'дод 2'!N242</f>
        <v>0</v>
      </c>
      <c r="N199" s="49">
        <f>'дод 2'!O49+'дод 2'!O242</f>
        <v>3150000</v>
      </c>
      <c r="O199" s="49">
        <f>'дод 2'!P49+'дод 2'!P242</f>
        <v>10400000</v>
      </c>
      <c r="P199" s="191"/>
    </row>
    <row r="200" spans="1:16" s="52" customFormat="1" ht="31.5" customHeight="1" x14ac:dyDescent="0.25">
      <c r="A200" s="38" t="s">
        <v>90</v>
      </c>
      <c r="B200" s="41"/>
      <c r="C200" s="2" t="s">
        <v>423</v>
      </c>
      <c r="D200" s="48">
        <f>D202+D203+D205+D206+D207+D209+D210+D211</f>
        <v>8025347.5499999998</v>
      </c>
      <c r="E200" s="48">
        <f t="shared" ref="E200:O200" si="39">E202+E203+E205+E206+E207+E209+E210+E211</f>
        <v>5525347.5499999998</v>
      </c>
      <c r="F200" s="48">
        <f t="shared" si="39"/>
        <v>0</v>
      </c>
      <c r="G200" s="48">
        <f t="shared" si="39"/>
        <v>0</v>
      </c>
      <c r="H200" s="48">
        <f t="shared" si="39"/>
        <v>2500000</v>
      </c>
      <c r="I200" s="48">
        <f t="shared" si="39"/>
        <v>213857142.44</v>
      </c>
      <c r="J200" s="48">
        <f t="shared" si="39"/>
        <v>197527170.56999999</v>
      </c>
      <c r="K200" s="48">
        <f t="shared" si="39"/>
        <v>2948437.8699999996</v>
      </c>
      <c r="L200" s="48">
        <f t="shared" si="39"/>
        <v>0</v>
      </c>
      <c r="M200" s="48">
        <f t="shared" si="39"/>
        <v>0</v>
      </c>
      <c r="N200" s="48">
        <f t="shared" si="39"/>
        <v>210908704.56999999</v>
      </c>
      <c r="O200" s="48">
        <f t="shared" si="39"/>
        <v>221882489.99000001</v>
      </c>
      <c r="P200" s="191"/>
    </row>
    <row r="201" spans="1:16" s="53" customFormat="1" ht="16.5" customHeight="1" x14ac:dyDescent="0.25">
      <c r="A201" s="75"/>
      <c r="B201" s="75"/>
      <c r="C201" s="87" t="s">
        <v>421</v>
      </c>
      <c r="D201" s="80">
        <f>D204+D208</f>
        <v>0</v>
      </c>
      <c r="E201" s="80">
        <f t="shared" ref="E201:O201" si="40">E204+E208</f>
        <v>0</v>
      </c>
      <c r="F201" s="80">
        <f t="shared" si="40"/>
        <v>0</v>
      </c>
      <c r="G201" s="80">
        <f t="shared" si="40"/>
        <v>0</v>
      </c>
      <c r="H201" s="80">
        <f t="shared" si="40"/>
        <v>0</v>
      </c>
      <c r="I201" s="80">
        <f t="shared" si="40"/>
        <v>127771665.12</v>
      </c>
      <c r="J201" s="80">
        <f t="shared" si="40"/>
        <v>127771665.12</v>
      </c>
      <c r="K201" s="80">
        <f t="shared" si="40"/>
        <v>0</v>
      </c>
      <c r="L201" s="80">
        <f t="shared" si="40"/>
        <v>0</v>
      </c>
      <c r="M201" s="80">
        <f t="shared" si="40"/>
        <v>0</v>
      </c>
      <c r="N201" s="80">
        <f t="shared" si="40"/>
        <v>127771665.12</v>
      </c>
      <c r="O201" s="80">
        <f t="shared" si="40"/>
        <v>127771665.12</v>
      </c>
      <c r="P201" s="191"/>
    </row>
    <row r="202" spans="1:16" ht="32.25" customHeight="1" x14ac:dyDescent="0.25">
      <c r="A202" s="37" t="s">
        <v>4</v>
      </c>
      <c r="B202" s="37" t="s">
        <v>89</v>
      </c>
      <c r="C202" s="3" t="s">
        <v>24</v>
      </c>
      <c r="D202" s="49">
        <f>'дод 2'!E50+'дод 2'!E289</f>
        <v>975000</v>
      </c>
      <c r="E202" s="49">
        <f>'дод 2'!F50+'дод 2'!F289</f>
        <v>475000</v>
      </c>
      <c r="F202" s="49">
        <f>'дод 2'!G50+'дод 2'!G289</f>
        <v>0</v>
      </c>
      <c r="G202" s="49">
        <f>'дод 2'!H50+'дод 2'!H289</f>
        <v>0</v>
      </c>
      <c r="H202" s="49">
        <f>'дод 2'!I50+'дод 2'!I289</f>
        <v>500000</v>
      </c>
      <c r="I202" s="49">
        <f>'дод 2'!J50+'дод 2'!J289</f>
        <v>0</v>
      </c>
      <c r="J202" s="49">
        <f>'дод 2'!K50+'дод 2'!K289</f>
        <v>0</v>
      </c>
      <c r="K202" s="49">
        <f>'дод 2'!L50+'дод 2'!L289</f>
        <v>0</v>
      </c>
      <c r="L202" s="49">
        <f>'дод 2'!M50+'дод 2'!M289</f>
        <v>0</v>
      </c>
      <c r="M202" s="49">
        <f>'дод 2'!N50+'дод 2'!N289</f>
        <v>0</v>
      </c>
      <c r="N202" s="49">
        <f>'дод 2'!O50+'дод 2'!O289</f>
        <v>0</v>
      </c>
      <c r="O202" s="49">
        <f>'дод 2'!P50+'дод 2'!P289</f>
        <v>975000</v>
      </c>
      <c r="P202" s="191"/>
    </row>
    <row r="203" spans="1:16" ht="20.25" customHeight="1" x14ac:dyDescent="0.25">
      <c r="A203" s="37" t="s">
        <v>2</v>
      </c>
      <c r="B203" s="37" t="s">
        <v>88</v>
      </c>
      <c r="C203" s="3" t="s">
        <v>420</v>
      </c>
      <c r="D203" s="49">
        <f>'дод 2'!E114+'дод 2'!E151+'дод 2'!E213+'дод 2'!E243+'дод 2'!E271+'дод 2'!E299</f>
        <v>4944384.55</v>
      </c>
      <c r="E203" s="49">
        <f>'дод 2'!F114+'дод 2'!F151+'дод 2'!F213+'дод 2'!F243+'дод 2'!F271+'дод 2'!F299</f>
        <v>2944384.55</v>
      </c>
      <c r="F203" s="49">
        <f>'дод 2'!G114+'дод 2'!G151+'дод 2'!G213+'дод 2'!G243+'дод 2'!G271+'дод 2'!G299</f>
        <v>0</v>
      </c>
      <c r="G203" s="49">
        <f>'дод 2'!H114+'дод 2'!H151+'дод 2'!H213+'дод 2'!H243+'дод 2'!H271+'дод 2'!H299</f>
        <v>0</v>
      </c>
      <c r="H203" s="49">
        <f>'дод 2'!I114+'дод 2'!I151+'дод 2'!I213+'дод 2'!I243+'дод 2'!I271+'дод 2'!I299</f>
        <v>2000000</v>
      </c>
      <c r="I203" s="49">
        <f>'дод 2'!J114+'дод 2'!J151+'дод 2'!J213+'дод 2'!J243+'дод 2'!J271+'дод 2'!J299</f>
        <v>163148204.56999999</v>
      </c>
      <c r="J203" s="49">
        <f>'дод 2'!K114+'дод 2'!K151+'дод 2'!K213+'дод 2'!K243+'дод 2'!K271+'дод 2'!K299</f>
        <v>151674270.56999999</v>
      </c>
      <c r="K203" s="49">
        <f>'дод 2'!L114+'дод 2'!L151+'дод 2'!L213+'дод 2'!L243+'дод 2'!L271+'дод 2'!L299</f>
        <v>0</v>
      </c>
      <c r="L203" s="49">
        <f>'дод 2'!M114+'дод 2'!M151+'дод 2'!M213+'дод 2'!M243+'дод 2'!M271+'дод 2'!M299</f>
        <v>0</v>
      </c>
      <c r="M203" s="49">
        <f>'дод 2'!N114+'дод 2'!N151+'дод 2'!N213+'дод 2'!N243+'дод 2'!N271+'дод 2'!N299</f>
        <v>0</v>
      </c>
      <c r="N203" s="49">
        <f>'дод 2'!O114+'дод 2'!O151+'дод 2'!O213+'дод 2'!O243+'дод 2'!O271+'дод 2'!O299</f>
        <v>163148204.56999999</v>
      </c>
      <c r="O203" s="49">
        <f>'дод 2'!P114+'дод 2'!P151+'дод 2'!P213+'дод 2'!P243+'дод 2'!P271+'дод 2'!P299</f>
        <v>168092589.12</v>
      </c>
      <c r="P203" s="191"/>
    </row>
    <row r="204" spans="1:16" s="54" customFormat="1" ht="17.25" customHeight="1" x14ac:dyDescent="0.25">
      <c r="A204" s="82"/>
      <c r="B204" s="82"/>
      <c r="C204" s="89" t="s">
        <v>421</v>
      </c>
      <c r="D204" s="84">
        <f>'дод 2'!E152+'дод 2'!E272</f>
        <v>0</v>
      </c>
      <c r="E204" s="84">
        <f>'дод 2'!F152+'дод 2'!F272</f>
        <v>0</v>
      </c>
      <c r="F204" s="84">
        <f>'дод 2'!G152+'дод 2'!G272</f>
        <v>0</v>
      </c>
      <c r="G204" s="84">
        <f>'дод 2'!H152+'дод 2'!H272</f>
        <v>0</v>
      </c>
      <c r="H204" s="84">
        <f>'дод 2'!I152+'дод 2'!I272</f>
        <v>0</v>
      </c>
      <c r="I204" s="84">
        <f>'дод 2'!J152+'дод 2'!J272</f>
        <v>101521665.12</v>
      </c>
      <c r="J204" s="84">
        <f>'дод 2'!K152+'дод 2'!K272</f>
        <v>101521665.12</v>
      </c>
      <c r="K204" s="84">
        <f>'дод 2'!L152+'дод 2'!L272</f>
        <v>0</v>
      </c>
      <c r="L204" s="84">
        <f>'дод 2'!M152+'дод 2'!M272</f>
        <v>0</v>
      </c>
      <c r="M204" s="84">
        <f>'дод 2'!N152+'дод 2'!N272</f>
        <v>0</v>
      </c>
      <c r="N204" s="84">
        <f>'дод 2'!O152+'дод 2'!O272</f>
        <v>101521665.12</v>
      </c>
      <c r="O204" s="84">
        <f>'дод 2'!P152+'дод 2'!P272</f>
        <v>101521665.12</v>
      </c>
      <c r="P204" s="191"/>
    </row>
    <row r="205" spans="1:16" ht="33.75" customHeight="1" x14ac:dyDescent="0.25">
      <c r="A205" s="37" t="s">
        <v>269</v>
      </c>
      <c r="B205" s="37" t="s">
        <v>84</v>
      </c>
      <c r="C205" s="3" t="s">
        <v>348</v>
      </c>
      <c r="D205" s="49">
        <f>'дод 2'!E290</f>
        <v>0</v>
      </c>
      <c r="E205" s="49">
        <f>'дод 2'!F290</f>
        <v>0</v>
      </c>
      <c r="F205" s="49">
        <f>'дод 2'!G290</f>
        <v>0</v>
      </c>
      <c r="G205" s="49">
        <f>'дод 2'!H290</f>
        <v>0</v>
      </c>
      <c r="H205" s="49">
        <f>'дод 2'!I290</f>
        <v>0</v>
      </c>
      <c r="I205" s="49">
        <f>'дод 2'!J290</f>
        <v>20000</v>
      </c>
      <c r="J205" s="49">
        <f>'дод 2'!K290</f>
        <v>20000</v>
      </c>
      <c r="K205" s="49">
        <f>'дод 2'!L290</f>
        <v>0</v>
      </c>
      <c r="L205" s="49">
        <f>'дод 2'!M290</f>
        <v>0</v>
      </c>
      <c r="M205" s="49">
        <f>'дод 2'!N290</f>
        <v>0</v>
      </c>
      <c r="N205" s="49">
        <f>'дод 2'!O290</f>
        <v>20000</v>
      </c>
      <c r="O205" s="49">
        <f>'дод 2'!P290</f>
        <v>20000</v>
      </c>
      <c r="P205" s="191"/>
    </row>
    <row r="206" spans="1:16" ht="67.5" customHeight="1" x14ac:dyDescent="0.25">
      <c r="A206" s="37" t="s">
        <v>271</v>
      </c>
      <c r="B206" s="37" t="s">
        <v>84</v>
      </c>
      <c r="C206" s="3" t="s">
        <v>272</v>
      </c>
      <c r="D206" s="49">
        <f>'дод 2'!E291</f>
        <v>0</v>
      </c>
      <c r="E206" s="49">
        <f>'дод 2'!F291</f>
        <v>0</v>
      </c>
      <c r="F206" s="49">
        <f>'дод 2'!G291</f>
        <v>0</v>
      </c>
      <c r="G206" s="49">
        <f>'дод 2'!H291</f>
        <v>0</v>
      </c>
      <c r="H206" s="49">
        <f>'дод 2'!I291</f>
        <v>0</v>
      </c>
      <c r="I206" s="49">
        <f>'дод 2'!J291</f>
        <v>45000</v>
      </c>
      <c r="J206" s="49">
        <f>'дод 2'!K291</f>
        <v>45000</v>
      </c>
      <c r="K206" s="49">
        <f>'дод 2'!L291</f>
        <v>0</v>
      </c>
      <c r="L206" s="49">
        <f>'дод 2'!M291</f>
        <v>0</v>
      </c>
      <c r="M206" s="49">
        <f>'дод 2'!N291</f>
        <v>0</v>
      </c>
      <c r="N206" s="49">
        <f>'дод 2'!O291</f>
        <v>45000</v>
      </c>
      <c r="O206" s="49">
        <f>'дод 2'!P291</f>
        <v>45000</v>
      </c>
      <c r="P206" s="191">
        <v>99</v>
      </c>
    </row>
    <row r="207" spans="1:16" ht="30.75" customHeight="1" x14ac:dyDescent="0.25">
      <c r="A207" s="37" t="s">
        <v>5</v>
      </c>
      <c r="B207" s="37" t="s">
        <v>84</v>
      </c>
      <c r="C207" s="3" t="s">
        <v>473</v>
      </c>
      <c r="D207" s="49">
        <f>'дод 2'!E51+'дод 2'!E244</f>
        <v>0</v>
      </c>
      <c r="E207" s="49">
        <f>'дод 2'!F51+'дод 2'!F244</f>
        <v>0</v>
      </c>
      <c r="F207" s="49">
        <f>'дод 2'!G51+'дод 2'!G244</f>
        <v>0</v>
      </c>
      <c r="G207" s="49">
        <f>'дод 2'!H51+'дод 2'!H244</f>
        <v>0</v>
      </c>
      <c r="H207" s="49">
        <f>'дод 2'!I51+'дод 2'!I244</f>
        <v>0</v>
      </c>
      <c r="I207" s="49">
        <f>'дод 2'!J51+'дод 2'!J244</f>
        <v>45787900</v>
      </c>
      <c r="J207" s="49">
        <f>'дод 2'!K51+'дод 2'!K244</f>
        <v>45787900</v>
      </c>
      <c r="K207" s="49">
        <f>'дод 2'!L51+'дод 2'!L244</f>
        <v>0</v>
      </c>
      <c r="L207" s="49">
        <f>'дод 2'!M51+'дод 2'!M244</f>
        <v>0</v>
      </c>
      <c r="M207" s="49">
        <f>'дод 2'!N51+'дод 2'!N244</f>
        <v>0</v>
      </c>
      <c r="N207" s="49">
        <f>'дод 2'!O51+'дод 2'!O244</f>
        <v>45787900</v>
      </c>
      <c r="O207" s="49">
        <f>'дод 2'!P51+'дод 2'!P244</f>
        <v>45787900</v>
      </c>
      <c r="P207" s="191"/>
    </row>
    <row r="208" spans="1:16" ht="16.5" customHeight="1" x14ac:dyDescent="0.25">
      <c r="A208" s="37"/>
      <c r="B208" s="37"/>
      <c r="C208" s="89" t="s">
        <v>421</v>
      </c>
      <c r="D208" s="49">
        <f>'дод 2'!E245</f>
        <v>0</v>
      </c>
      <c r="E208" s="49">
        <f>'дод 2'!F245</f>
        <v>0</v>
      </c>
      <c r="F208" s="49">
        <f>'дод 2'!G245</f>
        <v>0</v>
      </c>
      <c r="G208" s="49">
        <f>'дод 2'!H245</f>
        <v>0</v>
      </c>
      <c r="H208" s="49">
        <f>'дод 2'!I245</f>
        <v>0</v>
      </c>
      <c r="I208" s="49">
        <f>'дод 2'!J245</f>
        <v>26250000</v>
      </c>
      <c r="J208" s="49">
        <f>'дод 2'!K245</f>
        <v>26250000</v>
      </c>
      <c r="K208" s="49">
        <f>'дод 2'!L245</f>
        <v>0</v>
      </c>
      <c r="L208" s="49">
        <f>'дод 2'!M245</f>
        <v>0</v>
      </c>
      <c r="M208" s="49">
        <f>'дод 2'!N245</f>
        <v>0</v>
      </c>
      <c r="N208" s="49">
        <f>'дод 2'!O245</f>
        <v>26250000</v>
      </c>
      <c r="O208" s="49">
        <f>'дод 2'!P245</f>
        <v>26250000</v>
      </c>
      <c r="P208" s="191"/>
    </row>
    <row r="209" spans="1:16" ht="36.75" customHeight="1" x14ac:dyDescent="0.25">
      <c r="A209" s="37" t="s">
        <v>250</v>
      </c>
      <c r="B209" s="37" t="s">
        <v>84</v>
      </c>
      <c r="C209" s="3" t="s">
        <v>251</v>
      </c>
      <c r="D209" s="49">
        <f>'дод 2'!E52</f>
        <v>356337</v>
      </c>
      <c r="E209" s="49">
        <f>'дод 2'!F52</f>
        <v>356337</v>
      </c>
      <c r="F209" s="49">
        <f>'дод 2'!G52</f>
        <v>0</v>
      </c>
      <c r="G209" s="49">
        <f>'дод 2'!H52</f>
        <v>0</v>
      </c>
      <c r="H209" s="49">
        <f>'дод 2'!I52</f>
        <v>0</v>
      </c>
      <c r="I209" s="49">
        <f>'дод 2'!J52</f>
        <v>0</v>
      </c>
      <c r="J209" s="49">
        <f>'дод 2'!K52</f>
        <v>0</v>
      </c>
      <c r="K209" s="49">
        <f>'дод 2'!L52</f>
        <v>0</v>
      </c>
      <c r="L209" s="49">
        <f>'дод 2'!M52</f>
        <v>0</v>
      </c>
      <c r="M209" s="49">
        <f>'дод 2'!N52</f>
        <v>0</v>
      </c>
      <c r="N209" s="49">
        <f>'дод 2'!O52</f>
        <v>0</v>
      </c>
      <c r="O209" s="49">
        <f>'дод 2'!P52</f>
        <v>356337</v>
      </c>
      <c r="P209" s="191"/>
    </row>
    <row r="210" spans="1:16" s="54" customFormat="1" ht="97.5" customHeight="1" x14ac:dyDescent="0.25">
      <c r="A210" s="37" t="s">
        <v>298</v>
      </c>
      <c r="B210" s="37" t="s">
        <v>84</v>
      </c>
      <c r="C210" s="3" t="s">
        <v>316</v>
      </c>
      <c r="D210" s="49">
        <f>'дод 2'!E53+'дод 2'!E246+'дод 2'!E273+'дод 2'!E281</f>
        <v>0</v>
      </c>
      <c r="E210" s="49">
        <f>'дод 2'!F53+'дод 2'!F246+'дод 2'!F273+'дод 2'!F281</f>
        <v>0</v>
      </c>
      <c r="F210" s="49">
        <f>'дод 2'!G53+'дод 2'!G246+'дод 2'!G273+'дод 2'!G281</f>
        <v>0</v>
      </c>
      <c r="G210" s="49">
        <f>'дод 2'!H53+'дод 2'!H246+'дод 2'!H273+'дод 2'!H281</f>
        <v>0</v>
      </c>
      <c r="H210" s="49">
        <f>'дод 2'!I53+'дод 2'!I246+'дод 2'!I273+'дод 2'!I281</f>
        <v>0</v>
      </c>
      <c r="I210" s="49">
        <f>'дод 2'!J53+'дод 2'!J246+'дод 2'!J273+'дод 2'!J281</f>
        <v>4856037.8699999992</v>
      </c>
      <c r="J210" s="49">
        <f>'дод 2'!K53+'дод 2'!K246+'дод 2'!K273+'дод 2'!K281</f>
        <v>0</v>
      </c>
      <c r="K210" s="49">
        <f>'дод 2'!L53+'дод 2'!L246+'дод 2'!L273+'дод 2'!L281</f>
        <v>2948437.8699999996</v>
      </c>
      <c r="L210" s="49">
        <f>'дод 2'!M53+'дод 2'!M246+'дод 2'!M273+'дод 2'!M281</f>
        <v>0</v>
      </c>
      <c r="M210" s="49">
        <f>'дод 2'!N53+'дод 2'!N246+'дод 2'!N273+'дод 2'!N281</f>
        <v>0</v>
      </c>
      <c r="N210" s="49">
        <f>'дод 2'!O53+'дод 2'!O246+'дод 2'!O273+'дод 2'!O281</f>
        <v>1907600</v>
      </c>
      <c r="O210" s="49">
        <f>'дод 2'!P53+'дод 2'!P246+'дод 2'!P273+'дод 2'!P281</f>
        <v>4856037.8699999992</v>
      </c>
      <c r="P210" s="191"/>
    </row>
    <row r="211" spans="1:16" s="54" customFormat="1" ht="23.25" customHeight="1" x14ac:dyDescent="0.25">
      <c r="A211" s="37" t="s">
        <v>241</v>
      </c>
      <c r="B211" s="37" t="s">
        <v>84</v>
      </c>
      <c r="C211" s="3" t="s">
        <v>17</v>
      </c>
      <c r="D211" s="49">
        <f>'дод 2'!E54+'дод 2'!E292+'дод 2'!E300</f>
        <v>1749626</v>
      </c>
      <c r="E211" s="49">
        <f>'дод 2'!F54+'дод 2'!F292+'дод 2'!F300</f>
        <v>1749626</v>
      </c>
      <c r="F211" s="49">
        <f>'дод 2'!G54+'дод 2'!G292+'дод 2'!G300</f>
        <v>0</v>
      </c>
      <c r="G211" s="49">
        <f>'дод 2'!H54+'дод 2'!H292+'дод 2'!H300</f>
        <v>0</v>
      </c>
      <c r="H211" s="49">
        <f>'дод 2'!I54+'дод 2'!I292+'дод 2'!I300</f>
        <v>0</v>
      </c>
      <c r="I211" s="49">
        <f>'дод 2'!J54+'дод 2'!J292+'дод 2'!J300</f>
        <v>0</v>
      </c>
      <c r="J211" s="49">
        <f>'дод 2'!K54+'дод 2'!K292+'дод 2'!K300</f>
        <v>0</v>
      </c>
      <c r="K211" s="49">
        <f>'дод 2'!L54+'дод 2'!L292+'дод 2'!L300</f>
        <v>0</v>
      </c>
      <c r="L211" s="49">
        <f>'дод 2'!M54+'дод 2'!M292+'дод 2'!M300</f>
        <v>0</v>
      </c>
      <c r="M211" s="49">
        <f>'дод 2'!N54+'дод 2'!N292+'дод 2'!N300</f>
        <v>0</v>
      </c>
      <c r="N211" s="49">
        <f>'дод 2'!O54+'дод 2'!O292+'дод 2'!O300</f>
        <v>0</v>
      </c>
      <c r="O211" s="49">
        <f>'дод 2'!P54+'дод 2'!P292+'дод 2'!P300</f>
        <v>1749626</v>
      </c>
      <c r="P211" s="191"/>
    </row>
    <row r="212" spans="1:16" s="53" customFormat="1" ht="55.5" customHeight="1" x14ac:dyDescent="0.25">
      <c r="A212" s="38">
        <v>7700</v>
      </c>
      <c r="B212" s="38"/>
      <c r="C212" s="95" t="s">
        <v>364</v>
      </c>
      <c r="D212" s="48">
        <f>D213</f>
        <v>0</v>
      </c>
      <c r="E212" s="48">
        <f t="shared" ref="E212:O212" si="41">E213</f>
        <v>0</v>
      </c>
      <c r="F212" s="48">
        <f t="shared" si="41"/>
        <v>0</v>
      </c>
      <c r="G212" s="48">
        <f t="shared" si="41"/>
        <v>0</v>
      </c>
      <c r="H212" s="48">
        <f t="shared" si="41"/>
        <v>0</v>
      </c>
      <c r="I212" s="48">
        <f t="shared" si="41"/>
        <v>630000</v>
      </c>
      <c r="J212" s="48">
        <f t="shared" si="41"/>
        <v>0</v>
      </c>
      <c r="K212" s="48">
        <f t="shared" si="41"/>
        <v>0</v>
      </c>
      <c r="L212" s="48">
        <f t="shared" si="41"/>
        <v>0</v>
      </c>
      <c r="M212" s="48">
        <f t="shared" si="41"/>
        <v>0</v>
      </c>
      <c r="N212" s="48">
        <f t="shared" si="41"/>
        <v>630000</v>
      </c>
      <c r="O212" s="48">
        <f t="shared" si="41"/>
        <v>630000</v>
      </c>
      <c r="P212" s="191"/>
    </row>
    <row r="213" spans="1:16" s="54" customFormat="1" ht="46.5" customHeight="1" x14ac:dyDescent="0.25">
      <c r="A213" s="37">
        <v>7700</v>
      </c>
      <c r="B213" s="59" t="s">
        <v>95</v>
      </c>
      <c r="C213" s="61" t="s">
        <v>364</v>
      </c>
      <c r="D213" s="49">
        <f>'дод 2'!E115</f>
        <v>0</v>
      </c>
      <c r="E213" s="49">
        <f>'дод 2'!F115</f>
        <v>0</v>
      </c>
      <c r="F213" s="49">
        <f>'дод 2'!G115</f>
        <v>0</v>
      </c>
      <c r="G213" s="49">
        <f>'дод 2'!H115</f>
        <v>0</v>
      </c>
      <c r="H213" s="49">
        <f>'дод 2'!I115</f>
        <v>0</v>
      </c>
      <c r="I213" s="49">
        <f>'дод 2'!J115</f>
        <v>630000</v>
      </c>
      <c r="J213" s="49">
        <f>'дод 2'!K115</f>
        <v>0</v>
      </c>
      <c r="K213" s="49">
        <f>'дод 2'!L115</f>
        <v>0</v>
      </c>
      <c r="L213" s="49">
        <f>'дод 2'!M115</f>
        <v>0</v>
      </c>
      <c r="M213" s="49">
        <f>'дод 2'!N115</f>
        <v>0</v>
      </c>
      <c r="N213" s="49">
        <f>'дод 2'!O115</f>
        <v>630000</v>
      </c>
      <c r="O213" s="49">
        <f>'дод 2'!P115</f>
        <v>630000</v>
      </c>
      <c r="P213" s="191"/>
    </row>
    <row r="214" spans="1:16" s="52" customFormat="1" ht="25.5" customHeight="1" x14ac:dyDescent="0.25">
      <c r="A214" s="38" t="s">
        <v>96</v>
      </c>
      <c r="B214" s="39"/>
      <c r="C214" s="2" t="s">
        <v>617</v>
      </c>
      <c r="D214" s="48">
        <f>D216+D221+D223+D226+D228+D229</f>
        <v>19922760.649999999</v>
      </c>
      <c r="E214" s="48">
        <f t="shared" ref="E214:O214" si="42">E216+E221+E223+E226+E228+E229</f>
        <v>5896017.21</v>
      </c>
      <c r="F214" s="48">
        <f t="shared" si="42"/>
        <v>1906900</v>
      </c>
      <c r="G214" s="48">
        <f t="shared" si="42"/>
        <v>338147</v>
      </c>
      <c r="H214" s="48">
        <f t="shared" si="42"/>
        <v>0</v>
      </c>
      <c r="I214" s="48">
        <f t="shared" si="42"/>
        <v>5708964.6600000001</v>
      </c>
      <c r="J214" s="48">
        <f t="shared" si="42"/>
        <v>1398264.66</v>
      </c>
      <c r="K214" s="48">
        <f t="shared" si="42"/>
        <v>2960800</v>
      </c>
      <c r="L214" s="48">
        <f t="shared" si="42"/>
        <v>0</v>
      </c>
      <c r="M214" s="48">
        <f t="shared" si="42"/>
        <v>1400</v>
      </c>
      <c r="N214" s="48">
        <f t="shared" si="42"/>
        <v>2748164.66</v>
      </c>
      <c r="O214" s="48">
        <f t="shared" si="42"/>
        <v>25631725.310000002</v>
      </c>
      <c r="P214" s="191"/>
    </row>
    <row r="215" spans="1:16" s="53" customFormat="1" ht="54.75" customHeight="1" x14ac:dyDescent="0.25">
      <c r="A215" s="75"/>
      <c r="B215" s="78"/>
      <c r="C215" s="79" t="s">
        <v>384</v>
      </c>
      <c r="D215" s="80">
        <f>D217</f>
        <v>588815</v>
      </c>
      <c r="E215" s="80">
        <f t="shared" ref="E215:O215" si="43">E217</f>
        <v>588815</v>
      </c>
      <c r="F215" s="80">
        <f t="shared" si="43"/>
        <v>482635</v>
      </c>
      <c r="G215" s="80">
        <f t="shared" si="43"/>
        <v>0</v>
      </c>
      <c r="H215" s="80">
        <f t="shared" si="43"/>
        <v>0</v>
      </c>
      <c r="I215" s="80">
        <f t="shared" si="43"/>
        <v>0</v>
      </c>
      <c r="J215" s="80">
        <f t="shared" si="43"/>
        <v>0</v>
      </c>
      <c r="K215" s="80">
        <f t="shared" si="43"/>
        <v>0</v>
      </c>
      <c r="L215" s="80">
        <f t="shared" si="43"/>
        <v>0</v>
      </c>
      <c r="M215" s="80">
        <f t="shared" si="43"/>
        <v>0</v>
      </c>
      <c r="N215" s="80">
        <f t="shared" si="43"/>
        <v>0</v>
      </c>
      <c r="O215" s="80">
        <f t="shared" si="43"/>
        <v>588815</v>
      </c>
      <c r="P215" s="191"/>
    </row>
    <row r="216" spans="1:16" s="52" customFormat="1" ht="51.75" customHeight="1" x14ac:dyDescent="0.25">
      <c r="A216" s="38" t="s">
        <v>98</v>
      </c>
      <c r="B216" s="39"/>
      <c r="C216" s="2" t="s">
        <v>534</v>
      </c>
      <c r="D216" s="48">
        <f t="shared" ref="D216:O216" si="44">D218+D219</f>
        <v>3410086.21</v>
      </c>
      <c r="E216" s="48">
        <f t="shared" si="44"/>
        <v>3410086.21</v>
      </c>
      <c r="F216" s="48">
        <f t="shared" si="44"/>
        <v>1906900</v>
      </c>
      <c r="G216" s="48">
        <f t="shared" si="44"/>
        <v>80205</v>
      </c>
      <c r="H216" s="48">
        <f t="shared" si="44"/>
        <v>0</v>
      </c>
      <c r="I216" s="48">
        <f t="shared" si="44"/>
        <v>1403964.66</v>
      </c>
      <c r="J216" s="48">
        <f t="shared" si="44"/>
        <v>1398264.66</v>
      </c>
      <c r="K216" s="48">
        <f t="shared" si="44"/>
        <v>5700</v>
      </c>
      <c r="L216" s="48">
        <f t="shared" si="44"/>
        <v>0</v>
      </c>
      <c r="M216" s="48">
        <f t="shared" si="44"/>
        <v>1400</v>
      </c>
      <c r="N216" s="48">
        <f t="shared" si="44"/>
        <v>1398264.66</v>
      </c>
      <c r="O216" s="48">
        <f t="shared" si="44"/>
        <v>4814050.87</v>
      </c>
      <c r="P216" s="191"/>
    </row>
    <row r="217" spans="1:16" s="53" customFormat="1" ht="47.25" hidden="1" customHeight="1" x14ac:dyDescent="0.25">
      <c r="A217" s="75"/>
      <c r="B217" s="78"/>
      <c r="C217" s="81" t="str">
        <f>C220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17" s="80">
        <f>D220</f>
        <v>588815</v>
      </c>
      <c r="E217" s="80">
        <f t="shared" ref="E217:O217" si="45">E220</f>
        <v>588815</v>
      </c>
      <c r="F217" s="80">
        <f t="shared" si="45"/>
        <v>482635</v>
      </c>
      <c r="G217" s="80">
        <f t="shared" si="45"/>
        <v>0</v>
      </c>
      <c r="H217" s="80">
        <f t="shared" si="45"/>
        <v>0</v>
      </c>
      <c r="I217" s="80">
        <f t="shared" si="45"/>
        <v>0</v>
      </c>
      <c r="J217" s="80">
        <f t="shared" si="45"/>
        <v>0</v>
      </c>
      <c r="K217" s="80">
        <f t="shared" si="45"/>
        <v>0</v>
      </c>
      <c r="L217" s="80">
        <f t="shared" si="45"/>
        <v>0</v>
      </c>
      <c r="M217" s="80">
        <f t="shared" si="45"/>
        <v>0</v>
      </c>
      <c r="N217" s="80">
        <f t="shared" si="45"/>
        <v>0</v>
      </c>
      <c r="O217" s="80">
        <f t="shared" si="45"/>
        <v>588815</v>
      </c>
      <c r="P217" s="191"/>
    </row>
    <row r="218" spans="1:16" s="52" customFormat="1" ht="36.75" customHeight="1" x14ac:dyDescent="0.25">
      <c r="A218" s="40" t="s">
        <v>7</v>
      </c>
      <c r="B218" s="40" t="s">
        <v>91</v>
      </c>
      <c r="C218" s="3" t="s">
        <v>299</v>
      </c>
      <c r="D218" s="49">
        <f>'дод 2'!E55+'дод 2'!E247</f>
        <v>960981.21</v>
      </c>
      <c r="E218" s="49">
        <f>'дод 2'!F55+'дод 2'!F247</f>
        <v>960981.21</v>
      </c>
      <c r="F218" s="49">
        <f>'дод 2'!G55+'дод 2'!G247</f>
        <v>0</v>
      </c>
      <c r="G218" s="49">
        <f>'дод 2'!H55+'дод 2'!H247</f>
        <v>6500</v>
      </c>
      <c r="H218" s="49">
        <f>'дод 2'!I55+'дод 2'!I247</f>
        <v>0</v>
      </c>
      <c r="I218" s="49">
        <f>'дод 2'!J55+'дод 2'!J247</f>
        <v>1398264.66</v>
      </c>
      <c r="J218" s="49">
        <f>'дод 2'!K55+'дод 2'!K247</f>
        <v>1398264.66</v>
      </c>
      <c r="K218" s="49">
        <f>'дод 2'!L55+'дод 2'!L247</f>
        <v>0</v>
      </c>
      <c r="L218" s="49">
        <f>'дод 2'!M55+'дод 2'!M247</f>
        <v>0</v>
      </c>
      <c r="M218" s="49">
        <f>'дод 2'!N55+'дод 2'!N247</f>
        <v>0</v>
      </c>
      <c r="N218" s="49">
        <f>'дод 2'!O55+'дод 2'!O247</f>
        <v>1398264.66</v>
      </c>
      <c r="O218" s="49">
        <f>'дод 2'!P55+'дод 2'!P247</f>
        <v>2359245.87</v>
      </c>
      <c r="P218" s="191"/>
    </row>
    <row r="219" spans="1:16" ht="27" customHeight="1" x14ac:dyDescent="0.25">
      <c r="A219" s="37" t="s">
        <v>150</v>
      </c>
      <c r="B219" s="42" t="s">
        <v>91</v>
      </c>
      <c r="C219" s="3" t="s">
        <v>532</v>
      </c>
      <c r="D219" s="49">
        <f>'дод 2'!E56</f>
        <v>2449105</v>
      </c>
      <c r="E219" s="49">
        <f>'дод 2'!F56</f>
        <v>2449105</v>
      </c>
      <c r="F219" s="49">
        <f>'дод 2'!G56</f>
        <v>1906900</v>
      </c>
      <c r="G219" s="49">
        <f>'дод 2'!H56</f>
        <v>73705</v>
      </c>
      <c r="H219" s="49">
        <f>'дод 2'!I56</f>
        <v>0</v>
      </c>
      <c r="I219" s="49">
        <f>'дод 2'!J56</f>
        <v>5700</v>
      </c>
      <c r="J219" s="49">
        <f>'дод 2'!K56</f>
        <v>0</v>
      </c>
      <c r="K219" s="49">
        <f>'дод 2'!L56</f>
        <v>5700</v>
      </c>
      <c r="L219" s="49">
        <f>'дод 2'!M56</f>
        <v>0</v>
      </c>
      <c r="M219" s="49">
        <f>'дод 2'!N56</f>
        <v>1400</v>
      </c>
      <c r="N219" s="49">
        <f>'дод 2'!O56</f>
        <v>0</v>
      </c>
      <c r="O219" s="49">
        <f>'дод 2'!P56</f>
        <v>2454805</v>
      </c>
      <c r="P219" s="191"/>
    </row>
    <row r="220" spans="1:16" s="54" customFormat="1" ht="47.25" x14ac:dyDescent="0.25">
      <c r="A220" s="82"/>
      <c r="B220" s="92"/>
      <c r="C220" s="91" t="s">
        <v>384</v>
      </c>
      <c r="D220" s="84">
        <f>'дод 2'!E57</f>
        <v>588815</v>
      </c>
      <c r="E220" s="84">
        <f>'дод 2'!F57</f>
        <v>588815</v>
      </c>
      <c r="F220" s="84">
        <f>'дод 2'!G57</f>
        <v>482635</v>
      </c>
      <c r="G220" s="84">
        <f>'дод 2'!H57</f>
        <v>0</v>
      </c>
      <c r="H220" s="84">
        <f>'дод 2'!I57</f>
        <v>0</v>
      </c>
      <c r="I220" s="84">
        <f>'дод 2'!J57</f>
        <v>0</v>
      </c>
      <c r="J220" s="84">
        <f>'дод 2'!K57</f>
        <v>0</v>
      </c>
      <c r="K220" s="84">
        <f>'дод 2'!L57</f>
        <v>0</v>
      </c>
      <c r="L220" s="84">
        <f>'дод 2'!M57</f>
        <v>0</v>
      </c>
      <c r="M220" s="84">
        <f>'дод 2'!N57</f>
        <v>0</v>
      </c>
      <c r="N220" s="84">
        <f>'дод 2'!O57</f>
        <v>0</v>
      </c>
      <c r="O220" s="84">
        <f>'дод 2'!P57</f>
        <v>588815</v>
      </c>
      <c r="P220" s="191"/>
    </row>
    <row r="221" spans="1:16" s="52" customFormat="1" ht="23.25" customHeight="1" x14ac:dyDescent="0.25">
      <c r="A221" s="38" t="s">
        <v>252</v>
      </c>
      <c r="B221" s="38"/>
      <c r="C221" s="12" t="s">
        <v>253</v>
      </c>
      <c r="D221" s="48">
        <f t="shared" ref="D221:O221" si="46">D222</f>
        <v>416692</v>
      </c>
      <c r="E221" s="48">
        <f t="shared" si="46"/>
        <v>416692</v>
      </c>
      <c r="F221" s="48">
        <f t="shared" si="46"/>
        <v>0</v>
      </c>
      <c r="G221" s="48">
        <f t="shared" si="46"/>
        <v>257942</v>
      </c>
      <c r="H221" s="48">
        <f t="shared" si="46"/>
        <v>0</v>
      </c>
      <c r="I221" s="48">
        <f t="shared" si="46"/>
        <v>0</v>
      </c>
      <c r="J221" s="48">
        <f t="shared" si="46"/>
        <v>0</v>
      </c>
      <c r="K221" s="48">
        <f t="shared" si="46"/>
        <v>0</v>
      </c>
      <c r="L221" s="48">
        <f t="shared" si="46"/>
        <v>0</v>
      </c>
      <c r="M221" s="48">
        <f t="shared" si="46"/>
        <v>0</v>
      </c>
      <c r="N221" s="48">
        <f t="shared" si="46"/>
        <v>0</v>
      </c>
      <c r="O221" s="48">
        <f t="shared" si="46"/>
        <v>416692</v>
      </c>
      <c r="P221" s="191"/>
    </row>
    <row r="222" spans="1:16" ht="22.5" customHeight="1" x14ac:dyDescent="0.25">
      <c r="A222" s="37" t="s">
        <v>246</v>
      </c>
      <c r="B222" s="42" t="s">
        <v>247</v>
      </c>
      <c r="C222" s="3" t="s">
        <v>248</v>
      </c>
      <c r="D222" s="49">
        <f>'дод 2'!E58+'дод 2'!E248</f>
        <v>416692</v>
      </c>
      <c r="E222" s="49">
        <f>'дод 2'!F58+'дод 2'!F248</f>
        <v>416692</v>
      </c>
      <c r="F222" s="49">
        <f>'дод 2'!G58+'дод 2'!G248</f>
        <v>0</v>
      </c>
      <c r="G222" s="49">
        <f>'дод 2'!H58+'дод 2'!H248</f>
        <v>257942</v>
      </c>
      <c r="H222" s="49">
        <f>'дод 2'!I58+'дод 2'!I248</f>
        <v>0</v>
      </c>
      <c r="I222" s="49">
        <f>'дод 2'!J58+'дод 2'!J248</f>
        <v>0</v>
      </c>
      <c r="J222" s="49">
        <f>'дод 2'!K58+'дод 2'!K248</f>
        <v>0</v>
      </c>
      <c r="K222" s="49">
        <f>'дод 2'!L58+'дод 2'!L248</f>
        <v>0</v>
      </c>
      <c r="L222" s="49">
        <f>'дод 2'!M58+'дод 2'!M248</f>
        <v>0</v>
      </c>
      <c r="M222" s="49">
        <f>'дод 2'!N58+'дод 2'!N248</f>
        <v>0</v>
      </c>
      <c r="N222" s="49">
        <f>'дод 2'!O58+'дод 2'!O248</f>
        <v>0</v>
      </c>
      <c r="O222" s="49">
        <f>'дод 2'!P58+'дод 2'!P248</f>
        <v>416692</v>
      </c>
      <c r="P222" s="191"/>
    </row>
    <row r="223" spans="1:16" s="52" customFormat="1" ht="22.5" customHeight="1" x14ac:dyDescent="0.25">
      <c r="A223" s="38" t="s">
        <v>6</v>
      </c>
      <c r="B223" s="39"/>
      <c r="C223" s="2" t="s">
        <v>8</v>
      </c>
      <c r="D223" s="48">
        <f t="shared" ref="D223:O223" si="47">D225+D224</f>
        <v>75000</v>
      </c>
      <c r="E223" s="48">
        <f t="shared" si="47"/>
        <v>75000</v>
      </c>
      <c r="F223" s="48">
        <f t="shared" si="47"/>
        <v>0</v>
      </c>
      <c r="G223" s="48">
        <f t="shared" si="47"/>
        <v>0</v>
      </c>
      <c r="H223" s="48">
        <f t="shared" si="47"/>
        <v>0</v>
      </c>
      <c r="I223" s="48">
        <f t="shared" si="47"/>
        <v>4305000</v>
      </c>
      <c r="J223" s="48">
        <f t="shared" si="47"/>
        <v>0</v>
      </c>
      <c r="K223" s="48">
        <f t="shared" si="47"/>
        <v>2955100</v>
      </c>
      <c r="L223" s="48">
        <f t="shared" si="47"/>
        <v>0</v>
      </c>
      <c r="M223" s="48">
        <f t="shared" si="47"/>
        <v>0</v>
      </c>
      <c r="N223" s="48">
        <f t="shared" si="47"/>
        <v>1349900</v>
      </c>
      <c r="O223" s="48">
        <f t="shared" si="47"/>
        <v>4380000</v>
      </c>
      <c r="P223" s="191"/>
    </row>
    <row r="224" spans="1:16" s="52" customFormat="1" ht="33.75" customHeight="1" x14ac:dyDescent="0.25">
      <c r="A224" s="37">
        <v>8330</v>
      </c>
      <c r="B224" s="59" t="s">
        <v>94</v>
      </c>
      <c r="C224" s="3" t="s">
        <v>350</v>
      </c>
      <c r="D224" s="49">
        <f>'дод 2'!E301</f>
        <v>75000</v>
      </c>
      <c r="E224" s="49">
        <f>'дод 2'!F301</f>
        <v>75000</v>
      </c>
      <c r="F224" s="49">
        <f>'дод 2'!G301</f>
        <v>0</v>
      </c>
      <c r="G224" s="49">
        <f>'дод 2'!H301</f>
        <v>0</v>
      </c>
      <c r="H224" s="49">
        <f>'дод 2'!I301</f>
        <v>0</v>
      </c>
      <c r="I224" s="49">
        <f>'дод 2'!J301</f>
        <v>0</v>
      </c>
      <c r="J224" s="49">
        <f>'дод 2'!K301</f>
        <v>0</v>
      </c>
      <c r="K224" s="49">
        <f>'дод 2'!L301</f>
        <v>0</v>
      </c>
      <c r="L224" s="49">
        <f>'дод 2'!M301</f>
        <v>0</v>
      </c>
      <c r="M224" s="49">
        <f>'дод 2'!N301</f>
        <v>0</v>
      </c>
      <c r="N224" s="49">
        <f>'дод 2'!O301</f>
        <v>0</v>
      </c>
      <c r="O224" s="49">
        <f>'дод 2'!P301</f>
        <v>75000</v>
      </c>
      <c r="P224" s="191"/>
    </row>
    <row r="225" spans="1:16" s="52" customFormat="1" ht="19.5" customHeight="1" x14ac:dyDescent="0.25">
      <c r="A225" s="37" t="s">
        <v>9</v>
      </c>
      <c r="B225" s="37" t="s">
        <v>94</v>
      </c>
      <c r="C225" s="3" t="s">
        <v>10</v>
      </c>
      <c r="D225" s="49">
        <f>'дод 2'!E59+'дод 2'!E116+'дод 2'!E249+'дод 2'!E302</f>
        <v>0</v>
      </c>
      <c r="E225" s="49">
        <f>'дод 2'!F59+'дод 2'!F116+'дод 2'!F249+'дод 2'!F302</f>
        <v>0</v>
      </c>
      <c r="F225" s="49">
        <f>'дод 2'!G59+'дод 2'!G116+'дод 2'!G249+'дод 2'!G302</f>
        <v>0</v>
      </c>
      <c r="G225" s="49">
        <f>'дод 2'!H59+'дод 2'!H116+'дод 2'!H249+'дод 2'!H302</f>
        <v>0</v>
      </c>
      <c r="H225" s="49">
        <f>'дод 2'!I59+'дод 2'!I116+'дод 2'!I249+'дод 2'!I302</f>
        <v>0</v>
      </c>
      <c r="I225" s="49">
        <f>'дод 2'!J59+'дод 2'!J116+'дод 2'!J249+'дод 2'!J302</f>
        <v>4305000</v>
      </c>
      <c r="J225" s="49">
        <f>'дод 2'!K59+'дод 2'!K116+'дод 2'!K249+'дод 2'!K302</f>
        <v>0</v>
      </c>
      <c r="K225" s="49">
        <f>'дод 2'!L59+'дод 2'!L116+'дод 2'!L249+'дод 2'!L302</f>
        <v>2955100</v>
      </c>
      <c r="L225" s="49">
        <f>'дод 2'!M59+'дод 2'!M116+'дод 2'!M249+'дод 2'!M302</f>
        <v>0</v>
      </c>
      <c r="M225" s="49">
        <f>'дод 2'!N59+'дод 2'!N116+'дод 2'!N249+'дод 2'!N302</f>
        <v>0</v>
      </c>
      <c r="N225" s="49">
        <f>'дод 2'!O59+'дод 2'!O116+'дод 2'!O249+'дод 2'!O302</f>
        <v>1349900</v>
      </c>
      <c r="O225" s="49">
        <f>'дод 2'!P59+'дод 2'!P116+'дод 2'!P249+'дод 2'!P302</f>
        <v>4305000</v>
      </c>
      <c r="P225" s="191"/>
    </row>
    <row r="226" spans="1:16" s="52" customFormat="1" ht="20.25" customHeight="1" x14ac:dyDescent="0.25">
      <c r="A226" s="38" t="s">
        <v>135</v>
      </c>
      <c r="B226" s="39"/>
      <c r="C226" s="2" t="s">
        <v>77</v>
      </c>
      <c r="D226" s="48">
        <f t="shared" ref="D226:O226" si="48">D227</f>
        <v>30000</v>
      </c>
      <c r="E226" s="48">
        <f t="shared" si="48"/>
        <v>30000</v>
      </c>
      <c r="F226" s="48">
        <f t="shared" si="48"/>
        <v>0</v>
      </c>
      <c r="G226" s="48">
        <f t="shared" si="48"/>
        <v>0</v>
      </c>
      <c r="H226" s="48">
        <f t="shared" si="48"/>
        <v>0</v>
      </c>
      <c r="I226" s="48">
        <f t="shared" si="48"/>
        <v>0</v>
      </c>
      <c r="J226" s="48">
        <f t="shared" si="48"/>
        <v>0</v>
      </c>
      <c r="K226" s="48">
        <f t="shared" si="48"/>
        <v>0</v>
      </c>
      <c r="L226" s="48">
        <f t="shared" si="48"/>
        <v>0</v>
      </c>
      <c r="M226" s="48">
        <f t="shared" si="48"/>
        <v>0</v>
      </c>
      <c r="N226" s="48">
        <f t="shared" si="48"/>
        <v>0</v>
      </c>
      <c r="O226" s="48">
        <f t="shared" si="48"/>
        <v>30000</v>
      </c>
      <c r="P226" s="191"/>
    </row>
    <row r="227" spans="1:16" s="52" customFormat="1" ht="21" customHeight="1" x14ac:dyDescent="0.25">
      <c r="A227" s="37" t="s">
        <v>257</v>
      </c>
      <c r="B227" s="42" t="s">
        <v>78</v>
      </c>
      <c r="C227" s="3" t="s">
        <v>258</v>
      </c>
      <c r="D227" s="49">
        <f>'дод 2'!E60</f>
        <v>30000</v>
      </c>
      <c r="E227" s="49">
        <f>'дод 2'!F60</f>
        <v>30000</v>
      </c>
      <c r="F227" s="49">
        <f>'дод 2'!G60</f>
        <v>0</v>
      </c>
      <c r="G227" s="49">
        <f>'дод 2'!H60</f>
        <v>0</v>
      </c>
      <c r="H227" s="49">
        <f>'дод 2'!I60</f>
        <v>0</v>
      </c>
      <c r="I227" s="49">
        <f>'дод 2'!J60</f>
        <v>0</v>
      </c>
      <c r="J227" s="49">
        <f>'дод 2'!K60</f>
        <v>0</v>
      </c>
      <c r="K227" s="49">
        <f>'дод 2'!L60</f>
        <v>0</v>
      </c>
      <c r="L227" s="49">
        <f>'дод 2'!M60</f>
        <v>0</v>
      </c>
      <c r="M227" s="49">
        <f>'дод 2'!N60</f>
        <v>0</v>
      </c>
      <c r="N227" s="49">
        <f>'дод 2'!O60</f>
        <v>0</v>
      </c>
      <c r="O227" s="49">
        <f>'дод 2'!P60</f>
        <v>30000</v>
      </c>
      <c r="P227" s="191"/>
    </row>
    <row r="228" spans="1:16" s="52" customFormat="1" ht="21" customHeight="1" x14ac:dyDescent="0.25">
      <c r="A228" s="38" t="s">
        <v>97</v>
      </c>
      <c r="B228" s="38" t="s">
        <v>92</v>
      </c>
      <c r="C228" s="2" t="s">
        <v>11</v>
      </c>
      <c r="D228" s="48">
        <f>'дод 2'!E303</f>
        <v>1964239</v>
      </c>
      <c r="E228" s="48">
        <f>'дод 2'!F303</f>
        <v>1964239</v>
      </c>
      <c r="F228" s="48">
        <f>'дод 2'!G303</f>
        <v>0</v>
      </c>
      <c r="G228" s="48">
        <f>'дод 2'!H303</f>
        <v>0</v>
      </c>
      <c r="H228" s="48">
        <f>'дод 2'!I303</f>
        <v>0</v>
      </c>
      <c r="I228" s="48">
        <f>'дод 2'!J303</f>
        <v>0</v>
      </c>
      <c r="J228" s="48">
        <f>'дод 2'!K303</f>
        <v>0</v>
      </c>
      <c r="K228" s="48">
        <f>'дод 2'!L303</f>
        <v>0</v>
      </c>
      <c r="L228" s="48">
        <f>'дод 2'!M303</f>
        <v>0</v>
      </c>
      <c r="M228" s="48">
        <f>'дод 2'!N303</f>
        <v>0</v>
      </c>
      <c r="N228" s="48">
        <f>'дод 2'!O303</f>
        <v>0</v>
      </c>
      <c r="O228" s="48">
        <f>'дод 2'!P303</f>
        <v>1964239</v>
      </c>
      <c r="P228" s="191"/>
    </row>
    <row r="229" spans="1:16" s="52" customFormat="1" ht="25.5" customHeight="1" x14ac:dyDescent="0.25">
      <c r="A229" s="38">
        <v>8710</v>
      </c>
      <c r="B229" s="38" t="s">
        <v>95</v>
      </c>
      <c r="C229" s="2" t="s">
        <v>527</v>
      </c>
      <c r="D229" s="48">
        <f>'дод 2'!E304</f>
        <v>14026743.439999999</v>
      </c>
      <c r="E229" s="48">
        <f>'дод 2'!F304</f>
        <v>0</v>
      </c>
      <c r="F229" s="48">
        <f>'дод 2'!G304</f>
        <v>0</v>
      </c>
      <c r="G229" s="48">
        <f>'дод 2'!H304</f>
        <v>0</v>
      </c>
      <c r="H229" s="48">
        <f>'дод 2'!I304</f>
        <v>0</v>
      </c>
      <c r="I229" s="48">
        <f>'дод 2'!J304</f>
        <v>0</v>
      </c>
      <c r="J229" s="48">
        <f>'дод 2'!K304</f>
        <v>0</v>
      </c>
      <c r="K229" s="48">
        <f>'дод 2'!L304</f>
        <v>0</v>
      </c>
      <c r="L229" s="48">
        <f>'дод 2'!M304</f>
        <v>0</v>
      </c>
      <c r="M229" s="48">
        <f>'дод 2'!N304</f>
        <v>0</v>
      </c>
      <c r="N229" s="48">
        <f>'дод 2'!O304</f>
        <v>0</v>
      </c>
      <c r="O229" s="48">
        <f>'дод 2'!P304</f>
        <v>14026743.439999999</v>
      </c>
      <c r="P229" s="191"/>
    </row>
    <row r="230" spans="1:16" s="52" customFormat="1" ht="24" customHeight="1" x14ac:dyDescent="0.25">
      <c r="A230" s="38" t="s">
        <v>12</v>
      </c>
      <c r="B230" s="38"/>
      <c r="C230" s="2" t="s">
        <v>559</v>
      </c>
      <c r="D230" s="48">
        <f>D232+D234+D238+D242</f>
        <v>200462443</v>
      </c>
      <c r="E230" s="48">
        <f t="shared" ref="E230:O230" si="49">E232+E234+E238+E242</f>
        <v>200462443</v>
      </c>
      <c r="F230" s="48">
        <f t="shared" si="49"/>
        <v>0</v>
      </c>
      <c r="G230" s="48">
        <f t="shared" si="49"/>
        <v>0</v>
      </c>
      <c r="H230" s="48">
        <f t="shared" si="49"/>
        <v>0</v>
      </c>
      <c r="I230" s="48">
        <f t="shared" si="49"/>
        <v>30582619.600000001</v>
      </c>
      <c r="J230" s="48">
        <f t="shared" si="49"/>
        <v>30582619.600000001</v>
      </c>
      <c r="K230" s="48">
        <f t="shared" si="49"/>
        <v>0</v>
      </c>
      <c r="L230" s="48">
        <f t="shared" si="49"/>
        <v>0</v>
      </c>
      <c r="M230" s="48">
        <f t="shared" si="49"/>
        <v>0</v>
      </c>
      <c r="N230" s="48">
        <f t="shared" si="49"/>
        <v>30582619.600000001</v>
      </c>
      <c r="O230" s="48">
        <f t="shared" si="49"/>
        <v>231045062.59999999</v>
      </c>
      <c r="P230" s="191"/>
    </row>
    <row r="231" spans="1:16" s="52" customFormat="1" ht="36.75" customHeight="1" x14ac:dyDescent="0.25">
      <c r="A231" s="38"/>
      <c r="B231" s="38"/>
      <c r="C231" s="81" t="s">
        <v>555</v>
      </c>
      <c r="D231" s="80">
        <f>D235</f>
        <v>693000</v>
      </c>
      <c r="E231" s="80">
        <f t="shared" ref="E231:O231" si="50">E235</f>
        <v>693000</v>
      </c>
      <c r="F231" s="80">
        <f t="shared" si="50"/>
        <v>0</v>
      </c>
      <c r="G231" s="80">
        <f t="shared" si="50"/>
        <v>0</v>
      </c>
      <c r="H231" s="80">
        <f t="shared" si="50"/>
        <v>0</v>
      </c>
      <c r="I231" s="80">
        <f t="shared" si="50"/>
        <v>3307000</v>
      </c>
      <c r="J231" s="80">
        <f t="shared" si="50"/>
        <v>3307000</v>
      </c>
      <c r="K231" s="80">
        <f t="shared" si="50"/>
        <v>0</v>
      </c>
      <c r="L231" s="80">
        <f t="shared" si="50"/>
        <v>0</v>
      </c>
      <c r="M231" s="80">
        <f t="shared" si="50"/>
        <v>0</v>
      </c>
      <c r="N231" s="80">
        <f t="shared" si="50"/>
        <v>3307000</v>
      </c>
      <c r="O231" s="80">
        <f t="shared" si="50"/>
        <v>4000000</v>
      </c>
      <c r="P231" s="191"/>
    </row>
    <row r="232" spans="1:16" s="52" customFormat="1" ht="21.75" customHeight="1" x14ac:dyDescent="0.25">
      <c r="A232" s="38" t="s">
        <v>255</v>
      </c>
      <c r="B232" s="38"/>
      <c r="C232" s="2" t="s">
        <v>300</v>
      </c>
      <c r="D232" s="48">
        <f t="shared" ref="D232:O232" si="51">D233</f>
        <v>100870700</v>
      </c>
      <c r="E232" s="48">
        <f t="shared" si="51"/>
        <v>100870700</v>
      </c>
      <c r="F232" s="48">
        <f t="shared" si="51"/>
        <v>0</v>
      </c>
      <c r="G232" s="48">
        <f t="shared" si="51"/>
        <v>0</v>
      </c>
      <c r="H232" s="48">
        <f t="shared" si="51"/>
        <v>0</v>
      </c>
      <c r="I232" s="48">
        <f t="shared" si="51"/>
        <v>0</v>
      </c>
      <c r="J232" s="48">
        <f t="shared" si="51"/>
        <v>0</v>
      </c>
      <c r="K232" s="48">
        <f t="shared" si="51"/>
        <v>0</v>
      </c>
      <c r="L232" s="48">
        <f t="shared" si="51"/>
        <v>0</v>
      </c>
      <c r="M232" s="48">
        <f t="shared" si="51"/>
        <v>0</v>
      </c>
      <c r="N232" s="48">
        <f t="shared" si="51"/>
        <v>0</v>
      </c>
      <c r="O232" s="48">
        <f t="shared" si="51"/>
        <v>100870700</v>
      </c>
      <c r="P232" s="191"/>
    </row>
    <row r="233" spans="1:16" s="52" customFormat="1" ht="21" customHeight="1" x14ac:dyDescent="0.25">
      <c r="A233" s="37" t="s">
        <v>93</v>
      </c>
      <c r="B233" s="42" t="s">
        <v>46</v>
      </c>
      <c r="C233" s="3" t="s">
        <v>112</v>
      </c>
      <c r="D233" s="49">
        <f>'дод 2'!E305</f>
        <v>100870700</v>
      </c>
      <c r="E233" s="49">
        <f>'дод 2'!F305</f>
        <v>100870700</v>
      </c>
      <c r="F233" s="49">
        <f>'дод 2'!G305</f>
        <v>0</v>
      </c>
      <c r="G233" s="49">
        <f>'дод 2'!H305</f>
        <v>0</v>
      </c>
      <c r="H233" s="49">
        <f>'дод 2'!I305</f>
        <v>0</v>
      </c>
      <c r="I233" s="49">
        <f>'дод 2'!J305</f>
        <v>0</v>
      </c>
      <c r="J233" s="49">
        <f>'дод 2'!K305</f>
        <v>0</v>
      </c>
      <c r="K233" s="49">
        <f>'дод 2'!L305</f>
        <v>0</v>
      </c>
      <c r="L233" s="49">
        <f>'дод 2'!M305</f>
        <v>0</v>
      </c>
      <c r="M233" s="49">
        <f>'дод 2'!N305</f>
        <v>0</v>
      </c>
      <c r="N233" s="49">
        <f>'дод 2'!O305</f>
        <v>0</v>
      </c>
      <c r="O233" s="49">
        <f>'дод 2'!P305</f>
        <v>100870700</v>
      </c>
      <c r="P233" s="191"/>
    </row>
    <row r="234" spans="1:16" s="52" customFormat="1" ht="69" customHeight="1" x14ac:dyDescent="0.25">
      <c r="A234" s="38">
        <v>9300</v>
      </c>
      <c r="B234" s="110"/>
      <c r="C234" s="2" t="s">
        <v>552</v>
      </c>
      <c r="D234" s="48">
        <f>D236</f>
        <v>693000</v>
      </c>
      <c r="E234" s="48">
        <f t="shared" ref="E234:O234" si="52">E236</f>
        <v>693000</v>
      </c>
      <c r="F234" s="48">
        <f t="shared" si="52"/>
        <v>0</v>
      </c>
      <c r="G234" s="48">
        <f t="shared" si="52"/>
        <v>0</v>
      </c>
      <c r="H234" s="48">
        <f t="shared" si="52"/>
        <v>0</v>
      </c>
      <c r="I234" s="48">
        <f t="shared" si="52"/>
        <v>3307000</v>
      </c>
      <c r="J234" s="48">
        <f t="shared" si="52"/>
        <v>3307000</v>
      </c>
      <c r="K234" s="48">
        <f t="shared" si="52"/>
        <v>0</v>
      </c>
      <c r="L234" s="48">
        <f t="shared" si="52"/>
        <v>0</v>
      </c>
      <c r="M234" s="48">
        <f t="shared" si="52"/>
        <v>0</v>
      </c>
      <c r="N234" s="48">
        <f t="shared" si="52"/>
        <v>3307000</v>
      </c>
      <c r="O234" s="48">
        <f t="shared" si="52"/>
        <v>4000000</v>
      </c>
      <c r="P234" s="192">
        <v>100</v>
      </c>
    </row>
    <row r="235" spans="1:16" s="52" customFormat="1" ht="36.75" customHeight="1" x14ac:dyDescent="0.25">
      <c r="A235" s="38"/>
      <c r="B235" s="107"/>
      <c r="C235" s="81" t="s">
        <v>555</v>
      </c>
      <c r="D235" s="80">
        <f>D237</f>
        <v>693000</v>
      </c>
      <c r="E235" s="80">
        <f t="shared" ref="E235:O235" si="53">E237</f>
        <v>693000</v>
      </c>
      <c r="F235" s="80">
        <f t="shared" si="53"/>
        <v>0</v>
      </c>
      <c r="G235" s="80">
        <f t="shared" si="53"/>
        <v>0</v>
      </c>
      <c r="H235" s="80">
        <f t="shared" si="53"/>
        <v>0</v>
      </c>
      <c r="I235" s="80">
        <f t="shared" si="53"/>
        <v>3307000</v>
      </c>
      <c r="J235" s="80">
        <f t="shared" si="53"/>
        <v>3307000</v>
      </c>
      <c r="K235" s="80">
        <f t="shared" si="53"/>
        <v>0</v>
      </c>
      <c r="L235" s="80">
        <f t="shared" si="53"/>
        <v>0</v>
      </c>
      <c r="M235" s="80">
        <f t="shared" si="53"/>
        <v>0</v>
      </c>
      <c r="N235" s="80">
        <f t="shared" si="53"/>
        <v>3307000</v>
      </c>
      <c r="O235" s="80">
        <f t="shared" si="53"/>
        <v>4000000</v>
      </c>
      <c r="P235" s="192"/>
    </row>
    <row r="236" spans="1:16" s="52" customFormat="1" ht="53.25" customHeight="1" x14ac:dyDescent="0.25">
      <c r="A236" s="37">
        <v>9320</v>
      </c>
      <c r="B236" s="107" t="s">
        <v>46</v>
      </c>
      <c r="C236" s="6" t="s">
        <v>553</v>
      </c>
      <c r="D236" s="49">
        <f>'дод 2'!E117</f>
        <v>693000</v>
      </c>
      <c r="E236" s="49">
        <f>'дод 2'!F117</f>
        <v>693000</v>
      </c>
      <c r="F236" s="49">
        <f>'дод 2'!G117</f>
        <v>0</v>
      </c>
      <c r="G236" s="49">
        <f>'дод 2'!H117</f>
        <v>0</v>
      </c>
      <c r="H236" s="49">
        <f>'дод 2'!I117</f>
        <v>0</v>
      </c>
      <c r="I236" s="49">
        <f>'дод 2'!J117</f>
        <v>3307000</v>
      </c>
      <c r="J236" s="49">
        <f>'дод 2'!K117</f>
        <v>3307000</v>
      </c>
      <c r="K236" s="49">
        <f>'дод 2'!L117</f>
        <v>0</v>
      </c>
      <c r="L236" s="49">
        <f>'дод 2'!M117</f>
        <v>0</v>
      </c>
      <c r="M236" s="49">
        <f>'дод 2'!N117</f>
        <v>0</v>
      </c>
      <c r="N236" s="49">
        <f>'дод 2'!O117</f>
        <v>3307000</v>
      </c>
      <c r="O236" s="49">
        <f>'дод 2'!P117</f>
        <v>4000000</v>
      </c>
      <c r="P236" s="192"/>
    </row>
    <row r="237" spans="1:16" s="53" customFormat="1" ht="36.75" customHeight="1" x14ac:dyDescent="0.25">
      <c r="A237" s="82"/>
      <c r="B237" s="109"/>
      <c r="C237" s="91" t="s">
        <v>555</v>
      </c>
      <c r="D237" s="84">
        <f>'дод 2'!E118</f>
        <v>693000</v>
      </c>
      <c r="E237" s="84">
        <f>'дод 2'!F118</f>
        <v>693000</v>
      </c>
      <c r="F237" s="84">
        <f>'дод 2'!G118</f>
        <v>0</v>
      </c>
      <c r="G237" s="84">
        <f>'дод 2'!H118</f>
        <v>0</v>
      </c>
      <c r="H237" s="84">
        <f>'дод 2'!I118</f>
        <v>0</v>
      </c>
      <c r="I237" s="84">
        <f>'дод 2'!J118</f>
        <v>3307000</v>
      </c>
      <c r="J237" s="84">
        <f>'дод 2'!K118</f>
        <v>3307000</v>
      </c>
      <c r="K237" s="84">
        <f>'дод 2'!L118</f>
        <v>0</v>
      </c>
      <c r="L237" s="84">
        <f>'дод 2'!M118</f>
        <v>0</v>
      </c>
      <c r="M237" s="84">
        <f>'дод 2'!N118</f>
        <v>0</v>
      </c>
      <c r="N237" s="84">
        <f>'дод 2'!O118</f>
        <v>3307000</v>
      </c>
      <c r="O237" s="84">
        <f>'дод 2'!P118</f>
        <v>4000000</v>
      </c>
      <c r="P237" s="192"/>
    </row>
    <row r="238" spans="1:16" s="52" customFormat="1" ht="57.75" customHeight="1" x14ac:dyDescent="0.25">
      <c r="A238" s="38" t="s">
        <v>13</v>
      </c>
      <c r="B238" s="110"/>
      <c r="C238" s="2" t="s">
        <v>349</v>
      </c>
      <c r="D238" s="48">
        <f>D239+D240+D241</f>
        <v>96855344</v>
      </c>
      <c r="E238" s="48">
        <f t="shared" ref="E238:O238" si="54">E239+E240+E241</f>
        <v>96855344</v>
      </c>
      <c r="F238" s="48">
        <f t="shared" si="54"/>
        <v>0</v>
      </c>
      <c r="G238" s="48">
        <f t="shared" si="54"/>
        <v>0</v>
      </c>
      <c r="H238" s="48">
        <f t="shared" si="54"/>
        <v>0</v>
      </c>
      <c r="I238" s="48">
        <f t="shared" si="54"/>
        <v>25792619.600000001</v>
      </c>
      <c r="J238" s="48">
        <f t="shared" si="54"/>
        <v>25792619.600000001</v>
      </c>
      <c r="K238" s="48">
        <f t="shared" si="54"/>
        <v>0</v>
      </c>
      <c r="L238" s="48">
        <f t="shared" si="54"/>
        <v>0</v>
      </c>
      <c r="M238" s="48">
        <f t="shared" si="54"/>
        <v>0</v>
      </c>
      <c r="N238" s="48">
        <f t="shared" si="54"/>
        <v>25792619.600000001</v>
      </c>
      <c r="O238" s="48">
        <f t="shared" si="54"/>
        <v>122647963.59999999</v>
      </c>
      <c r="P238" s="192"/>
    </row>
    <row r="239" spans="1:16" s="52" customFormat="1" ht="78.75" x14ac:dyDescent="0.25">
      <c r="A239" s="97">
        <v>9730</v>
      </c>
      <c r="B239" s="60" t="s">
        <v>46</v>
      </c>
      <c r="C239" s="61" t="s">
        <v>592</v>
      </c>
      <c r="D239" s="49">
        <f>'дод 2'!E250</f>
        <v>25000000</v>
      </c>
      <c r="E239" s="49">
        <f>'дод 2'!F250</f>
        <v>25000000</v>
      </c>
      <c r="F239" s="49">
        <f>'дод 2'!G250</f>
        <v>0</v>
      </c>
      <c r="G239" s="49">
        <f>'дод 2'!H250</f>
        <v>0</v>
      </c>
      <c r="H239" s="49">
        <f>'дод 2'!I250</f>
        <v>0</v>
      </c>
      <c r="I239" s="49">
        <f>'дод 2'!J250</f>
        <v>0</v>
      </c>
      <c r="J239" s="49">
        <f>'дод 2'!K250</f>
        <v>0</v>
      </c>
      <c r="K239" s="49">
        <f>'дод 2'!L250</f>
        <v>0</v>
      </c>
      <c r="L239" s="49">
        <f>'дод 2'!M250</f>
        <v>0</v>
      </c>
      <c r="M239" s="49">
        <f>'дод 2'!N250</f>
        <v>0</v>
      </c>
      <c r="N239" s="49">
        <f>'дод 2'!O250</f>
        <v>0</v>
      </c>
      <c r="O239" s="49">
        <f>'дод 2'!P250</f>
        <v>25000000</v>
      </c>
      <c r="P239" s="192"/>
    </row>
    <row r="240" spans="1:16" ht="31.5" x14ac:dyDescent="0.25">
      <c r="A240" s="37">
        <v>9750</v>
      </c>
      <c r="B240" s="42" t="s">
        <v>46</v>
      </c>
      <c r="C240" s="61" t="s">
        <v>542</v>
      </c>
      <c r="D240" s="49">
        <f>'дод 2'!E274</f>
        <v>0</v>
      </c>
      <c r="E240" s="49">
        <f>'дод 2'!F274</f>
        <v>0</v>
      </c>
      <c r="F240" s="49">
        <f>'дод 2'!G274</f>
        <v>0</v>
      </c>
      <c r="G240" s="49">
        <f>'дод 2'!H274</f>
        <v>0</v>
      </c>
      <c r="H240" s="49">
        <f>'дод 2'!I274</f>
        <v>0</v>
      </c>
      <c r="I240" s="49">
        <f>'дод 2'!J274</f>
        <v>86000</v>
      </c>
      <c r="J240" s="49">
        <f>'дод 2'!K274</f>
        <v>86000</v>
      </c>
      <c r="K240" s="49">
        <f>'дод 2'!L274</f>
        <v>0</v>
      </c>
      <c r="L240" s="49">
        <f>'дод 2'!M274</f>
        <v>0</v>
      </c>
      <c r="M240" s="49">
        <f>'дод 2'!N274</f>
        <v>0</v>
      </c>
      <c r="N240" s="49">
        <f>'дод 2'!O274</f>
        <v>86000</v>
      </c>
      <c r="O240" s="49">
        <f>'дод 2'!P274</f>
        <v>86000</v>
      </c>
      <c r="P240" s="192"/>
    </row>
    <row r="241" spans="1:513" s="52" customFormat="1" ht="22.5" customHeight="1" x14ac:dyDescent="0.25">
      <c r="A241" s="37" t="s">
        <v>14</v>
      </c>
      <c r="B241" s="42" t="s">
        <v>46</v>
      </c>
      <c r="C241" s="6" t="s">
        <v>358</v>
      </c>
      <c r="D241" s="49">
        <f>'дод 2'!E119+'дод 2'!E154+'дод 2'!E195+'дод 2'!E251</f>
        <v>71855344</v>
      </c>
      <c r="E241" s="49">
        <f>'дод 2'!F119+'дод 2'!F154+'дод 2'!F195+'дод 2'!F251</f>
        <v>71855344</v>
      </c>
      <c r="F241" s="49">
        <f>'дод 2'!G119+'дод 2'!G154+'дод 2'!G195+'дод 2'!G251</f>
        <v>0</v>
      </c>
      <c r="G241" s="49">
        <f>'дод 2'!H119+'дод 2'!H154+'дод 2'!H195+'дод 2'!H251</f>
        <v>0</v>
      </c>
      <c r="H241" s="49">
        <f>'дод 2'!I119+'дод 2'!I154+'дод 2'!I195+'дод 2'!I251</f>
        <v>0</v>
      </c>
      <c r="I241" s="49">
        <f>'дод 2'!J119+'дод 2'!J154+'дод 2'!J195+'дод 2'!J251</f>
        <v>25706619.600000001</v>
      </c>
      <c r="J241" s="49">
        <f>'дод 2'!K119+'дод 2'!K154+'дод 2'!K195+'дод 2'!K251</f>
        <v>25706619.600000001</v>
      </c>
      <c r="K241" s="49">
        <f>'дод 2'!L119+'дод 2'!L154+'дод 2'!L195+'дод 2'!L251</f>
        <v>0</v>
      </c>
      <c r="L241" s="49">
        <f>'дод 2'!M119+'дод 2'!M154+'дод 2'!M195+'дод 2'!M251</f>
        <v>0</v>
      </c>
      <c r="M241" s="49">
        <f>'дод 2'!N119+'дод 2'!N154+'дод 2'!N195+'дод 2'!N251</f>
        <v>0</v>
      </c>
      <c r="N241" s="49">
        <f>'дод 2'!O119+'дод 2'!O154+'дод 2'!O195+'дод 2'!O251</f>
        <v>25706619.600000001</v>
      </c>
      <c r="O241" s="49">
        <f>'дод 2'!P119+'дод 2'!P154+'дод 2'!P195+'дод 2'!P251</f>
        <v>97561963.599999994</v>
      </c>
      <c r="P241" s="192"/>
    </row>
    <row r="242" spans="1:513" s="52" customFormat="1" ht="51" customHeight="1" x14ac:dyDescent="0.25">
      <c r="A242" s="38">
        <v>9800</v>
      </c>
      <c r="B242" s="39" t="s">
        <v>46</v>
      </c>
      <c r="C242" s="9" t="s">
        <v>369</v>
      </c>
      <c r="D242" s="48">
        <f>'дод 2'!E120+'дод 2'!E61</f>
        <v>2043399</v>
      </c>
      <c r="E242" s="48">
        <f>'дод 2'!F120+'дод 2'!F61</f>
        <v>2043399</v>
      </c>
      <c r="F242" s="48">
        <f>'дод 2'!G120+'дод 2'!G61</f>
        <v>0</v>
      </c>
      <c r="G242" s="48">
        <f>'дод 2'!H120+'дод 2'!H61</f>
        <v>0</v>
      </c>
      <c r="H242" s="48">
        <f>'дод 2'!I120+'дод 2'!I61</f>
        <v>0</v>
      </c>
      <c r="I242" s="48">
        <f>'дод 2'!J120+'дод 2'!J61</f>
        <v>1483000</v>
      </c>
      <c r="J242" s="48">
        <f>'дод 2'!K120+'дод 2'!K61</f>
        <v>1483000</v>
      </c>
      <c r="K242" s="48">
        <f>'дод 2'!L120+'дод 2'!L61</f>
        <v>0</v>
      </c>
      <c r="L242" s="48">
        <f>'дод 2'!M120+'дод 2'!M61</f>
        <v>0</v>
      </c>
      <c r="M242" s="48">
        <f>'дод 2'!N120+'дод 2'!N61</f>
        <v>0</v>
      </c>
      <c r="N242" s="48">
        <f>'дод 2'!O120+'дод 2'!O61</f>
        <v>1483000</v>
      </c>
      <c r="O242" s="48">
        <f>'дод 2'!P120+'дод 2'!P61</f>
        <v>3526399</v>
      </c>
      <c r="P242" s="192"/>
    </row>
    <row r="243" spans="1:513" s="52" customFormat="1" ht="18.75" customHeight="1" x14ac:dyDescent="0.25">
      <c r="A243" s="7"/>
      <c r="B243" s="7"/>
      <c r="C243" s="2" t="s">
        <v>410</v>
      </c>
      <c r="D243" s="48">
        <f>D18+D25+D75+D96+D137+D142+D151+D163+D214+D230</f>
        <v>2296845778.4499998</v>
      </c>
      <c r="E243" s="48">
        <f t="shared" ref="E243:O243" si="55">E18+E25+E75+E96+E137+E142+E151+E163+E214+E230</f>
        <v>2196977880.5299997</v>
      </c>
      <c r="F243" s="48">
        <f t="shared" si="55"/>
        <v>1078837255</v>
      </c>
      <c r="G243" s="48">
        <f t="shared" si="55"/>
        <v>107607651</v>
      </c>
      <c r="H243" s="48">
        <f t="shared" si="55"/>
        <v>85841154.480000004</v>
      </c>
      <c r="I243" s="48">
        <f t="shared" si="55"/>
        <v>713726839.55999994</v>
      </c>
      <c r="J243" s="48">
        <f t="shared" si="55"/>
        <v>648653545.03999996</v>
      </c>
      <c r="K243" s="48">
        <f t="shared" si="55"/>
        <v>47765901.869999997</v>
      </c>
      <c r="L243" s="48">
        <f t="shared" si="55"/>
        <v>6033355</v>
      </c>
      <c r="M243" s="48">
        <f t="shared" si="55"/>
        <v>266522</v>
      </c>
      <c r="N243" s="48">
        <f t="shared" si="55"/>
        <v>665960937.68999994</v>
      </c>
      <c r="O243" s="48">
        <f t="shared" si="55"/>
        <v>3010572618.0099998</v>
      </c>
      <c r="P243" s="192"/>
    </row>
    <row r="244" spans="1:513" s="53" customFormat="1" ht="18" customHeight="1" x14ac:dyDescent="0.25">
      <c r="A244" s="90"/>
      <c r="B244" s="90"/>
      <c r="C244" s="79" t="s">
        <v>403</v>
      </c>
      <c r="D244" s="80">
        <f>D26+D33+D187+D231+D170</f>
        <v>485377355.60000002</v>
      </c>
      <c r="E244" s="80">
        <f t="shared" ref="E244:O244" si="56">E26+E33+E187+E231+E170</f>
        <v>485377355.60000002</v>
      </c>
      <c r="F244" s="80">
        <f t="shared" si="56"/>
        <v>396066000</v>
      </c>
      <c r="G244" s="80">
        <f t="shared" si="56"/>
        <v>0</v>
      </c>
      <c r="H244" s="80">
        <f t="shared" si="56"/>
        <v>0</v>
      </c>
      <c r="I244" s="80">
        <f t="shared" si="56"/>
        <v>14076649.18</v>
      </c>
      <c r="J244" s="80">
        <f t="shared" si="56"/>
        <v>14076649.18</v>
      </c>
      <c r="K244" s="80">
        <f t="shared" si="56"/>
        <v>0</v>
      </c>
      <c r="L244" s="80">
        <f t="shared" si="56"/>
        <v>0</v>
      </c>
      <c r="M244" s="80">
        <f t="shared" si="56"/>
        <v>0</v>
      </c>
      <c r="N244" s="80">
        <f t="shared" si="56"/>
        <v>14076649.18</v>
      </c>
      <c r="O244" s="80">
        <f t="shared" si="56"/>
        <v>499454004.77999997</v>
      </c>
      <c r="P244" s="192"/>
    </row>
    <row r="245" spans="1:513" s="53" customFormat="1" ht="31.5" x14ac:dyDescent="0.25">
      <c r="A245" s="90"/>
      <c r="B245" s="90"/>
      <c r="C245" s="79" t="s">
        <v>404</v>
      </c>
      <c r="D245" s="80">
        <f>D27+D28+D30+D99+D100+D101+D220+D32+D78+D143+D34+D35</f>
        <v>30695366.240000002</v>
      </c>
      <c r="E245" s="80">
        <f t="shared" ref="E245:O245" si="57">E27+E28+E30+E99+E100+E101+E220+E32+E78+E143+E34+E35</f>
        <v>30695366.240000002</v>
      </c>
      <c r="F245" s="80">
        <f t="shared" si="57"/>
        <v>4133559</v>
      </c>
      <c r="G245" s="80">
        <f t="shared" si="57"/>
        <v>0</v>
      </c>
      <c r="H245" s="80">
        <f t="shared" si="57"/>
        <v>0</v>
      </c>
      <c r="I245" s="80">
        <f t="shared" si="57"/>
        <v>7933192.0499999998</v>
      </c>
      <c r="J245" s="80">
        <f t="shared" si="57"/>
        <v>7933192.0499999998</v>
      </c>
      <c r="K245" s="80">
        <f t="shared" si="57"/>
        <v>0</v>
      </c>
      <c r="L245" s="80">
        <f t="shared" si="57"/>
        <v>0</v>
      </c>
      <c r="M245" s="80">
        <f t="shared" si="57"/>
        <v>0</v>
      </c>
      <c r="N245" s="80">
        <f t="shared" si="57"/>
        <v>7933192.0499999998</v>
      </c>
      <c r="O245" s="80">
        <f t="shared" si="57"/>
        <v>38628558.289999999</v>
      </c>
      <c r="P245" s="192"/>
    </row>
    <row r="246" spans="1:513" s="53" customFormat="1" ht="23.25" customHeight="1" x14ac:dyDescent="0.25">
      <c r="A246" s="75"/>
      <c r="B246" s="75"/>
      <c r="C246" s="87" t="s">
        <v>421</v>
      </c>
      <c r="D246" s="80">
        <f>D166</f>
        <v>0</v>
      </c>
      <c r="E246" s="80">
        <f t="shared" ref="E246:O246" si="58">E166</f>
        <v>0</v>
      </c>
      <c r="F246" s="80">
        <f t="shared" si="58"/>
        <v>0</v>
      </c>
      <c r="G246" s="80">
        <f t="shared" si="58"/>
        <v>0</v>
      </c>
      <c r="H246" s="80">
        <f t="shared" si="58"/>
        <v>0</v>
      </c>
      <c r="I246" s="80">
        <f t="shared" si="58"/>
        <v>127771665.12</v>
      </c>
      <c r="J246" s="80">
        <f t="shared" si="58"/>
        <v>127771665.12</v>
      </c>
      <c r="K246" s="80">
        <f t="shared" si="58"/>
        <v>0</v>
      </c>
      <c r="L246" s="80">
        <f t="shared" si="58"/>
        <v>0</v>
      </c>
      <c r="M246" s="80">
        <f t="shared" si="58"/>
        <v>0</v>
      </c>
      <c r="N246" s="80">
        <f t="shared" si="58"/>
        <v>127771665.12</v>
      </c>
      <c r="O246" s="80">
        <f t="shared" si="58"/>
        <v>127771665.12</v>
      </c>
      <c r="P246" s="192"/>
    </row>
    <row r="247" spans="1:513" s="52" customFormat="1" ht="30.75" customHeight="1" x14ac:dyDescent="0.25">
      <c r="A247" s="67"/>
      <c r="B247" s="67"/>
      <c r="C247" s="68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192"/>
    </row>
    <row r="248" spans="1:513" s="52" customFormat="1" ht="33.75" customHeight="1" x14ac:dyDescent="0.25">
      <c r="A248" s="67"/>
      <c r="B248" s="67"/>
      <c r="C248" s="68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192"/>
    </row>
    <row r="249" spans="1:513" s="52" customFormat="1" ht="31.5" customHeight="1" x14ac:dyDescent="0.55000000000000004">
      <c r="A249" s="67"/>
      <c r="B249" s="67"/>
      <c r="C249" s="68"/>
      <c r="D249" s="69"/>
      <c r="E249" s="69"/>
      <c r="F249" s="69"/>
      <c r="G249" s="69"/>
      <c r="H249" s="69"/>
      <c r="I249" s="69"/>
      <c r="J249" s="149"/>
      <c r="K249" s="69"/>
      <c r="L249" s="69"/>
      <c r="M249" s="69"/>
      <c r="N249" s="69"/>
      <c r="O249" s="69"/>
      <c r="P249" s="192"/>
    </row>
    <row r="250" spans="1:513" s="52" customFormat="1" ht="37.5" customHeight="1" x14ac:dyDescent="0.55000000000000004">
      <c r="A250" s="67"/>
      <c r="B250" s="67"/>
      <c r="C250" s="68"/>
      <c r="D250" s="69"/>
      <c r="E250" s="69"/>
      <c r="F250" s="69"/>
      <c r="G250" s="69"/>
      <c r="H250" s="69"/>
      <c r="I250" s="69"/>
      <c r="J250" s="149"/>
      <c r="K250" s="69"/>
      <c r="L250" s="69"/>
      <c r="M250" s="69"/>
      <c r="N250" s="69"/>
      <c r="O250" s="69"/>
      <c r="P250" s="192"/>
    </row>
    <row r="251" spans="1:513" s="178" customFormat="1" ht="47.25" customHeight="1" x14ac:dyDescent="0.45">
      <c r="A251" s="172" t="s">
        <v>476</v>
      </c>
      <c r="B251" s="173"/>
      <c r="C251" s="174"/>
      <c r="D251" s="175"/>
      <c r="E251" s="175"/>
      <c r="F251" s="175"/>
      <c r="G251" s="175"/>
      <c r="H251" s="175"/>
      <c r="I251" s="175"/>
      <c r="J251" s="152"/>
      <c r="K251" s="175"/>
      <c r="L251" s="175" t="s">
        <v>477</v>
      </c>
      <c r="M251" s="176"/>
      <c r="N251" s="176"/>
      <c r="O251" s="176"/>
      <c r="P251" s="192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/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7"/>
      <c r="CG251" s="177"/>
      <c r="CH251" s="177"/>
      <c r="CI251" s="177"/>
      <c r="CJ251" s="177"/>
      <c r="CK251" s="177"/>
      <c r="CL251" s="177"/>
      <c r="CM251" s="177"/>
      <c r="CN251" s="177"/>
      <c r="CO251" s="177"/>
      <c r="CP251" s="177"/>
      <c r="CQ251" s="177"/>
      <c r="CR251" s="177"/>
      <c r="CS251" s="177"/>
      <c r="CT251" s="177"/>
      <c r="CU251" s="177"/>
      <c r="CV251" s="177"/>
      <c r="CW251" s="177"/>
      <c r="CX251" s="177"/>
      <c r="CY251" s="177"/>
      <c r="CZ251" s="177"/>
      <c r="DA251" s="177"/>
      <c r="DB251" s="177"/>
      <c r="DC251" s="177"/>
      <c r="DD251" s="177"/>
      <c r="DE251" s="177"/>
      <c r="DF251" s="177"/>
      <c r="DG251" s="177"/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  <c r="EI251" s="177"/>
      <c r="EJ251" s="177"/>
      <c r="EK251" s="177"/>
      <c r="EL251" s="177"/>
      <c r="EM251" s="177"/>
      <c r="EN251" s="177"/>
      <c r="EO251" s="177"/>
      <c r="EP251" s="177"/>
      <c r="EQ251" s="177"/>
      <c r="ER251" s="177"/>
      <c r="ES251" s="177"/>
      <c r="ET251" s="177"/>
      <c r="EU251" s="177"/>
      <c r="EV251" s="177"/>
      <c r="EW251" s="177"/>
      <c r="EX251" s="177"/>
      <c r="EY251" s="177"/>
      <c r="EZ251" s="177"/>
      <c r="FA251" s="177"/>
      <c r="FB251" s="177"/>
      <c r="FC251" s="177"/>
      <c r="FD251" s="177"/>
      <c r="FE251" s="177"/>
      <c r="FF251" s="177"/>
      <c r="FG251" s="177"/>
      <c r="FH251" s="177"/>
      <c r="FI251" s="177"/>
      <c r="FJ251" s="177"/>
      <c r="FK251" s="177"/>
      <c r="FL251" s="177"/>
      <c r="FM251" s="177"/>
      <c r="FN251" s="177"/>
      <c r="FO251" s="177"/>
      <c r="FP251" s="177"/>
      <c r="FQ251" s="177"/>
      <c r="FR251" s="177"/>
      <c r="FS251" s="177"/>
      <c r="FT251" s="177"/>
      <c r="FU251" s="177"/>
      <c r="FV251" s="177"/>
      <c r="FW251" s="177"/>
      <c r="FX251" s="177"/>
      <c r="FY251" s="177"/>
      <c r="FZ251" s="177"/>
      <c r="GA251" s="177"/>
      <c r="GB251" s="177"/>
      <c r="GC251" s="177"/>
      <c r="GD251" s="177"/>
      <c r="GE251" s="177"/>
      <c r="GF251" s="177"/>
      <c r="GG251" s="177"/>
      <c r="GH251" s="177"/>
      <c r="GI251" s="177"/>
      <c r="GJ251" s="177"/>
      <c r="GK251" s="177"/>
      <c r="GL251" s="177"/>
      <c r="GM251" s="177"/>
      <c r="GN251" s="177"/>
      <c r="GO251" s="177"/>
      <c r="GP251" s="177"/>
      <c r="GQ251" s="177"/>
      <c r="GR251" s="177"/>
      <c r="GS251" s="177"/>
      <c r="GT251" s="177"/>
      <c r="GU251" s="177"/>
      <c r="GV251" s="177"/>
      <c r="GW251" s="177"/>
      <c r="GX251" s="177"/>
      <c r="GY251" s="177"/>
      <c r="GZ251" s="177"/>
      <c r="HA251" s="177"/>
      <c r="HB251" s="177"/>
      <c r="HC251" s="177"/>
      <c r="HD251" s="177"/>
      <c r="HE251" s="177"/>
      <c r="HF251" s="177"/>
      <c r="HG251" s="177"/>
      <c r="HH251" s="177"/>
      <c r="HI251" s="177"/>
      <c r="HJ251" s="177"/>
      <c r="HK251" s="177"/>
      <c r="HL251" s="177"/>
      <c r="HM251" s="177"/>
      <c r="HN251" s="177"/>
      <c r="HO251" s="177"/>
      <c r="HP251" s="177"/>
      <c r="HQ251" s="177"/>
      <c r="HR251" s="177"/>
      <c r="HS251" s="177"/>
      <c r="HT251" s="177"/>
      <c r="HU251" s="177"/>
      <c r="HV251" s="177"/>
      <c r="HW251" s="177"/>
      <c r="HX251" s="177"/>
      <c r="HY251" s="177"/>
      <c r="HZ251" s="177"/>
      <c r="IA251" s="177"/>
      <c r="IB251" s="177"/>
      <c r="IC251" s="177"/>
      <c r="ID251" s="177"/>
      <c r="IE251" s="177"/>
      <c r="IF251" s="177"/>
      <c r="IG251" s="177"/>
      <c r="IH251" s="177"/>
      <c r="II251" s="177"/>
      <c r="IJ251" s="177"/>
      <c r="IK251" s="177"/>
      <c r="IL251" s="177"/>
      <c r="IM251" s="177"/>
      <c r="IN251" s="177"/>
      <c r="IO251" s="177"/>
      <c r="IP251" s="177"/>
      <c r="IQ251" s="177"/>
      <c r="IR251" s="177"/>
      <c r="IS251" s="177"/>
      <c r="IT251" s="177"/>
      <c r="IU251" s="177"/>
      <c r="IV251" s="177"/>
      <c r="IW251" s="177"/>
      <c r="IX251" s="177"/>
      <c r="IY251" s="177"/>
      <c r="IZ251" s="177"/>
      <c r="JA251" s="177"/>
      <c r="JB251" s="177"/>
      <c r="JC251" s="177"/>
      <c r="JD251" s="177"/>
      <c r="JE251" s="177"/>
      <c r="JF251" s="177"/>
      <c r="JG251" s="177"/>
      <c r="JH251" s="177"/>
      <c r="JI251" s="177"/>
      <c r="JJ251" s="177"/>
      <c r="JK251" s="177"/>
      <c r="JL251" s="177"/>
      <c r="JM251" s="177"/>
      <c r="JN251" s="177"/>
      <c r="JO251" s="177"/>
      <c r="JP251" s="177"/>
      <c r="JQ251" s="177"/>
      <c r="JR251" s="177"/>
      <c r="JS251" s="177"/>
      <c r="JT251" s="177"/>
      <c r="JU251" s="177"/>
      <c r="JV251" s="177"/>
      <c r="JW251" s="177"/>
      <c r="JX251" s="177"/>
      <c r="JY251" s="177"/>
      <c r="JZ251" s="177"/>
      <c r="KA251" s="177"/>
      <c r="KB251" s="177"/>
      <c r="KC251" s="177"/>
      <c r="KD251" s="177"/>
      <c r="KE251" s="177"/>
      <c r="KF251" s="177"/>
      <c r="KG251" s="177"/>
      <c r="KH251" s="177"/>
      <c r="KI251" s="177"/>
      <c r="KJ251" s="177"/>
      <c r="KK251" s="177"/>
      <c r="KL251" s="177"/>
      <c r="KM251" s="177"/>
      <c r="KN251" s="177"/>
      <c r="KO251" s="177"/>
      <c r="KP251" s="177"/>
      <c r="KQ251" s="177"/>
      <c r="KR251" s="177"/>
      <c r="KS251" s="177"/>
      <c r="KT251" s="177"/>
      <c r="KU251" s="177"/>
      <c r="KV251" s="177"/>
      <c r="KW251" s="177"/>
      <c r="KX251" s="177"/>
      <c r="KY251" s="177"/>
      <c r="KZ251" s="177"/>
      <c r="LA251" s="177"/>
      <c r="LB251" s="177"/>
      <c r="LC251" s="177"/>
      <c r="LD251" s="177"/>
      <c r="LE251" s="177"/>
      <c r="LF251" s="177"/>
      <c r="LG251" s="177"/>
      <c r="LH251" s="177"/>
      <c r="LI251" s="177"/>
      <c r="LJ251" s="177"/>
      <c r="LK251" s="177"/>
      <c r="LL251" s="177"/>
      <c r="LM251" s="177"/>
      <c r="LN251" s="177"/>
      <c r="LO251" s="177"/>
      <c r="LP251" s="177"/>
      <c r="LQ251" s="177"/>
      <c r="LR251" s="177"/>
      <c r="LS251" s="177"/>
      <c r="LT251" s="177"/>
      <c r="LU251" s="177"/>
      <c r="LV251" s="177"/>
      <c r="LW251" s="177"/>
      <c r="LX251" s="177"/>
      <c r="LY251" s="177"/>
      <c r="LZ251" s="177"/>
      <c r="MA251" s="177"/>
      <c r="MB251" s="177"/>
      <c r="MC251" s="177"/>
      <c r="MD251" s="177"/>
      <c r="ME251" s="177"/>
      <c r="MF251" s="177"/>
      <c r="MG251" s="177"/>
      <c r="MH251" s="177"/>
      <c r="MI251" s="177"/>
      <c r="MJ251" s="177"/>
      <c r="MK251" s="177"/>
      <c r="ML251" s="177"/>
      <c r="MM251" s="177"/>
      <c r="MN251" s="177"/>
      <c r="MO251" s="177"/>
      <c r="MP251" s="177"/>
      <c r="MQ251" s="177"/>
      <c r="MR251" s="177"/>
      <c r="MS251" s="177"/>
      <c r="MT251" s="177"/>
      <c r="MU251" s="177"/>
      <c r="MV251" s="177"/>
      <c r="MW251" s="177"/>
      <c r="MX251" s="177"/>
      <c r="MY251" s="177"/>
      <c r="MZ251" s="177"/>
      <c r="NA251" s="177"/>
      <c r="NB251" s="177"/>
      <c r="NC251" s="177"/>
      <c r="ND251" s="177"/>
      <c r="NE251" s="177"/>
      <c r="NF251" s="177"/>
      <c r="NG251" s="177"/>
      <c r="NH251" s="177"/>
      <c r="NI251" s="177"/>
      <c r="NJ251" s="177"/>
      <c r="NK251" s="177"/>
      <c r="NL251" s="177"/>
      <c r="NM251" s="177"/>
      <c r="NN251" s="177"/>
      <c r="NO251" s="177"/>
      <c r="NP251" s="177"/>
      <c r="NQ251" s="177"/>
      <c r="NR251" s="177"/>
      <c r="NS251" s="177"/>
      <c r="NT251" s="177"/>
      <c r="NU251" s="177"/>
      <c r="NV251" s="177"/>
      <c r="NW251" s="177"/>
      <c r="NX251" s="177"/>
      <c r="NY251" s="177"/>
      <c r="NZ251" s="177"/>
      <c r="OA251" s="177"/>
      <c r="OB251" s="177"/>
      <c r="OC251" s="177"/>
      <c r="OD251" s="177"/>
      <c r="OE251" s="177"/>
      <c r="OF251" s="177"/>
      <c r="OG251" s="177"/>
      <c r="OH251" s="177"/>
      <c r="OI251" s="177"/>
      <c r="OJ251" s="177"/>
      <c r="OK251" s="177"/>
      <c r="OL251" s="177"/>
      <c r="OM251" s="177"/>
      <c r="ON251" s="177"/>
      <c r="OO251" s="177"/>
      <c r="OP251" s="177"/>
      <c r="OQ251" s="177"/>
      <c r="OR251" s="177"/>
      <c r="OS251" s="177"/>
      <c r="OT251" s="177"/>
      <c r="OU251" s="177"/>
      <c r="OV251" s="177"/>
      <c r="OW251" s="177"/>
      <c r="OX251" s="177"/>
      <c r="OY251" s="177"/>
      <c r="OZ251" s="177"/>
      <c r="PA251" s="177"/>
      <c r="PB251" s="177"/>
      <c r="PC251" s="177"/>
      <c r="PD251" s="177"/>
      <c r="PE251" s="177"/>
      <c r="PF251" s="177"/>
      <c r="PG251" s="177"/>
      <c r="PH251" s="177"/>
      <c r="PI251" s="177"/>
      <c r="PJ251" s="177"/>
      <c r="PK251" s="177"/>
      <c r="PL251" s="177"/>
      <c r="PM251" s="177"/>
      <c r="PN251" s="177"/>
      <c r="PO251" s="177"/>
      <c r="PP251" s="177"/>
      <c r="PQ251" s="177"/>
      <c r="PR251" s="177"/>
      <c r="PS251" s="177"/>
      <c r="PT251" s="177"/>
      <c r="PU251" s="177"/>
      <c r="PV251" s="177"/>
      <c r="PW251" s="177"/>
      <c r="PX251" s="177"/>
      <c r="PY251" s="177"/>
      <c r="PZ251" s="177"/>
      <c r="QA251" s="177"/>
      <c r="QB251" s="177"/>
      <c r="QC251" s="177"/>
      <c r="QD251" s="177"/>
      <c r="QE251" s="177"/>
      <c r="QF251" s="177"/>
      <c r="QG251" s="177"/>
      <c r="QH251" s="177"/>
      <c r="QI251" s="177"/>
      <c r="QJ251" s="177"/>
      <c r="QK251" s="177"/>
      <c r="QL251" s="177"/>
      <c r="QM251" s="177"/>
      <c r="QN251" s="177"/>
      <c r="QO251" s="177"/>
      <c r="QP251" s="177"/>
      <c r="QQ251" s="177"/>
      <c r="QR251" s="177"/>
      <c r="QS251" s="177"/>
      <c r="QT251" s="177"/>
      <c r="QU251" s="177"/>
      <c r="QV251" s="177"/>
      <c r="QW251" s="177"/>
      <c r="QX251" s="177"/>
      <c r="QY251" s="177"/>
      <c r="QZ251" s="177"/>
      <c r="RA251" s="177"/>
      <c r="RB251" s="177"/>
      <c r="RC251" s="177"/>
      <c r="RD251" s="177"/>
      <c r="RE251" s="177"/>
      <c r="RF251" s="177"/>
      <c r="RG251" s="177"/>
      <c r="RH251" s="177"/>
      <c r="RI251" s="177"/>
      <c r="RJ251" s="177"/>
      <c r="RK251" s="177"/>
      <c r="RL251" s="177"/>
      <c r="RM251" s="177"/>
      <c r="RN251" s="177"/>
      <c r="RO251" s="177"/>
      <c r="RP251" s="177"/>
      <c r="RQ251" s="177"/>
      <c r="RR251" s="177"/>
      <c r="RS251" s="177"/>
      <c r="RT251" s="177"/>
      <c r="RU251" s="177"/>
      <c r="RV251" s="177"/>
      <c r="RW251" s="177"/>
      <c r="RX251" s="177"/>
      <c r="RY251" s="177"/>
      <c r="RZ251" s="177"/>
      <c r="SA251" s="177"/>
      <c r="SB251" s="177"/>
      <c r="SC251" s="177"/>
      <c r="SD251" s="177"/>
      <c r="SE251" s="177"/>
      <c r="SF251" s="177"/>
      <c r="SG251" s="177"/>
      <c r="SH251" s="177"/>
      <c r="SI251" s="177"/>
      <c r="SJ251" s="177"/>
      <c r="SK251" s="177"/>
      <c r="SL251" s="177"/>
      <c r="SM251" s="177"/>
      <c r="SN251" s="177"/>
      <c r="SO251" s="177"/>
      <c r="SP251" s="177"/>
      <c r="SQ251" s="177"/>
      <c r="SR251" s="177"/>
      <c r="SS251" s="177"/>
    </row>
    <row r="252" spans="1:513" s="171" customFormat="1" ht="30" customHeight="1" x14ac:dyDescent="0.3">
      <c r="A252" s="168"/>
      <c r="B252" s="169"/>
      <c r="C252" s="169"/>
      <c r="D252" s="170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92"/>
    </row>
    <row r="253" spans="1:513" s="135" customFormat="1" ht="26.25" x14ac:dyDescent="0.4">
      <c r="A253" s="166" t="s">
        <v>478</v>
      </c>
      <c r="B253" s="166"/>
      <c r="C253" s="166"/>
      <c r="D253" s="166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92"/>
    </row>
    <row r="254" spans="1:513" s="171" customFormat="1" ht="36" customHeight="1" x14ac:dyDescent="0.3">
      <c r="A254" s="195" t="s">
        <v>567</v>
      </c>
      <c r="B254" s="195"/>
      <c r="C254" s="169"/>
      <c r="D254" s="170"/>
      <c r="E254" s="167"/>
      <c r="F254" s="167"/>
      <c r="G254" s="167"/>
      <c r="H254" s="167"/>
      <c r="I254" s="167"/>
      <c r="J254" s="17"/>
      <c r="K254" s="167"/>
      <c r="L254" s="167"/>
      <c r="M254" s="167"/>
      <c r="N254" s="167"/>
      <c r="O254" s="167"/>
      <c r="P254" s="192"/>
    </row>
    <row r="255" spans="1:513" s="142" customFormat="1" ht="26.25" x14ac:dyDescent="0.4">
      <c r="A255" s="139"/>
      <c r="B255" s="140"/>
      <c r="C255" s="141"/>
      <c r="J255" s="4"/>
      <c r="P255" s="192"/>
    </row>
    <row r="258" spans="1:15" ht="38.25" x14ac:dyDescent="0.55000000000000004">
      <c r="A258" s="189" t="s">
        <v>615</v>
      </c>
      <c r="B258" s="189"/>
      <c r="C258" s="189"/>
      <c r="D258" s="189"/>
      <c r="E258" s="189"/>
      <c r="F258" s="189"/>
      <c r="G258" s="189"/>
      <c r="H258" s="189"/>
      <c r="I258" s="189"/>
      <c r="M258" s="190" t="s">
        <v>616</v>
      </c>
      <c r="N258" s="190"/>
      <c r="O258" s="190"/>
    </row>
  </sheetData>
  <mergeCells count="34">
    <mergeCell ref="N16:N17"/>
    <mergeCell ref="D15:H15"/>
    <mergeCell ref="J3:O3"/>
    <mergeCell ref="J16:J17"/>
    <mergeCell ref="A254:B254"/>
    <mergeCell ref="O15:O17"/>
    <mergeCell ref="J4:O4"/>
    <mergeCell ref="J5:O5"/>
    <mergeCell ref="J6:O6"/>
    <mergeCell ref="J8:O8"/>
    <mergeCell ref="I15:N15"/>
    <mergeCell ref="P38:P68"/>
    <mergeCell ref="P69:P99"/>
    <mergeCell ref="P100:P111"/>
    <mergeCell ref="P112:P128"/>
    <mergeCell ref="J1:O1"/>
    <mergeCell ref="A10:O10"/>
    <mergeCell ref="B15:B17"/>
    <mergeCell ref="C15:C17"/>
    <mergeCell ref="A15:A17"/>
    <mergeCell ref="D16:D17"/>
    <mergeCell ref="E16:E17"/>
    <mergeCell ref="F16:G16"/>
    <mergeCell ref="K16:K17"/>
    <mergeCell ref="H16:H17"/>
    <mergeCell ref="I16:I17"/>
    <mergeCell ref="L16:M16"/>
    <mergeCell ref="A258:I258"/>
    <mergeCell ref="M258:O258"/>
    <mergeCell ref="P129:P137"/>
    <mergeCell ref="P138:P171"/>
    <mergeCell ref="P172:P205"/>
    <mergeCell ref="P206:P233"/>
    <mergeCell ref="P234:P255"/>
  </mergeCells>
  <phoneticPr fontId="3" type="noConversion"/>
  <printOptions horizontalCentered="1"/>
  <pageMargins left="0" right="0" top="0.86614173228346458" bottom="0.78740157480314965" header="0.39370078740157483" footer="0"/>
  <pageSetup paperSize="9" scale="43" fitToHeight="100" orientation="landscape" verticalDpi="300" r:id="rId1"/>
  <headerFooter scaleWithDoc="0" alignWithMargins="0">
    <oddHeader xml:space="preserve">&amp;RПродовження додатку
</oddHeader>
  </headerFooter>
  <rowBreaks count="2" manualBreakCount="2">
    <brk id="184" max="15" man="1"/>
    <brk id="2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2021-07-30T12:06:04Z</cp:lastPrinted>
  <dcterms:created xsi:type="dcterms:W3CDTF">2014-01-17T10:52:16Z</dcterms:created>
  <dcterms:modified xsi:type="dcterms:W3CDTF">2021-09-01T06:11:39Z</dcterms:modified>
</cp:coreProperties>
</file>