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ВНЕСЕННЯ ЗМІН ДО БЮДЖЕТУ\серпень\чергова СМР\Доопрацьовано\МВК\додатки до додатку\"/>
    </mc:Choice>
  </mc:AlternateContent>
  <bookViews>
    <workbookView xWindow="0" yWindow="0" windowWidth="28800" windowHeight="11835" tabRatio="495" activeTab="1"/>
  </bookViews>
  <sheets>
    <sheet name="дод 2" sheetId="1" r:id="rId1"/>
    <sheet name="дод 5" sheetId="3" r:id="rId2"/>
  </sheets>
  <definedNames>
    <definedName name="_xlnm.Print_Titles" localSheetId="0">'дод 2'!$14:$16</definedName>
    <definedName name="_xlnm.Print_Titles" localSheetId="1">'дод 5'!$15:$17</definedName>
    <definedName name="_xlnm.Print_Area" localSheetId="0">'дод 2'!$A$1:$Q$319</definedName>
    <definedName name="_xlnm.Print_Area" localSheetId="1">'дод 5'!$A$1:$P$259</definedName>
  </definedNames>
  <calcPr calcId="162913"/>
</workbook>
</file>

<file path=xl/calcChain.xml><?xml version="1.0" encoding="utf-8"?>
<calcChain xmlns="http://schemas.openxmlformats.org/spreadsheetml/2006/main">
  <c r="F277" i="1" l="1"/>
  <c r="F54" i="1"/>
  <c r="O111" i="1" l="1"/>
  <c r="K111" i="1"/>
  <c r="O114" i="1" l="1"/>
  <c r="K114" i="1"/>
  <c r="F300" i="1"/>
  <c r="F299" i="1"/>
  <c r="O233" i="1"/>
  <c r="K233" i="1"/>
  <c r="F230" i="1"/>
  <c r="O202" i="1"/>
  <c r="K202" i="1"/>
  <c r="F201" i="1"/>
  <c r="O112" i="1"/>
  <c r="K112" i="1"/>
  <c r="O97" i="1"/>
  <c r="K97" i="1"/>
  <c r="O78" i="1"/>
  <c r="K78" i="1"/>
  <c r="F78" i="1"/>
  <c r="F77" i="1"/>
  <c r="O77" i="1"/>
  <c r="K77" i="1"/>
  <c r="F35" i="1"/>
  <c r="F39" i="1"/>
  <c r="G38" i="1"/>
  <c r="F38" i="1"/>
  <c r="O194" i="1" l="1"/>
  <c r="K194" i="1"/>
  <c r="F174" i="1" l="1"/>
  <c r="O161" i="1" l="1"/>
  <c r="N161" i="1"/>
  <c r="M161" i="1"/>
  <c r="L161" i="1"/>
  <c r="K161" i="1"/>
  <c r="I161" i="1"/>
  <c r="H161" i="1"/>
  <c r="G161" i="1"/>
  <c r="F161" i="1"/>
  <c r="O160" i="1"/>
  <c r="N160" i="1"/>
  <c r="M160" i="1"/>
  <c r="L160" i="1"/>
  <c r="K160" i="1"/>
  <c r="I160" i="1"/>
  <c r="H160" i="1"/>
  <c r="G160" i="1"/>
  <c r="F160" i="1"/>
  <c r="O159" i="1"/>
  <c r="N159" i="1"/>
  <c r="M159" i="1"/>
  <c r="L159" i="1"/>
  <c r="K159" i="1"/>
  <c r="I159" i="1"/>
  <c r="H159" i="1"/>
  <c r="G159" i="1"/>
  <c r="M241" i="3" l="1"/>
  <c r="L241" i="3"/>
  <c r="K241" i="3"/>
  <c r="H241" i="3"/>
  <c r="G241" i="3"/>
  <c r="F241" i="3"/>
  <c r="N63" i="1"/>
  <c r="M63" i="1"/>
  <c r="I63" i="1"/>
  <c r="J119" i="1"/>
  <c r="F119" i="1"/>
  <c r="E119" i="1" s="1"/>
  <c r="P119" i="1" s="1"/>
  <c r="G77" i="1"/>
  <c r="G63" i="1" s="1"/>
  <c r="G78" i="1"/>
  <c r="H231" i="1"/>
  <c r="H230" i="1"/>
  <c r="H191" i="1"/>
  <c r="H174" i="1"/>
  <c r="H145" i="1"/>
  <c r="H33" i="1"/>
  <c r="H56" i="1"/>
  <c r="O259" i="1" l="1"/>
  <c r="K259" i="1"/>
  <c r="E304" i="1"/>
  <c r="O244" i="1"/>
  <c r="K244" i="1"/>
  <c r="O230" i="1"/>
  <c r="K230" i="1"/>
  <c r="I44" i="1"/>
  <c r="G258" i="1"/>
  <c r="F258" i="1"/>
  <c r="F33" i="1" l="1"/>
  <c r="N190" i="3" l="1"/>
  <c r="M190" i="3"/>
  <c r="L190" i="3"/>
  <c r="K190" i="3"/>
  <c r="J190" i="3"/>
  <c r="H190" i="3"/>
  <c r="G190" i="3"/>
  <c r="F190" i="3"/>
  <c r="E190" i="3"/>
  <c r="N239" i="3"/>
  <c r="M239" i="3"/>
  <c r="L239" i="3"/>
  <c r="K239" i="3"/>
  <c r="J239" i="3"/>
  <c r="H239" i="3"/>
  <c r="G239" i="3"/>
  <c r="F239" i="3"/>
  <c r="E239" i="3"/>
  <c r="M175" i="3"/>
  <c r="L175" i="3"/>
  <c r="K175" i="3"/>
  <c r="H175" i="3"/>
  <c r="G175" i="3"/>
  <c r="F175" i="3"/>
  <c r="E175" i="3"/>
  <c r="N156" i="1"/>
  <c r="M156" i="1"/>
  <c r="L156" i="1"/>
  <c r="I156" i="1"/>
  <c r="G156" i="1"/>
  <c r="F131" i="1" l="1"/>
  <c r="O147" i="1"/>
  <c r="K147" i="1"/>
  <c r="H298" i="1"/>
  <c r="F298" i="1"/>
  <c r="H287" i="1"/>
  <c r="F287" i="1"/>
  <c r="H284" i="1"/>
  <c r="F284" i="1"/>
  <c r="H277" i="1"/>
  <c r="H254" i="1"/>
  <c r="F254" i="1"/>
  <c r="H222" i="1"/>
  <c r="F222" i="1"/>
  <c r="H209" i="1"/>
  <c r="H210" i="1"/>
  <c r="F210" i="1"/>
  <c r="F209" i="1"/>
  <c r="H208" i="1"/>
  <c r="F208" i="1"/>
  <c r="H207" i="1"/>
  <c r="F207" i="1"/>
  <c r="H206" i="1"/>
  <c r="H199" i="1"/>
  <c r="F206" i="1"/>
  <c r="F199" i="1"/>
  <c r="F191" i="1"/>
  <c r="H162" i="1"/>
  <c r="H156" i="1" s="1"/>
  <c r="F162" i="1"/>
  <c r="F145" i="1"/>
  <c r="F140" i="1"/>
  <c r="F138" i="1"/>
  <c r="F136" i="1"/>
  <c r="H130" i="1"/>
  <c r="F130" i="1"/>
  <c r="H109" i="1"/>
  <c r="F109" i="1"/>
  <c r="H96" i="1"/>
  <c r="F96" i="1"/>
  <c r="H93" i="1"/>
  <c r="F93" i="1"/>
  <c r="H91" i="1"/>
  <c r="F91" i="1"/>
  <c r="H90" i="1"/>
  <c r="F90" i="1"/>
  <c r="H79" i="1"/>
  <c r="F79" i="1"/>
  <c r="H78" i="1"/>
  <c r="H77" i="1"/>
  <c r="H76" i="1"/>
  <c r="H63" i="1" s="1"/>
  <c r="F76" i="1"/>
  <c r="H58" i="1"/>
  <c r="F58" i="1"/>
  <c r="F56" i="1"/>
  <c r="F41" i="1"/>
  <c r="H40" i="1"/>
  <c r="H18" i="1" s="1"/>
  <c r="F40" i="1"/>
  <c r="H38" i="1"/>
  <c r="H34" i="1"/>
  <c r="F34" i="1"/>
  <c r="H31" i="1"/>
  <c r="F31" i="1"/>
  <c r="H28" i="1"/>
  <c r="F28" i="1"/>
  <c r="H21" i="1"/>
  <c r="F21" i="1"/>
  <c r="O271" i="1"/>
  <c r="K271" i="1"/>
  <c r="F271" i="1"/>
  <c r="O268" i="1"/>
  <c r="K268" i="1"/>
  <c r="O266" i="1"/>
  <c r="K266" i="1"/>
  <c r="O262" i="1"/>
  <c r="K262" i="1"/>
  <c r="N216" i="1"/>
  <c r="M216" i="1"/>
  <c r="H216" i="1"/>
  <c r="G216" i="1"/>
  <c r="O251" i="1"/>
  <c r="K251" i="1"/>
  <c r="F251" i="1"/>
  <c r="J250" i="1"/>
  <c r="I239" i="3" s="1"/>
  <c r="E250" i="1"/>
  <c r="D239" i="3" s="1"/>
  <c r="F231" i="1"/>
  <c r="O227" i="1"/>
  <c r="K227" i="1"/>
  <c r="F195" i="1"/>
  <c r="F192" i="1"/>
  <c r="F175" i="1"/>
  <c r="F169" i="1"/>
  <c r="F166" i="1"/>
  <c r="O154" i="1"/>
  <c r="N241" i="3" s="1"/>
  <c r="K154" i="1"/>
  <c r="J241" i="3" s="1"/>
  <c r="F146" i="1"/>
  <c r="N68" i="3"/>
  <c r="M68" i="3"/>
  <c r="L68" i="3"/>
  <c r="K68" i="3"/>
  <c r="J68" i="3"/>
  <c r="H68" i="3"/>
  <c r="G68" i="3"/>
  <c r="F68" i="3"/>
  <c r="E68" i="3"/>
  <c r="N65" i="3"/>
  <c r="M65" i="3"/>
  <c r="L65" i="3"/>
  <c r="K65" i="3"/>
  <c r="J65" i="3"/>
  <c r="H65" i="3"/>
  <c r="G65" i="3"/>
  <c r="F65" i="3"/>
  <c r="E65" i="3"/>
  <c r="J100" i="1"/>
  <c r="E100" i="1"/>
  <c r="D68" i="3" s="1"/>
  <c r="J97" i="1"/>
  <c r="I65" i="3" s="1"/>
  <c r="E97" i="1"/>
  <c r="D65" i="3" s="1"/>
  <c r="O61" i="1"/>
  <c r="K61" i="1"/>
  <c r="F61" i="1"/>
  <c r="N18" i="1"/>
  <c r="M18" i="1"/>
  <c r="L18" i="1"/>
  <c r="I18" i="1"/>
  <c r="J46" i="1"/>
  <c r="I190" i="3" s="1"/>
  <c r="E46" i="1"/>
  <c r="D190" i="3" s="1"/>
  <c r="F27" i="1"/>
  <c r="F26" i="1"/>
  <c r="O75" i="1"/>
  <c r="N75" i="1"/>
  <c r="M75" i="1"/>
  <c r="L75" i="1"/>
  <c r="K75" i="1"/>
  <c r="I75" i="1"/>
  <c r="H75" i="1"/>
  <c r="G75" i="1"/>
  <c r="F75" i="1"/>
  <c r="O73" i="1"/>
  <c r="N73" i="1"/>
  <c r="M73" i="1"/>
  <c r="L73" i="1"/>
  <c r="K73" i="1"/>
  <c r="I73" i="1"/>
  <c r="H73" i="1"/>
  <c r="G73" i="1"/>
  <c r="F73" i="1"/>
  <c r="O72" i="1"/>
  <c r="N72" i="1"/>
  <c r="M72" i="1"/>
  <c r="L72" i="1"/>
  <c r="K72" i="1"/>
  <c r="I72" i="1"/>
  <c r="H72" i="1"/>
  <c r="G72" i="1"/>
  <c r="F72" i="1"/>
  <c r="N147" i="3"/>
  <c r="N143" i="3" s="1"/>
  <c r="M147" i="3"/>
  <c r="M143" i="3" s="1"/>
  <c r="L147" i="3"/>
  <c r="L143" i="3" s="1"/>
  <c r="K147" i="3"/>
  <c r="K143" i="3" s="1"/>
  <c r="J147" i="3"/>
  <c r="J143" i="3" s="1"/>
  <c r="H147" i="3"/>
  <c r="H143" i="3" s="1"/>
  <c r="G147" i="3"/>
  <c r="G143" i="3" s="1"/>
  <c r="F147" i="3"/>
  <c r="F143" i="3" s="1"/>
  <c r="E147" i="3"/>
  <c r="E143" i="3" s="1"/>
  <c r="N131" i="3"/>
  <c r="N101" i="3" s="1"/>
  <c r="M131" i="3"/>
  <c r="M101" i="3" s="1"/>
  <c r="L131" i="3"/>
  <c r="L101" i="3" s="1"/>
  <c r="K131" i="3"/>
  <c r="K101" i="3" s="1"/>
  <c r="J131" i="3"/>
  <c r="J101" i="3" s="1"/>
  <c r="H131" i="3"/>
  <c r="H101" i="3" s="1"/>
  <c r="G131" i="3"/>
  <c r="G101" i="3" s="1"/>
  <c r="F131" i="3"/>
  <c r="F101" i="3" s="1"/>
  <c r="E131" i="3"/>
  <c r="E101" i="3" s="1"/>
  <c r="N130" i="3"/>
  <c r="M130" i="3"/>
  <c r="L130" i="3"/>
  <c r="K130" i="3"/>
  <c r="J130" i="3"/>
  <c r="H130" i="3"/>
  <c r="G130" i="3"/>
  <c r="F130" i="3"/>
  <c r="E130" i="3"/>
  <c r="N256" i="1"/>
  <c r="M256" i="1"/>
  <c r="L256" i="1"/>
  <c r="I256" i="1"/>
  <c r="H256" i="1"/>
  <c r="G256" i="1"/>
  <c r="J264" i="1"/>
  <c r="E264" i="1"/>
  <c r="F37" i="1"/>
  <c r="F36" i="1"/>
  <c r="O212" i="1"/>
  <c r="N175" i="3" s="1"/>
  <c r="K212" i="1"/>
  <c r="J175" i="3" s="1"/>
  <c r="E241" i="3" l="1"/>
  <c r="P100" i="1"/>
  <c r="O68" i="3" s="1"/>
  <c r="P250" i="1"/>
  <c r="O239" i="3" s="1"/>
  <c r="P264" i="1"/>
  <c r="P46" i="1"/>
  <c r="O190" i="3" s="1"/>
  <c r="I68" i="3"/>
  <c r="P97" i="1"/>
  <c r="O65" i="3" s="1"/>
  <c r="F256" i="1"/>
  <c r="F226" i="1"/>
  <c r="O87" i="1"/>
  <c r="K87" i="1"/>
  <c r="F87" i="1"/>
  <c r="O85" i="1"/>
  <c r="K85" i="1"/>
  <c r="F85" i="1"/>
  <c r="O55" i="1"/>
  <c r="K55" i="1"/>
  <c r="F55" i="1"/>
  <c r="O232" i="1"/>
  <c r="K232" i="1"/>
  <c r="O225" i="1"/>
  <c r="K225" i="1"/>
  <c r="O131" i="1"/>
  <c r="K131" i="1"/>
  <c r="F29" i="1"/>
  <c r="J188" i="1"/>
  <c r="E188" i="1"/>
  <c r="J187" i="1"/>
  <c r="I130" i="3" s="1"/>
  <c r="E187" i="1"/>
  <c r="J110" i="1"/>
  <c r="E110" i="1"/>
  <c r="E75" i="1" s="1"/>
  <c r="N70" i="3"/>
  <c r="N35" i="3" s="1"/>
  <c r="M70" i="3"/>
  <c r="M35" i="3" s="1"/>
  <c r="L70" i="3"/>
  <c r="L35" i="3" s="1"/>
  <c r="K70" i="3"/>
  <c r="K35" i="3" s="1"/>
  <c r="J70" i="3"/>
  <c r="J35" i="3" s="1"/>
  <c r="H70" i="3"/>
  <c r="H35" i="3" s="1"/>
  <c r="G70" i="3"/>
  <c r="G35" i="3" s="1"/>
  <c r="F70" i="3"/>
  <c r="F35" i="3" s="1"/>
  <c r="E70" i="3"/>
  <c r="E35" i="3" s="1"/>
  <c r="N69" i="3"/>
  <c r="M69" i="3"/>
  <c r="L69" i="3"/>
  <c r="K69" i="3"/>
  <c r="J69" i="3"/>
  <c r="H69" i="3"/>
  <c r="G69" i="3"/>
  <c r="F69" i="3"/>
  <c r="E69" i="3"/>
  <c r="N67" i="3"/>
  <c r="N34" i="3" s="1"/>
  <c r="M67" i="3"/>
  <c r="M34" i="3" s="1"/>
  <c r="L67" i="3"/>
  <c r="L34" i="3" s="1"/>
  <c r="K67" i="3"/>
  <c r="K34" i="3" s="1"/>
  <c r="J67" i="3"/>
  <c r="J34" i="3" s="1"/>
  <c r="H67" i="3"/>
  <c r="H34" i="3" s="1"/>
  <c r="G67" i="3"/>
  <c r="G34" i="3" s="1"/>
  <c r="F67" i="3"/>
  <c r="F34" i="3" s="1"/>
  <c r="E67" i="3"/>
  <c r="E34" i="3" s="1"/>
  <c r="N66" i="3"/>
  <c r="M66" i="3"/>
  <c r="L66" i="3"/>
  <c r="K66" i="3"/>
  <c r="J66" i="3"/>
  <c r="H66" i="3"/>
  <c r="G66" i="3"/>
  <c r="F66" i="3"/>
  <c r="E66" i="3"/>
  <c r="E102" i="1"/>
  <c r="E101" i="1"/>
  <c r="D69" i="3" s="1"/>
  <c r="E99" i="1"/>
  <c r="E98" i="1"/>
  <c r="D66" i="3" s="1"/>
  <c r="J102" i="1"/>
  <c r="J101" i="1"/>
  <c r="P101" i="1" s="1"/>
  <c r="O69" i="3" s="1"/>
  <c r="J99" i="1"/>
  <c r="J98" i="1"/>
  <c r="P98" i="1" s="1"/>
  <c r="O66" i="3" s="1"/>
  <c r="D131" i="3" l="1"/>
  <c r="D101" i="3" s="1"/>
  <c r="E161" i="1"/>
  <c r="I131" i="3"/>
  <c r="I101" i="3" s="1"/>
  <c r="J161" i="1"/>
  <c r="I147" i="3"/>
  <c r="I143" i="3" s="1"/>
  <c r="J75" i="1"/>
  <c r="P99" i="1"/>
  <c r="J73" i="1"/>
  <c r="P102" i="1"/>
  <c r="J72" i="1"/>
  <c r="D67" i="3"/>
  <c r="D34" i="3" s="1"/>
  <c r="E73" i="1"/>
  <c r="D70" i="3"/>
  <c r="D35" i="3" s="1"/>
  <c r="E72" i="1"/>
  <c r="P110" i="1"/>
  <c r="D147" i="3"/>
  <c r="D143" i="3" s="1"/>
  <c r="P187" i="1"/>
  <c r="O130" i="3" s="1"/>
  <c r="D130" i="3"/>
  <c r="P188" i="1"/>
  <c r="I66" i="3"/>
  <c r="I69" i="3"/>
  <c r="I67" i="3"/>
  <c r="I34" i="3" s="1"/>
  <c r="I70" i="3"/>
  <c r="I35" i="3" s="1"/>
  <c r="O113" i="1"/>
  <c r="K113" i="1"/>
  <c r="O131" i="3" l="1"/>
  <c r="O101" i="3" s="1"/>
  <c r="P161" i="1"/>
  <c r="O147" i="3"/>
  <c r="O143" i="3" s="1"/>
  <c r="P75" i="1"/>
  <c r="O70" i="3"/>
  <c r="O35" i="3" s="1"/>
  <c r="P72" i="1"/>
  <c r="O67" i="3"/>
  <c r="O34" i="3" s="1"/>
  <c r="P73" i="1"/>
  <c r="E233" i="3"/>
  <c r="E232" i="3" s="1"/>
  <c r="F233" i="3"/>
  <c r="F232" i="3" s="1"/>
  <c r="G233" i="3"/>
  <c r="G232" i="3" s="1"/>
  <c r="H233" i="3"/>
  <c r="H232" i="3" s="1"/>
  <c r="J233" i="3"/>
  <c r="J232" i="3" s="1"/>
  <c r="K233" i="3"/>
  <c r="K232" i="3" s="1"/>
  <c r="L233" i="3"/>
  <c r="L232" i="3" s="1"/>
  <c r="M233" i="3"/>
  <c r="M232" i="3" s="1"/>
  <c r="N233" i="3"/>
  <c r="N232" i="3" s="1"/>
  <c r="E236" i="3"/>
  <c r="E234" i="3" s="1"/>
  <c r="F236" i="3"/>
  <c r="F234" i="3" s="1"/>
  <c r="G236" i="3"/>
  <c r="G234" i="3" s="1"/>
  <c r="H236" i="3"/>
  <c r="H234" i="3" s="1"/>
  <c r="J236" i="3"/>
  <c r="J234" i="3" s="1"/>
  <c r="K236" i="3"/>
  <c r="K234" i="3" s="1"/>
  <c r="L236" i="3"/>
  <c r="L234" i="3" s="1"/>
  <c r="M236" i="3"/>
  <c r="M234" i="3" s="1"/>
  <c r="N236" i="3"/>
  <c r="N234" i="3" s="1"/>
  <c r="E237" i="3"/>
  <c r="E235" i="3" s="1"/>
  <c r="E231" i="3" s="1"/>
  <c r="F237" i="3"/>
  <c r="F235" i="3" s="1"/>
  <c r="F231" i="3" s="1"/>
  <c r="G237" i="3"/>
  <c r="G235" i="3" s="1"/>
  <c r="G231" i="3" s="1"/>
  <c r="H237" i="3"/>
  <c r="H235" i="3" s="1"/>
  <c r="H231" i="3" s="1"/>
  <c r="J237" i="3"/>
  <c r="J235" i="3" s="1"/>
  <c r="J231" i="3" s="1"/>
  <c r="K237" i="3"/>
  <c r="K235" i="3" s="1"/>
  <c r="K231" i="3" s="1"/>
  <c r="L237" i="3"/>
  <c r="L235" i="3" s="1"/>
  <c r="L231" i="3" s="1"/>
  <c r="M237" i="3"/>
  <c r="M235" i="3" s="1"/>
  <c r="M231" i="3" s="1"/>
  <c r="N237" i="3"/>
  <c r="N235" i="3" s="1"/>
  <c r="N231" i="3" s="1"/>
  <c r="E240" i="3"/>
  <c r="F240" i="3"/>
  <c r="G240" i="3"/>
  <c r="H240" i="3"/>
  <c r="J240" i="3"/>
  <c r="K240" i="3"/>
  <c r="L240" i="3"/>
  <c r="M240" i="3"/>
  <c r="N240" i="3"/>
  <c r="F242" i="3"/>
  <c r="G242" i="3"/>
  <c r="H242" i="3"/>
  <c r="J242" i="3"/>
  <c r="K242" i="3"/>
  <c r="L242" i="3"/>
  <c r="M242" i="3"/>
  <c r="N242" i="3"/>
  <c r="L238" i="3" l="1"/>
  <c r="G238" i="3"/>
  <c r="G230" i="3" s="1"/>
  <c r="M238" i="3"/>
  <c r="K238" i="3"/>
  <c r="H238" i="3"/>
  <c r="F238" i="3"/>
  <c r="F230" i="3" s="1"/>
  <c r="L230" i="3"/>
  <c r="H230" i="3"/>
  <c r="M230" i="3"/>
  <c r="K230" i="3"/>
  <c r="I229" i="1"/>
  <c r="F229" i="1"/>
  <c r="O116" i="1"/>
  <c r="L116" i="1"/>
  <c r="L63" i="1" s="1"/>
  <c r="F224" i="1" l="1"/>
  <c r="F227" i="1" l="1"/>
  <c r="F216" i="1" s="1"/>
  <c r="F114" i="1" l="1"/>
  <c r="O79" i="1"/>
  <c r="K79" i="1"/>
  <c r="O104" i="1" l="1"/>
  <c r="K104" i="1"/>
  <c r="F104" i="1"/>
  <c r="O103" i="1"/>
  <c r="K103" i="1"/>
  <c r="F103" i="1"/>
  <c r="O76" i="1"/>
  <c r="K76" i="1"/>
  <c r="L302" i="1"/>
  <c r="O39" i="1"/>
  <c r="K39" i="1"/>
  <c r="E242" i="3"/>
  <c r="F200" i="1"/>
  <c r="F107" i="1"/>
  <c r="F167" i="1"/>
  <c r="F144" i="1"/>
  <c r="F142" i="1"/>
  <c r="F181" i="1"/>
  <c r="F63" i="1" l="1"/>
  <c r="N184" i="3"/>
  <c r="M184" i="3"/>
  <c r="L184" i="3"/>
  <c r="K184" i="3"/>
  <c r="J184" i="3"/>
  <c r="H184" i="3"/>
  <c r="G184" i="3"/>
  <c r="F184" i="3"/>
  <c r="K237" i="1"/>
  <c r="O220" i="1"/>
  <c r="N220" i="1"/>
  <c r="M220" i="1"/>
  <c r="L220" i="1"/>
  <c r="K220" i="1"/>
  <c r="I220" i="1"/>
  <c r="H220" i="1"/>
  <c r="G220" i="1"/>
  <c r="F220" i="1"/>
  <c r="M182" i="3"/>
  <c r="L182" i="3"/>
  <c r="K182" i="3"/>
  <c r="J182" i="3"/>
  <c r="H182" i="3"/>
  <c r="G182" i="3"/>
  <c r="F182" i="3"/>
  <c r="E182" i="3"/>
  <c r="N183" i="3"/>
  <c r="M183" i="3"/>
  <c r="L183" i="3"/>
  <c r="K183" i="3"/>
  <c r="J183" i="3"/>
  <c r="H183" i="3"/>
  <c r="G183" i="3"/>
  <c r="F183" i="3"/>
  <c r="E183" i="3"/>
  <c r="O38" i="1"/>
  <c r="K38" i="1"/>
  <c r="F280" i="1"/>
  <c r="E184" i="3" s="1"/>
  <c r="O279" i="1"/>
  <c r="K279" i="1"/>
  <c r="K276" i="1" s="1"/>
  <c r="O276" i="1"/>
  <c r="N276" i="1"/>
  <c r="M276" i="1"/>
  <c r="I276" i="1"/>
  <c r="H276" i="1"/>
  <c r="G276" i="1"/>
  <c r="J280" i="1"/>
  <c r="E280" i="1"/>
  <c r="O237" i="1"/>
  <c r="N182" i="3" s="1"/>
  <c r="O128" i="1"/>
  <c r="N128" i="1"/>
  <c r="M128" i="1"/>
  <c r="L128" i="1"/>
  <c r="K128" i="1"/>
  <c r="I128" i="1"/>
  <c r="H128" i="1"/>
  <c r="G128" i="1"/>
  <c r="F128" i="1"/>
  <c r="O74" i="1"/>
  <c r="N74" i="1"/>
  <c r="M74" i="1"/>
  <c r="L74" i="1"/>
  <c r="K74" i="1"/>
  <c r="I74" i="1"/>
  <c r="H74" i="1"/>
  <c r="G74" i="1"/>
  <c r="F74" i="1"/>
  <c r="E113" i="1"/>
  <c r="E74" i="1" s="1"/>
  <c r="E112" i="1"/>
  <c r="J113" i="1"/>
  <c r="P113" i="1" s="1"/>
  <c r="P74" i="1" s="1"/>
  <c r="J112" i="1"/>
  <c r="O208" i="1"/>
  <c r="K208" i="1"/>
  <c r="I243" i="1"/>
  <c r="O226" i="1"/>
  <c r="K226" i="1"/>
  <c r="O191" i="1"/>
  <c r="O156" i="1" s="1"/>
  <c r="K191" i="1"/>
  <c r="K156" i="1" s="1"/>
  <c r="O287" i="1"/>
  <c r="K287" i="1"/>
  <c r="O254" i="1"/>
  <c r="K254" i="1"/>
  <c r="O209" i="1"/>
  <c r="K209" i="1"/>
  <c r="O40" i="1"/>
  <c r="K40" i="1"/>
  <c r="L249" i="1"/>
  <c r="P280" i="1" l="1"/>
  <c r="P112" i="1"/>
  <c r="F276" i="1"/>
  <c r="J74" i="1"/>
  <c r="N238" i="3" l="1"/>
  <c r="N230" i="3" s="1"/>
  <c r="J238" i="3"/>
  <c r="J230" i="3" s="1"/>
  <c r="F71" i="1"/>
  <c r="M20" i="3"/>
  <c r="L20" i="3"/>
  <c r="K20" i="3"/>
  <c r="H20" i="3"/>
  <c r="F20" i="3"/>
  <c r="N53" i="3" l="1"/>
  <c r="N27" i="3" s="1"/>
  <c r="M53" i="3"/>
  <c r="M27" i="3" s="1"/>
  <c r="L53" i="3"/>
  <c r="L27" i="3" s="1"/>
  <c r="K53" i="3"/>
  <c r="K27" i="3" s="1"/>
  <c r="J53" i="3"/>
  <c r="J27" i="3" s="1"/>
  <c r="H53" i="3"/>
  <c r="H27" i="3" s="1"/>
  <c r="G53" i="3"/>
  <c r="G27" i="3" s="1"/>
  <c r="F53" i="3"/>
  <c r="F27" i="3" s="1"/>
  <c r="E53" i="3"/>
  <c r="E27" i="3" s="1"/>
  <c r="O66" i="1"/>
  <c r="N66" i="1"/>
  <c r="M66" i="1"/>
  <c r="L66" i="1"/>
  <c r="K66" i="1"/>
  <c r="I66" i="1"/>
  <c r="H66" i="1"/>
  <c r="G66" i="1"/>
  <c r="F66" i="1"/>
  <c r="J86" i="1"/>
  <c r="I53" i="3" s="1"/>
  <c r="I27" i="3" s="1"/>
  <c r="E86" i="1"/>
  <c r="D53" i="3" s="1"/>
  <c r="D27" i="3" s="1"/>
  <c r="G57" i="1"/>
  <c r="F57" i="1"/>
  <c r="F211" i="1"/>
  <c r="N22" i="3"/>
  <c r="M22" i="3"/>
  <c r="L22" i="3"/>
  <c r="K22" i="3"/>
  <c r="J22" i="3"/>
  <c r="H22" i="3"/>
  <c r="G22" i="3"/>
  <c r="F22" i="3"/>
  <c r="E22" i="3"/>
  <c r="J223" i="1"/>
  <c r="E223" i="1"/>
  <c r="O146" i="1"/>
  <c r="K146" i="1"/>
  <c r="G20" i="3"/>
  <c r="O265" i="1"/>
  <c r="K265" i="1"/>
  <c r="O263" i="1"/>
  <c r="K263" i="1"/>
  <c r="O267" i="1"/>
  <c r="K267" i="1"/>
  <c r="O200" i="1"/>
  <c r="K200" i="1"/>
  <c r="O199" i="1"/>
  <c r="K199" i="1"/>
  <c r="K197" i="1" s="1"/>
  <c r="F165" i="1"/>
  <c r="F156" i="1" s="1"/>
  <c r="O91" i="1"/>
  <c r="O63" i="1" s="1"/>
  <c r="K91" i="1"/>
  <c r="K63" i="1" s="1"/>
  <c r="F49" i="1"/>
  <c r="F18" i="1" s="1"/>
  <c r="O21" i="1"/>
  <c r="K21" i="1"/>
  <c r="O148" i="1"/>
  <c r="K148" i="1"/>
  <c r="O260" i="1"/>
  <c r="O256" i="1" s="1"/>
  <c r="N20" i="3" l="1"/>
  <c r="O18" i="1"/>
  <c r="J20" i="3"/>
  <c r="K18" i="1"/>
  <c r="K256" i="1"/>
  <c r="P223" i="1"/>
  <c r="P86" i="1"/>
  <c r="E66" i="1"/>
  <c r="J66" i="1"/>
  <c r="L281" i="1"/>
  <c r="L276" i="1" s="1"/>
  <c r="O246" i="1"/>
  <c r="L246" i="1"/>
  <c r="L216" i="1" s="1"/>
  <c r="N196" i="3"/>
  <c r="M196" i="3"/>
  <c r="L196" i="3"/>
  <c r="K196" i="3"/>
  <c r="J196" i="3"/>
  <c r="H196" i="3"/>
  <c r="G196" i="3"/>
  <c r="F196" i="3"/>
  <c r="E196" i="3"/>
  <c r="N197" i="3"/>
  <c r="N187" i="3" s="1"/>
  <c r="M197" i="3"/>
  <c r="M187" i="3" s="1"/>
  <c r="L197" i="3"/>
  <c r="L187" i="3" s="1"/>
  <c r="K197" i="3"/>
  <c r="K187" i="3" s="1"/>
  <c r="J197" i="3"/>
  <c r="J187" i="3" s="1"/>
  <c r="H197" i="3"/>
  <c r="H187" i="3" s="1"/>
  <c r="G197" i="3"/>
  <c r="G187" i="3" s="1"/>
  <c r="F197" i="3"/>
  <c r="F187" i="3" s="1"/>
  <c r="E197" i="3"/>
  <c r="E187" i="3" s="1"/>
  <c r="N55" i="3"/>
  <c r="M55" i="3"/>
  <c r="L55" i="3"/>
  <c r="K55" i="3"/>
  <c r="J55" i="3"/>
  <c r="H55" i="3"/>
  <c r="G55" i="3"/>
  <c r="F55" i="3"/>
  <c r="E55" i="3"/>
  <c r="N56" i="3"/>
  <c r="M56" i="3"/>
  <c r="L56" i="3"/>
  <c r="K56" i="3"/>
  <c r="J56" i="3"/>
  <c r="H56" i="3"/>
  <c r="G56" i="3"/>
  <c r="F56" i="3"/>
  <c r="E56" i="3"/>
  <c r="N71" i="1"/>
  <c r="M71" i="1"/>
  <c r="L71" i="1"/>
  <c r="I71" i="1"/>
  <c r="H71" i="1"/>
  <c r="G71" i="1"/>
  <c r="J118" i="1"/>
  <c r="I237" i="3" s="1"/>
  <c r="I235" i="3" s="1"/>
  <c r="I231" i="3" s="1"/>
  <c r="J117" i="1"/>
  <c r="I236" i="3" s="1"/>
  <c r="I234" i="3" s="1"/>
  <c r="E118" i="1"/>
  <c r="P118" i="1" s="1"/>
  <c r="O237" i="3" s="1"/>
  <c r="O235" i="3" s="1"/>
  <c r="O231" i="3" s="1"/>
  <c r="E117" i="1"/>
  <c r="P117" i="1" s="1"/>
  <c r="O236" i="3" s="1"/>
  <c r="O234" i="3" s="1"/>
  <c r="J89" i="1"/>
  <c r="I56" i="3" s="1"/>
  <c r="J88" i="1"/>
  <c r="I55" i="3" s="1"/>
  <c r="E89" i="1"/>
  <c r="P89" i="1" s="1"/>
  <c r="O56" i="3" s="1"/>
  <c r="E88" i="1"/>
  <c r="P88" i="1" s="1"/>
  <c r="O55" i="3" s="1"/>
  <c r="O71" i="1"/>
  <c r="K71" i="1"/>
  <c r="D237" i="3" l="1"/>
  <c r="D235" i="3" s="1"/>
  <c r="D231" i="3" s="1"/>
  <c r="D56" i="3"/>
  <c r="O53" i="3"/>
  <c r="O27" i="3" s="1"/>
  <c r="P66" i="1"/>
  <c r="D55" i="3"/>
  <c r="D236" i="3"/>
  <c r="D234" i="3" s="1"/>
  <c r="F64" i="1"/>
  <c r="O152" i="1" l="1"/>
  <c r="K152" i="1"/>
  <c r="J163" i="1" l="1"/>
  <c r="E163" i="1" l="1"/>
  <c r="P163" i="1" s="1"/>
  <c r="O151" i="1"/>
  <c r="K151" i="1"/>
  <c r="E20" i="3" l="1"/>
  <c r="K122" i="1"/>
  <c r="N54" i="3"/>
  <c r="N33" i="3" s="1"/>
  <c r="M54" i="3"/>
  <c r="M33" i="3" s="1"/>
  <c r="L54" i="3"/>
  <c r="L33" i="3" s="1"/>
  <c r="K54" i="3"/>
  <c r="K33" i="3" s="1"/>
  <c r="J54" i="3"/>
  <c r="J33" i="3" s="1"/>
  <c r="H54" i="3"/>
  <c r="H33" i="3" s="1"/>
  <c r="G54" i="3"/>
  <c r="G33" i="3" s="1"/>
  <c r="F54" i="3"/>
  <c r="F33" i="3" s="1"/>
  <c r="E54" i="3"/>
  <c r="E33" i="3" s="1"/>
  <c r="J87" i="1"/>
  <c r="J71" i="1" s="1"/>
  <c r="E87" i="1"/>
  <c r="E71" i="1" s="1"/>
  <c r="E238" i="3" l="1"/>
  <c r="E230" i="3" s="1"/>
  <c r="P87" i="1"/>
  <c r="P71" i="1" s="1"/>
  <c r="D54" i="3"/>
  <c r="D33" i="3" s="1"/>
  <c r="I54" i="3"/>
  <c r="I33" i="3" s="1"/>
  <c r="O234" i="1"/>
  <c r="O216" i="1" s="1"/>
  <c r="K234" i="1"/>
  <c r="K216" i="1" s="1"/>
  <c r="O54" i="3" l="1"/>
  <c r="O33" i="3" s="1"/>
  <c r="F193" i="1"/>
  <c r="F159" i="1" s="1"/>
  <c r="G56" i="1" l="1"/>
  <c r="G18" i="1" s="1"/>
  <c r="I226" i="1" l="1"/>
  <c r="I216" i="1" s="1"/>
  <c r="F303" i="1"/>
  <c r="F292" i="1"/>
  <c r="F288" i="1"/>
  <c r="N172" i="3" l="1"/>
  <c r="M172" i="3"/>
  <c r="L172" i="3"/>
  <c r="K172" i="3"/>
  <c r="J172" i="3"/>
  <c r="H172" i="3"/>
  <c r="G172" i="3"/>
  <c r="F172" i="3"/>
  <c r="E172" i="3"/>
  <c r="K127" i="1" l="1"/>
  <c r="N52" i="3" l="1"/>
  <c r="M52" i="3"/>
  <c r="L52" i="3"/>
  <c r="K52" i="3"/>
  <c r="J52" i="3"/>
  <c r="H52" i="3"/>
  <c r="G52" i="3"/>
  <c r="F52" i="3"/>
  <c r="E52" i="3"/>
  <c r="J85" i="1"/>
  <c r="I52" i="3" s="1"/>
  <c r="E85" i="1"/>
  <c r="J274" i="1"/>
  <c r="I240" i="3" s="1"/>
  <c r="E274" i="1"/>
  <c r="D240" i="3" s="1"/>
  <c r="D52" i="3" l="1"/>
  <c r="P274" i="1"/>
  <c r="O240" i="3" s="1"/>
  <c r="P85" i="1"/>
  <c r="O52" i="3" s="1"/>
  <c r="J120" i="1"/>
  <c r="E120" i="1" l="1"/>
  <c r="N74" i="3"/>
  <c r="N32" i="3" s="1"/>
  <c r="M74" i="3"/>
  <c r="M32" i="3" s="1"/>
  <c r="L74" i="3"/>
  <c r="L32" i="3" s="1"/>
  <c r="K74" i="3"/>
  <c r="K32" i="3" s="1"/>
  <c r="J74" i="3"/>
  <c r="J32" i="3" s="1"/>
  <c r="H74" i="3"/>
  <c r="H32" i="3" s="1"/>
  <c r="G74" i="3"/>
  <c r="G32" i="3" s="1"/>
  <c r="F74" i="3"/>
  <c r="F32" i="3" s="1"/>
  <c r="E74" i="3"/>
  <c r="E32" i="3" s="1"/>
  <c r="N73" i="3"/>
  <c r="M73" i="3"/>
  <c r="L73" i="3"/>
  <c r="K73" i="3"/>
  <c r="J73" i="3"/>
  <c r="H73" i="3"/>
  <c r="G73" i="3"/>
  <c r="F73" i="3"/>
  <c r="E73" i="3"/>
  <c r="O70" i="1"/>
  <c r="N70" i="1"/>
  <c r="M70" i="1"/>
  <c r="L70" i="1"/>
  <c r="K70" i="1"/>
  <c r="I70" i="1"/>
  <c r="H70" i="1"/>
  <c r="G70" i="1"/>
  <c r="F70" i="1"/>
  <c r="J106" i="1"/>
  <c r="I74" i="3" s="1"/>
  <c r="I32" i="3" s="1"/>
  <c r="J105" i="1"/>
  <c r="I73" i="3" s="1"/>
  <c r="E106" i="1"/>
  <c r="P106" i="1" s="1"/>
  <c r="O74" i="3" s="1"/>
  <c r="O32" i="3" s="1"/>
  <c r="E105" i="1"/>
  <c r="P105" i="1" s="1"/>
  <c r="O73" i="3" s="1"/>
  <c r="D74" i="3" l="1"/>
  <c r="D32" i="3" s="1"/>
  <c r="E70" i="1"/>
  <c r="P120" i="1"/>
  <c r="D73" i="3"/>
  <c r="J70" i="1"/>
  <c r="P70" i="1"/>
  <c r="N225" i="3" l="1"/>
  <c r="M225" i="3"/>
  <c r="L225" i="3"/>
  <c r="K225" i="3"/>
  <c r="J225" i="3"/>
  <c r="H225" i="3"/>
  <c r="G225" i="3"/>
  <c r="F225" i="3"/>
  <c r="E225" i="3"/>
  <c r="M203" i="3"/>
  <c r="L203" i="3"/>
  <c r="K203" i="3"/>
  <c r="H203" i="3"/>
  <c r="G203" i="3"/>
  <c r="F203" i="3"/>
  <c r="N58" i="3"/>
  <c r="M58" i="3"/>
  <c r="L58" i="3"/>
  <c r="K58" i="3"/>
  <c r="J58" i="3"/>
  <c r="H58" i="3"/>
  <c r="G58" i="3"/>
  <c r="F58" i="3"/>
  <c r="E58" i="3"/>
  <c r="E207" i="1"/>
  <c r="J207" i="1"/>
  <c r="I58" i="3" s="1"/>
  <c r="D58" i="3" l="1"/>
  <c r="P207" i="1"/>
  <c r="O58" i="3" s="1"/>
  <c r="N213" i="3" l="1"/>
  <c r="M213" i="3"/>
  <c r="L213" i="3"/>
  <c r="K213" i="3"/>
  <c r="J213" i="3"/>
  <c r="H213" i="3"/>
  <c r="G213" i="3"/>
  <c r="F213" i="3"/>
  <c r="E213" i="3"/>
  <c r="E115" i="1"/>
  <c r="D213" i="3" s="1"/>
  <c r="J115" i="1"/>
  <c r="I213" i="3" s="1"/>
  <c r="N146" i="3"/>
  <c r="M146" i="3"/>
  <c r="L146" i="3"/>
  <c r="K146" i="3"/>
  <c r="J146" i="3"/>
  <c r="H146" i="3"/>
  <c r="G146" i="3"/>
  <c r="F146" i="3"/>
  <c r="E146" i="3"/>
  <c r="N135" i="3"/>
  <c r="M135" i="3"/>
  <c r="L135" i="3"/>
  <c r="K135" i="3"/>
  <c r="J135" i="3"/>
  <c r="H135" i="3"/>
  <c r="G135" i="3"/>
  <c r="F135" i="3"/>
  <c r="N117" i="3"/>
  <c r="M117" i="3"/>
  <c r="L117" i="3"/>
  <c r="K117" i="3"/>
  <c r="J117" i="3"/>
  <c r="H117" i="3"/>
  <c r="G117" i="3"/>
  <c r="F117" i="3"/>
  <c r="E117" i="3"/>
  <c r="N72" i="3"/>
  <c r="N30" i="3" s="1"/>
  <c r="M72" i="3"/>
  <c r="M30" i="3" s="1"/>
  <c r="L72" i="3"/>
  <c r="L30" i="3" s="1"/>
  <c r="K72" i="3"/>
  <c r="K30" i="3" s="1"/>
  <c r="J72" i="3"/>
  <c r="J30" i="3" s="1"/>
  <c r="H72" i="3"/>
  <c r="H30" i="3" s="1"/>
  <c r="G72" i="3"/>
  <c r="G30" i="3" s="1"/>
  <c r="F72" i="3"/>
  <c r="F30" i="3" s="1"/>
  <c r="E72" i="3"/>
  <c r="E30" i="3" s="1"/>
  <c r="N71" i="3"/>
  <c r="M71" i="3"/>
  <c r="L71" i="3"/>
  <c r="K71" i="3"/>
  <c r="J71" i="3"/>
  <c r="H71" i="3"/>
  <c r="G71" i="3"/>
  <c r="F71" i="3"/>
  <c r="E71" i="3"/>
  <c r="N64" i="3"/>
  <c r="M64" i="3"/>
  <c r="L64" i="3"/>
  <c r="K64" i="3"/>
  <c r="J64" i="3"/>
  <c r="H64" i="3"/>
  <c r="G64" i="3"/>
  <c r="F64" i="3"/>
  <c r="E64" i="3"/>
  <c r="B64" i="3"/>
  <c r="N63" i="3"/>
  <c r="M63" i="3"/>
  <c r="L63" i="3"/>
  <c r="K63" i="3"/>
  <c r="J63" i="3"/>
  <c r="H63" i="3"/>
  <c r="G63" i="3"/>
  <c r="F63" i="3"/>
  <c r="E63" i="3"/>
  <c r="N62" i="3"/>
  <c r="M62" i="3"/>
  <c r="L62" i="3"/>
  <c r="K62" i="3"/>
  <c r="J62" i="3"/>
  <c r="H62" i="3"/>
  <c r="G62" i="3"/>
  <c r="F62" i="3"/>
  <c r="E62" i="3"/>
  <c r="N61" i="3"/>
  <c r="M61" i="3"/>
  <c r="L61" i="3"/>
  <c r="K61" i="3"/>
  <c r="J61" i="3"/>
  <c r="H61" i="3"/>
  <c r="G61" i="3"/>
  <c r="F61" i="3"/>
  <c r="E61" i="3"/>
  <c r="N60" i="3"/>
  <c r="M60" i="3"/>
  <c r="L60" i="3"/>
  <c r="K60" i="3"/>
  <c r="J60" i="3"/>
  <c r="H60" i="3"/>
  <c r="G60" i="3"/>
  <c r="F60" i="3"/>
  <c r="E60" i="3"/>
  <c r="N59" i="3"/>
  <c r="M59" i="3"/>
  <c r="L59" i="3"/>
  <c r="K59" i="3"/>
  <c r="J59" i="3"/>
  <c r="H59" i="3"/>
  <c r="G59" i="3"/>
  <c r="F59" i="3"/>
  <c r="E59" i="3"/>
  <c r="N57" i="3"/>
  <c r="M57" i="3"/>
  <c r="L57" i="3"/>
  <c r="K57" i="3"/>
  <c r="J57" i="3"/>
  <c r="H57" i="3"/>
  <c r="G57" i="3"/>
  <c r="F57" i="3"/>
  <c r="E57" i="3"/>
  <c r="N51" i="3"/>
  <c r="M51" i="3"/>
  <c r="L51" i="3"/>
  <c r="K51" i="3"/>
  <c r="J51" i="3"/>
  <c r="H51" i="3"/>
  <c r="G51" i="3"/>
  <c r="F51" i="3"/>
  <c r="E51" i="3"/>
  <c r="N50" i="3"/>
  <c r="M50" i="3"/>
  <c r="L50" i="3"/>
  <c r="K50" i="3"/>
  <c r="J50" i="3"/>
  <c r="H50" i="3"/>
  <c r="G50" i="3"/>
  <c r="F50" i="3"/>
  <c r="E50" i="3"/>
  <c r="N49" i="3"/>
  <c r="N28" i="3" s="1"/>
  <c r="M49" i="3"/>
  <c r="M28" i="3" s="1"/>
  <c r="L49" i="3"/>
  <c r="L28" i="3" s="1"/>
  <c r="K49" i="3"/>
  <c r="K28" i="3" s="1"/>
  <c r="J49" i="3"/>
  <c r="J28" i="3" s="1"/>
  <c r="H49" i="3"/>
  <c r="H28" i="3" s="1"/>
  <c r="G49" i="3"/>
  <c r="G28" i="3" s="1"/>
  <c r="F49" i="3"/>
  <c r="F28" i="3" s="1"/>
  <c r="E49" i="3"/>
  <c r="E28" i="3" s="1"/>
  <c r="N48" i="3"/>
  <c r="M48" i="3"/>
  <c r="L48" i="3"/>
  <c r="K48" i="3"/>
  <c r="J48" i="3"/>
  <c r="H48" i="3"/>
  <c r="G48" i="3"/>
  <c r="F48" i="3"/>
  <c r="E48" i="3"/>
  <c r="N47" i="3"/>
  <c r="M47" i="3"/>
  <c r="L47" i="3"/>
  <c r="K47" i="3"/>
  <c r="J47" i="3"/>
  <c r="H47" i="3"/>
  <c r="G47" i="3"/>
  <c r="F47" i="3"/>
  <c r="E47" i="3"/>
  <c r="N45" i="3"/>
  <c r="M45" i="3"/>
  <c r="L45" i="3"/>
  <c r="K45" i="3"/>
  <c r="J45" i="3"/>
  <c r="H45" i="3"/>
  <c r="G45" i="3"/>
  <c r="F45" i="3"/>
  <c r="E45" i="3"/>
  <c r="N38" i="3"/>
  <c r="M38" i="3"/>
  <c r="L38" i="3"/>
  <c r="K38" i="3"/>
  <c r="J38" i="3"/>
  <c r="H38" i="3"/>
  <c r="G38" i="3"/>
  <c r="F38" i="3"/>
  <c r="E38" i="3"/>
  <c r="N36" i="3"/>
  <c r="M36" i="3"/>
  <c r="L36" i="3"/>
  <c r="K36" i="3"/>
  <c r="K25" i="3" s="1"/>
  <c r="J36" i="3"/>
  <c r="H36" i="3"/>
  <c r="H25" i="3" s="1"/>
  <c r="G36" i="3"/>
  <c r="F36" i="3"/>
  <c r="E36" i="3"/>
  <c r="M25" i="3" l="1"/>
  <c r="F25" i="3"/>
  <c r="E25" i="3"/>
  <c r="G25" i="3"/>
  <c r="J25" i="3"/>
  <c r="L25" i="3"/>
  <c r="N25" i="3"/>
  <c r="N203" i="3"/>
  <c r="E26" i="3"/>
  <c r="G26" i="3"/>
  <c r="F26" i="3"/>
  <c r="H26" i="3"/>
  <c r="P115" i="1"/>
  <c r="O213" i="3" s="1"/>
  <c r="J26" i="3"/>
  <c r="N26" i="3"/>
  <c r="K26" i="3"/>
  <c r="M26" i="3"/>
  <c r="L26" i="3"/>
  <c r="J116" i="1"/>
  <c r="J114" i="1"/>
  <c r="J111" i="1"/>
  <c r="J109" i="1"/>
  <c r="J108" i="1"/>
  <c r="J107" i="1"/>
  <c r="E116" i="1"/>
  <c r="E114" i="1"/>
  <c r="E111" i="1"/>
  <c r="E109" i="1"/>
  <c r="E108" i="1"/>
  <c r="E107" i="1"/>
  <c r="P107" i="1" l="1"/>
  <c r="P109" i="1"/>
  <c r="P114" i="1"/>
  <c r="P111" i="1"/>
  <c r="P116" i="1"/>
  <c r="P108" i="1"/>
  <c r="O69" i="1"/>
  <c r="N69" i="1"/>
  <c r="M69" i="1"/>
  <c r="L69" i="1"/>
  <c r="K69" i="1"/>
  <c r="I69" i="1"/>
  <c r="H69" i="1"/>
  <c r="G69" i="1"/>
  <c r="F69" i="1"/>
  <c r="O67" i="1"/>
  <c r="N67" i="1"/>
  <c r="M67" i="1"/>
  <c r="L67" i="1"/>
  <c r="K67" i="1"/>
  <c r="I67" i="1"/>
  <c r="H67" i="1"/>
  <c r="G67" i="1"/>
  <c r="F67" i="1"/>
  <c r="O64" i="1"/>
  <c r="N64" i="1"/>
  <c r="M64" i="1"/>
  <c r="L64" i="1"/>
  <c r="K64" i="1"/>
  <c r="I64" i="1"/>
  <c r="H64" i="1"/>
  <c r="G64" i="1"/>
  <c r="J95" i="1"/>
  <c r="I63" i="3" s="1"/>
  <c r="E95" i="1"/>
  <c r="D63" i="3" s="1"/>
  <c r="J84" i="1"/>
  <c r="I51" i="3" s="1"/>
  <c r="E84" i="1"/>
  <c r="D51" i="3" s="1"/>
  <c r="P95" i="1" l="1"/>
  <c r="O63" i="3" s="1"/>
  <c r="P84" i="1"/>
  <c r="O51" i="3" s="1"/>
  <c r="J203" i="3" l="1"/>
  <c r="O153" i="1"/>
  <c r="E135" i="3" l="1"/>
  <c r="D209" i="1" l="1"/>
  <c r="E203" i="3" l="1"/>
  <c r="D56" i="1" l="1"/>
  <c r="N210" i="3" l="1"/>
  <c r="M210" i="3"/>
  <c r="L210" i="3"/>
  <c r="K210" i="3"/>
  <c r="J210" i="3"/>
  <c r="H210" i="3"/>
  <c r="G210" i="3"/>
  <c r="F210" i="3"/>
  <c r="E210" i="3"/>
  <c r="N176" i="3"/>
  <c r="N179" i="3"/>
  <c r="M179" i="3"/>
  <c r="L179" i="3"/>
  <c r="K179" i="3"/>
  <c r="J179" i="3"/>
  <c r="H179" i="3"/>
  <c r="G179" i="3"/>
  <c r="F179" i="3"/>
  <c r="E179" i="3"/>
  <c r="O205" i="1"/>
  <c r="N205" i="1"/>
  <c r="M205" i="1"/>
  <c r="L205" i="1"/>
  <c r="K205" i="1"/>
  <c r="I205" i="1"/>
  <c r="H205" i="1"/>
  <c r="G205" i="1"/>
  <c r="F205" i="1"/>
  <c r="N208" i="3"/>
  <c r="M208" i="3"/>
  <c r="L208" i="3"/>
  <c r="K208" i="3"/>
  <c r="J208" i="3"/>
  <c r="H208" i="3"/>
  <c r="G208" i="3"/>
  <c r="F208" i="3"/>
  <c r="E208" i="3"/>
  <c r="O221" i="1"/>
  <c r="N221" i="1"/>
  <c r="M221" i="1"/>
  <c r="L221" i="1"/>
  <c r="K221" i="1"/>
  <c r="I221" i="1"/>
  <c r="H221" i="1"/>
  <c r="G221" i="1"/>
  <c r="F221" i="1"/>
  <c r="J279" i="1"/>
  <c r="E279" i="1"/>
  <c r="E245" i="1"/>
  <c r="D208" i="3" s="1"/>
  <c r="J245" i="1"/>
  <c r="I208" i="3" s="1"/>
  <c r="E212" i="1"/>
  <c r="D175" i="3" s="1"/>
  <c r="J212" i="1"/>
  <c r="I175" i="3" s="1"/>
  <c r="D179" i="3" l="1"/>
  <c r="I179" i="3"/>
  <c r="P212" i="1"/>
  <c r="O175" i="3" s="1"/>
  <c r="P245" i="1"/>
  <c r="E221" i="1"/>
  <c r="P279" i="1"/>
  <c r="J221" i="1"/>
  <c r="E21" i="3"/>
  <c r="F21" i="3"/>
  <c r="G21" i="3"/>
  <c r="H21" i="3"/>
  <c r="J21" i="3"/>
  <c r="K21" i="3"/>
  <c r="L21" i="3"/>
  <c r="M21" i="3"/>
  <c r="N21" i="3"/>
  <c r="O179" i="3" l="1"/>
  <c r="O208" i="3"/>
  <c r="P221" i="1"/>
  <c r="N195" i="3"/>
  <c r="M195" i="3"/>
  <c r="L195" i="3"/>
  <c r="K195" i="3"/>
  <c r="J195" i="3"/>
  <c r="H195" i="3"/>
  <c r="G195" i="3"/>
  <c r="F195" i="3"/>
  <c r="E195" i="3"/>
  <c r="J48" i="1" l="1"/>
  <c r="I195" i="3" s="1"/>
  <c r="E48" i="1"/>
  <c r="J22" i="1"/>
  <c r="I21" i="3" s="1"/>
  <c r="E22" i="1"/>
  <c r="D195" i="3" l="1"/>
  <c r="P48" i="1"/>
  <c r="O195" i="3" s="1"/>
  <c r="P22" i="1"/>
  <c r="O21" i="3" s="1"/>
  <c r="D21" i="3"/>
  <c r="F198" i="1" l="1"/>
  <c r="G198" i="1"/>
  <c r="H198" i="1"/>
  <c r="I198" i="1"/>
  <c r="K198" i="1"/>
  <c r="L198" i="1"/>
  <c r="M198" i="1"/>
  <c r="N198" i="1"/>
  <c r="O198" i="1"/>
  <c r="E84" i="3" l="1"/>
  <c r="F84" i="3"/>
  <c r="G84" i="3"/>
  <c r="H84" i="3"/>
  <c r="J84" i="3"/>
  <c r="K84" i="3"/>
  <c r="L84" i="3"/>
  <c r="M84" i="3"/>
  <c r="N84" i="3"/>
  <c r="F122" i="1" l="1"/>
  <c r="G122" i="1"/>
  <c r="H122" i="1"/>
  <c r="I122" i="1"/>
  <c r="L122" i="1"/>
  <c r="M122" i="1"/>
  <c r="N122" i="1"/>
  <c r="O122" i="1"/>
  <c r="E135" i="1"/>
  <c r="J135" i="1"/>
  <c r="I84" i="3" s="1"/>
  <c r="D135" i="1"/>
  <c r="P135" i="1" l="1"/>
  <c r="O84" i="3" s="1"/>
  <c r="D84" i="3"/>
  <c r="E194" i="3"/>
  <c r="F194" i="3"/>
  <c r="G194" i="3"/>
  <c r="H194" i="3"/>
  <c r="J194" i="3"/>
  <c r="K194" i="3"/>
  <c r="L194" i="3"/>
  <c r="M194" i="3"/>
  <c r="N194" i="3"/>
  <c r="E241" i="1"/>
  <c r="J241" i="1"/>
  <c r="F219" i="1"/>
  <c r="F307" i="1" s="1"/>
  <c r="G219" i="1"/>
  <c r="G307" i="1" s="1"/>
  <c r="H219" i="1"/>
  <c r="H307" i="1" s="1"/>
  <c r="I219" i="1"/>
  <c r="I307" i="1" s="1"/>
  <c r="K219" i="1"/>
  <c r="K307" i="1" s="1"/>
  <c r="L219" i="1"/>
  <c r="L307" i="1" s="1"/>
  <c r="M219" i="1"/>
  <c r="M307" i="1" s="1"/>
  <c r="N219" i="1"/>
  <c r="N307" i="1" s="1"/>
  <c r="O219" i="1"/>
  <c r="O307" i="1" s="1"/>
  <c r="D194" i="3" l="1"/>
  <c r="D197" i="3"/>
  <c r="D187" i="3" s="1"/>
  <c r="J219" i="1"/>
  <c r="I197" i="3"/>
  <c r="I187" i="3" s="1"/>
  <c r="E219" i="1"/>
  <c r="P241" i="1"/>
  <c r="O197" i="3" s="1"/>
  <c r="O187" i="3" s="1"/>
  <c r="I194" i="3"/>
  <c r="E203" i="1"/>
  <c r="E198" i="1" s="1"/>
  <c r="J203" i="1"/>
  <c r="L157" i="1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2" i="3"/>
  <c r="F132" i="3"/>
  <c r="G132" i="3"/>
  <c r="H132" i="3"/>
  <c r="J132" i="3"/>
  <c r="K132" i="3"/>
  <c r="L132" i="3"/>
  <c r="M132" i="3"/>
  <c r="N132" i="3"/>
  <c r="E133" i="3"/>
  <c r="E98" i="3" s="1"/>
  <c r="F133" i="3"/>
  <c r="F98" i="3" s="1"/>
  <c r="G133" i="3"/>
  <c r="G98" i="3" s="1"/>
  <c r="H133" i="3"/>
  <c r="H98" i="3" s="1"/>
  <c r="J133" i="3"/>
  <c r="J98" i="3" s="1"/>
  <c r="K133" i="3"/>
  <c r="K98" i="3" s="1"/>
  <c r="L133" i="3"/>
  <c r="L98" i="3" s="1"/>
  <c r="M133" i="3"/>
  <c r="M98" i="3" s="1"/>
  <c r="N133" i="3"/>
  <c r="N98" i="3" s="1"/>
  <c r="E186" i="1"/>
  <c r="E185" i="1"/>
  <c r="D128" i="3" s="1"/>
  <c r="J186" i="1"/>
  <c r="J160" i="1" s="1"/>
  <c r="J185" i="1"/>
  <c r="I128" i="3" s="1"/>
  <c r="E160" i="3"/>
  <c r="F160" i="3"/>
  <c r="F152" i="3" s="1"/>
  <c r="G160" i="3"/>
  <c r="G152" i="3" s="1"/>
  <c r="H160" i="3"/>
  <c r="H152" i="3" s="1"/>
  <c r="J160" i="3"/>
  <c r="J152" i="3" s="1"/>
  <c r="K160" i="3"/>
  <c r="K152" i="3" s="1"/>
  <c r="L160" i="3"/>
  <c r="L152" i="3" s="1"/>
  <c r="M160" i="3"/>
  <c r="N160" i="3"/>
  <c r="N152" i="3" s="1"/>
  <c r="D160" i="3"/>
  <c r="D152" i="3" s="1"/>
  <c r="E152" i="3"/>
  <c r="M152" i="3"/>
  <c r="J189" i="1"/>
  <c r="I132" i="3" s="1"/>
  <c r="J190" i="1"/>
  <c r="J158" i="1" s="1"/>
  <c r="E189" i="1"/>
  <c r="D132" i="3" s="1"/>
  <c r="E190" i="1"/>
  <c r="F158" i="1"/>
  <c r="G158" i="1"/>
  <c r="H158" i="1"/>
  <c r="I158" i="1"/>
  <c r="K158" i="1"/>
  <c r="L158" i="1"/>
  <c r="M158" i="1"/>
  <c r="N158" i="1"/>
  <c r="O158" i="1"/>
  <c r="F157" i="1"/>
  <c r="G157" i="1"/>
  <c r="H157" i="1"/>
  <c r="I157" i="1"/>
  <c r="K157" i="1"/>
  <c r="M157" i="1"/>
  <c r="N157" i="1"/>
  <c r="O157" i="1"/>
  <c r="D157" i="1"/>
  <c r="D190" i="1"/>
  <c r="D158" i="1"/>
  <c r="D189" i="1"/>
  <c r="J23" i="1"/>
  <c r="I22" i="3" s="1"/>
  <c r="J24" i="1"/>
  <c r="J25" i="1"/>
  <c r="J20" i="1" s="1"/>
  <c r="E25" i="1"/>
  <c r="D24" i="3" s="1"/>
  <c r="D19" i="3" s="1"/>
  <c r="D20" i="1"/>
  <c r="D25" i="1"/>
  <c r="E24" i="3"/>
  <c r="E19" i="3" s="1"/>
  <c r="F24" i="3"/>
  <c r="F19" i="3" s="1"/>
  <c r="G24" i="3"/>
  <c r="G19" i="3" s="1"/>
  <c r="H24" i="3"/>
  <c r="H19" i="3" s="1"/>
  <c r="I24" i="3"/>
  <c r="I19" i="3" s="1"/>
  <c r="J24" i="3"/>
  <c r="J19" i="3" s="1"/>
  <c r="K24" i="3"/>
  <c r="K19" i="3" s="1"/>
  <c r="L24" i="3"/>
  <c r="L19" i="3" s="1"/>
  <c r="M24" i="3"/>
  <c r="M19" i="3" s="1"/>
  <c r="N24" i="3"/>
  <c r="N19" i="3" s="1"/>
  <c r="F20" i="1"/>
  <c r="G20" i="1"/>
  <c r="H20" i="1"/>
  <c r="I20" i="1"/>
  <c r="K20" i="1"/>
  <c r="L20" i="1"/>
  <c r="M20" i="1"/>
  <c r="N20" i="1"/>
  <c r="O20" i="1"/>
  <c r="D129" i="3" l="1"/>
  <c r="D100" i="3" s="1"/>
  <c r="E160" i="1"/>
  <c r="N97" i="3"/>
  <c r="N100" i="3"/>
  <c r="L97" i="3"/>
  <c r="L100" i="3"/>
  <c r="J97" i="3"/>
  <c r="J100" i="3"/>
  <c r="G97" i="3"/>
  <c r="G100" i="3"/>
  <c r="E97" i="3"/>
  <c r="E100" i="3"/>
  <c r="M97" i="3"/>
  <c r="M100" i="3"/>
  <c r="K97" i="3"/>
  <c r="K100" i="3"/>
  <c r="H97" i="3"/>
  <c r="H100" i="3"/>
  <c r="F97" i="3"/>
  <c r="F100" i="3"/>
  <c r="P219" i="1"/>
  <c r="O194" i="3"/>
  <c r="P203" i="1"/>
  <c r="P198" i="1" s="1"/>
  <c r="J198" i="1"/>
  <c r="P186" i="1"/>
  <c r="I160" i="3"/>
  <c r="I152" i="3" s="1"/>
  <c r="D133" i="3"/>
  <c r="D98" i="3" s="1"/>
  <c r="I129" i="3"/>
  <c r="J157" i="1"/>
  <c r="I133" i="3"/>
  <c r="I98" i="3" s="1"/>
  <c r="O160" i="3"/>
  <c r="O152" i="3" s="1"/>
  <c r="P185" i="1"/>
  <c r="P189" i="1"/>
  <c r="O132" i="3" s="1"/>
  <c r="E157" i="1"/>
  <c r="D97" i="3"/>
  <c r="P190" i="1"/>
  <c r="E158" i="1"/>
  <c r="P25" i="1"/>
  <c r="P20" i="1" s="1"/>
  <c r="E20" i="1"/>
  <c r="O129" i="3" l="1"/>
  <c r="O100" i="3" s="1"/>
  <c r="P160" i="1"/>
  <c r="I97" i="3"/>
  <c r="I100" i="3"/>
  <c r="O97" i="3"/>
  <c r="P157" i="1"/>
  <c r="O128" i="3"/>
  <c r="P158" i="1"/>
  <c r="O133" i="3"/>
  <c r="O98" i="3" s="1"/>
  <c r="O24" i="3"/>
  <c r="O19" i="3" s="1"/>
  <c r="N159" i="3" l="1"/>
  <c r="M159" i="3"/>
  <c r="L159" i="3"/>
  <c r="K159" i="3"/>
  <c r="J159" i="3"/>
  <c r="H159" i="3"/>
  <c r="G159" i="3"/>
  <c r="F159" i="3"/>
  <c r="E159" i="3"/>
  <c r="O197" i="1"/>
  <c r="N197" i="1"/>
  <c r="M197" i="1"/>
  <c r="L197" i="1"/>
  <c r="I197" i="1"/>
  <c r="H197" i="1"/>
  <c r="J202" i="1"/>
  <c r="I159" i="3" s="1"/>
  <c r="E202" i="1"/>
  <c r="D159" i="3" s="1"/>
  <c r="E272" i="1"/>
  <c r="E270" i="1"/>
  <c r="D184" i="3" s="1"/>
  <c r="N46" i="3"/>
  <c r="M46" i="3"/>
  <c r="L46" i="3"/>
  <c r="K46" i="3"/>
  <c r="J46" i="3"/>
  <c r="H46" i="3"/>
  <c r="G46" i="3"/>
  <c r="F46" i="3"/>
  <c r="E46" i="3"/>
  <c r="I46" i="3"/>
  <c r="N23" i="3"/>
  <c r="M23" i="3"/>
  <c r="L23" i="3"/>
  <c r="K23" i="3"/>
  <c r="J23" i="3"/>
  <c r="H23" i="3"/>
  <c r="G23" i="3"/>
  <c r="F23" i="3"/>
  <c r="E23" i="3"/>
  <c r="I23" i="3"/>
  <c r="E24" i="1"/>
  <c r="O46" i="3" l="1"/>
  <c r="P202" i="1"/>
  <c r="O159" i="3" s="1"/>
  <c r="D46" i="3"/>
  <c r="P24" i="1"/>
  <c r="D23" i="3"/>
  <c r="J154" i="1"/>
  <c r="E154" i="1"/>
  <c r="O23" i="3" l="1"/>
  <c r="P154" i="1"/>
  <c r="J270" i="1" l="1"/>
  <c r="I184" i="3" s="1"/>
  <c r="P270" i="1" l="1"/>
  <c r="O184" i="3" s="1"/>
  <c r="N68" i="1" l="1"/>
  <c r="M68" i="1"/>
  <c r="L68" i="1"/>
  <c r="I68" i="1"/>
  <c r="H68" i="1"/>
  <c r="G68" i="1"/>
  <c r="J92" i="1"/>
  <c r="I60" i="3" s="1"/>
  <c r="E92" i="1"/>
  <c r="D60" i="3" s="1"/>
  <c r="P92" i="1" l="1"/>
  <c r="O60" i="3" s="1"/>
  <c r="J295" i="1"/>
  <c r="M199" i="3" l="1"/>
  <c r="M198" i="3" s="1"/>
  <c r="L199" i="3"/>
  <c r="L198" i="3" s="1"/>
  <c r="K199" i="3"/>
  <c r="K198" i="3" s="1"/>
  <c r="H199" i="3"/>
  <c r="H198" i="3" s="1"/>
  <c r="G199" i="3"/>
  <c r="G198" i="3" s="1"/>
  <c r="F199" i="3"/>
  <c r="F198" i="3" s="1"/>
  <c r="J242" i="1" l="1"/>
  <c r="E242" i="1"/>
  <c r="P242" i="1" l="1"/>
  <c r="N178" i="3" l="1"/>
  <c r="M178" i="3"/>
  <c r="L178" i="3"/>
  <c r="K178" i="3"/>
  <c r="J178" i="3"/>
  <c r="H178" i="3"/>
  <c r="G178" i="3"/>
  <c r="F178" i="3"/>
  <c r="E178" i="3"/>
  <c r="J267" i="1"/>
  <c r="E267" i="1"/>
  <c r="E265" i="1"/>
  <c r="O294" i="1"/>
  <c r="O293" i="1" s="1"/>
  <c r="N294" i="1"/>
  <c r="N293" i="1" s="1"/>
  <c r="M294" i="1"/>
  <c r="M293" i="1" s="1"/>
  <c r="L294" i="1"/>
  <c r="L293" i="1" s="1"/>
  <c r="K294" i="1"/>
  <c r="K293" i="1" s="1"/>
  <c r="J294" i="1"/>
  <c r="J293" i="1" s="1"/>
  <c r="I294" i="1"/>
  <c r="I293" i="1" s="1"/>
  <c r="H294" i="1"/>
  <c r="H293" i="1" s="1"/>
  <c r="G294" i="1"/>
  <c r="G293" i="1" s="1"/>
  <c r="F294" i="1"/>
  <c r="F293" i="1" s="1"/>
  <c r="E295" i="1"/>
  <c r="P295" i="1" s="1"/>
  <c r="P294" i="1" s="1"/>
  <c r="P293" i="1" s="1"/>
  <c r="N199" i="3"/>
  <c r="N198" i="3" s="1"/>
  <c r="J199" i="3"/>
  <c r="J198" i="3" s="1"/>
  <c r="E294" i="1" l="1"/>
  <c r="E293" i="1" s="1"/>
  <c r="P267" i="1"/>
  <c r="O68" i="1"/>
  <c r="K68" i="1"/>
  <c r="F68" i="1"/>
  <c r="O124" i="1" l="1"/>
  <c r="N124" i="1"/>
  <c r="M124" i="1"/>
  <c r="L124" i="1"/>
  <c r="K124" i="1"/>
  <c r="I124" i="1"/>
  <c r="H124" i="1"/>
  <c r="G124" i="1"/>
  <c r="F124" i="1"/>
  <c r="J149" i="1"/>
  <c r="J150" i="1"/>
  <c r="E149" i="1"/>
  <c r="E150" i="1"/>
  <c r="J128" i="1" l="1"/>
  <c r="E124" i="1"/>
  <c r="E128" i="1"/>
  <c r="P150" i="1"/>
  <c r="P149" i="1"/>
  <c r="J124" i="1"/>
  <c r="P124" i="1" l="1"/>
  <c r="P128" i="1"/>
  <c r="D234" i="1"/>
  <c r="N204" i="3" l="1"/>
  <c r="M204" i="3"/>
  <c r="L204" i="3"/>
  <c r="K204" i="3"/>
  <c r="J204" i="3"/>
  <c r="H204" i="3"/>
  <c r="G204" i="3"/>
  <c r="F204" i="3"/>
  <c r="E204" i="3"/>
  <c r="F201" i="3" l="1"/>
  <c r="F166" i="3" s="1"/>
  <c r="F246" i="3" s="1"/>
  <c r="H201" i="3"/>
  <c r="H166" i="3" s="1"/>
  <c r="H246" i="3" s="1"/>
  <c r="K201" i="3"/>
  <c r="K166" i="3" s="1"/>
  <c r="K246" i="3" s="1"/>
  <c r="M201" i="3"/>
  <c r="M166" i="3" s="1"/>
  <c r="M246" i="3" s="1"/>
  <c r="E201" i="3"/>
  <c r="E166" i="3" s="1"/>
  <c r="E246" i="3" s="1"/>
  <c r="G201" i="3"/>
  <c r="G166" i="3" s="1"/>
  <c r="G246" i="3" s="1"/>
  <c r="L201" i="3"/>
  <c r="L166" i="3" s="1"/>
  <c r="L246" i="3" s="1"/>
  <c r="N201" i="3"/>
  <c r="N166" i="3" s="1"/>
  <c r="N246" i="3" s="1"/>
  <c r="J201" i="3"/>
  <c r="J166" i="3" s="1"/>
  <c r="J246" i="3" s="1"/>
  <c r="O129" i="1"/>
  <c r="N129" i="1"/>
  <c r="M129" i="1"/>
  <c r="L129" i="1"/>
  <c r="K129" i="1"/>
  <c r="I129" i="1"/>
  <c r="H129" i="1"/>
  <c r="G129" i="1"/>
  <c r="F129" i="1"/>
  <c r="O257" i="1"/>
  <c r="N257" i="1"/>
  <c r="M257" i="1"/>
  <c r="L257" i="1"/>
  <c r="K257" i="1"/>
  <c r="I257" i="1"/>
  <c r="H257" i="1"/>
  <c r="G257" i="1"/>
  <c r="F257" i="1"/>
  <c r="E257" i="1"/>
  <c r="F309" i="1" l="1"/>
  <c r="H309" i="1"/>
  <c r="H313" i="1" s="1"/>
  <c r="K309" i="1"/>
  <c r="M309" i="1"/>
  <c r="O309" i="1"/>
  <c r="G309" i="1"/>
  <c r="I309" i="1"/>
  <c r="I313" i="1" s="1"/>
  <c r="L309" i="1"/>
  <c r="L313" i="1" s="1"/>
  <c r="N309" i="1"/>
  <c r="M313" i="1" l="1"/>
  <c r="G313" i="1"/>
  <c r="F313" i="1"/>
  <c r="K313" i="1"/>
  <c r="N313" i="1"/>
  <c r="O313" i="1"/>
  <c r="E199" i="3"/>
  <c r="E198" i="3" s="1"/>
  <c r="M176" i="3" l="1"/>
  <c r="L176" i="3"/>
  <c r="K176" i="3"/>
  <c r="H176" i="3"/>
  <c r="G176" i="3"/>
  <c r="F176" i="3"/>
  <c r="E176" i="3"/>
  <c r="N174" i="3" l="1"/>
  <c r="M174" i="3"/>
  <c r="L174" i="3"/>
  <c r="K174" i="3"/>
  <c r="J174" i="3"/>
  <c r="H174" i="3"/>
  <c r="G174" i="3"/>
  <c r="F174" i="3"/>
  <c r="E174" i="3"/>
  <c r="M173" i="3"/>
  <c r="L173" i="3"/>
  <c r="K173" i="3"/>
  <c r="H173" i="3"/>
  <c r="G173" i="3"/>
  <c r="F173" i="3"/>
  <c r="E173" i="3"/>
  <c r="M177" i="3"/>
  <c r="L177" i="3"/>
  <c r="K177" i="3"/>
  <c r="H177" i="3"/>
  <c r="G177" i="3"/>
  <c r="F177" i="3"/>
  <c r="E177" i="3"/>
  <c r="J194" i="1" l="1"/>
  <c r="E194" i="1"/>
  <c r="D174" i="3" s="1"/>
  <c r="J147" i="1"/>
  <c r="E147" i="1"/>
  <c r="E43" i="1"/>
  <c r="E42" i="1"/>
  <c r="D176" i="3" s="1"/>
  <c r="J43" i="1"/>
  <c r="P43" i="1" s="1"/>
  <c r="J42" i="1"/>
  <c r="P42" i="1" l="1"/>
  <c r="P147" i="1"/>
  <c r="P194" i="1"/>
  <c r="O174" i="3" s="1"/>
  <c r="I174" i="3"/>
  <c r="N177" i="3"/>
  <c r="J177" i="3"/>
  <c r="E152" i="1" l="1"/>
  <c r="J152" i="1"/>
  <c r="J129" i="1" l="1"/>
  <c r="D204" i="3"/>
  <c r="E129" i="1"/>
  <c r="E309" i="1" s="1"/>
  <c r="P152" i="1"/>
  <c r="J272" i="1"/>
  <c r="J257" i="1" s="1"/>
  <c r="J309" i="1" l="1"/>
  <c r="D201" i="3"/>
  <c r="I204" i="3"/>
  <c r="P129" i="1"/>
  <c r="P272" i="1"/>
  <c r="P257" i="1" s="1"/>
  <c r="N193" i="3"/>
  <c r="M193" i="3"/>
  <c r="L193" i="3"/>
  <c r="K193" i="3"/>
  <c r="J193" i="3"/>
  <c r="H193" i="3"/>
  <c r="G193" i="3"/>
  <c r="F193" i="3"/>
  <c r="E193" i="3"/>
  <c r="N136" i="3"/>
  <c r="M136" i="3"/>
  <c r="L136" i="3"/>
  <c r="K136" i="3"/>
  <c r="J136" i="3"/>
  <c r="H136" i="3"/>
  <c r="G136" i="3"/>
  <c r="F136" i="3"/>
  <c r="N122" i="3"/>
  <c r="M122" i="3"/>
  <c r="L122" i="3"/>
  <c r="K122" i="3"/>
  <c r="J122" i="3"/>
  <c r="H122" i="3"/>
  <c r="G122" i="3"/>
  <c r="F122" i="3"/>
  <c r="E122" i="3"/>
  <c r="N120" i="3"/>
  <c r="M120" i="3"/>
  <c r="L120" i="3"/>
  <c r="K120" i="3"/>
  <c r="J120" i="3"/>
  <c r="H120" i="3"/>
  <c r="G120" i="3"/>
  <c r="F120" i="3"/>
  <c r="E120" i="3"/>
  <c r="N111" i="3"/>
  <c r="M111" i="3"/>
  <c r="L111" i="3"/>
  <c r="K111" i="3"/>
  <c r="J111" i="3"/>
  <c r="H111" i="3"/>
  <c r="G111" i="3"/>
  <c r="F111" i="3"/>
  <c r="E111" i="3"/>
  <c r="N109" i="3"/>
  <c r="M109" i="3"/>
  <c r="L109" i="3"/>
  <c r="K109" i="3"/>
  <c r="J109" i="3"/>
  <c r="H109" i="3"/>
  <c r="G109" i="3"/>
  <c r="F109" i="3"/>
  <c r="E109" i="3"/>
  <c r="N105" i="3"/>
  <c r="M105" i="3"/>
  <c r="M99" i="3" s="1"/>
  <c r="L105" i="3"/>
  <c r="K105" i="3"/>
  <c r="K99" i="3" s="1"/>
  <c r="J105" i="3"/>
  <c r="H105" i="3"/>
  <c r="H99" i="3" s="1"/>
  <c r="G105" i="3"/>
  <c r="F105" i="3"/>
  <c r="F99" i="3" s="1"/>
  <c r="N93" i="3"/>
  <c r="M93" i="3"/>
  <c r="L93" i="3"/>
  <c r="K93" i="3"/>
  <c r="J93" i="3"/>
  <c r="H93" i="3"/>
  <c r="G93" i="3"/>
  <c r="F93" i="3"/>
  <c r="E93" i="3"/>
  <c r="N92" i="3"/>
  <c r="M92" i="3"/>
  <c r="L92" i="3"/>
  <c r="K92" i="3"/>
  <c r="J92" i="3"/>
  <c r="H92" i="3"/>
  <c r="G92" i="3"/>
  <c r="F92" i="3"/>
  <c r="E92" i="3"/>
  <c r="N90" i="3"/>
  <c r="M90" i="3"/>
  <c r="L90" i="3"/>
  <c r="K90" i="3"/>
  <c r="J90" i="3"/>
  <c r="H90" i="3"/>
  <c r="G90" i="3"/>
  <c r="F90" i="3"/>
  <c r="E90" i="3"/>
  <c r="N88" i="3"/>
  <c r="M88" i="3"/>
  <c r="L88" i="3"/>
  <c r="K88" i="3"/>
  <c r="J88" i="3"/>
  <c r="H88" i="3"/>
  <c r="G88" i="3"/>
  <c r="F88" i="3"/>
  <c r="E88" i="3"/>
  <c r="N86" i="3"/>
  <c r="M86" i="3"/>
  <c r="L86" i="3"/>
  <c r="K86" i="3"/>
  <c r="J86" i="3"/>
  <c r="I86" i="3"/>
  <c r="H86" i="3"/>
  <c r="G86" i="3"/>
  <c r="F86" i="3"/>
  <c r="E86" i="3"/>
  <c r="N83" i="3"/>
  <c r="M83" i="3"/>
  <c r="L83" i="3"/>
  <c r="K83" i="3"/>
  <c r="J83" i="3"/>
  <c r="H83" i="3"/>
  <c r="G83" i="3"/>
  <c r="F83" i="3"/>
  <c r="E83" i="3"/>
  <c r="N82" i="3"/>
  <c r="M82" i="3"/>
  <c r="L82" i="3"/>
  <c r="K82" i="3"/>
  <c r="J82" i="3"/>
  <c r="H82" i="3"/>
  <c r="G82" i="3"/>
  <c r="F82" i="3"/>
  <c r="N81" i="3"/>
  <c r="M81" i="3"/>
  <c r="L81" i="3"/>
  <c r="K81" i="3"/>
  <c r="J81" i="3"/>
  <c r="H81" i="3"/>
  <c r="G81" i="3"/>
  <c r="F81" i="3"/>
  <c r="E81" i="3"/>
  <c r="J68" i="1"/>
  <c r="E68" i="1"/>
  <c r="O217" i="1"/>
  <c r="N217" i="1"/>
  <c r="M217" i="1"/>
  <c r="L217" i="1"/>
  <c r="K217" i="1"/>
  <c r="I217" i="1"/>
  <c r="H217" i="1"/>
  <c r="G217" i="1"/>
  <c r="F217" i="1"/>
  <c r="O123" i="1"/>
  <c r="N123" i="1"/>
  <c r="M123" i="1"/>
  <c r="L123" i="1"/>
  <c r="K123" i="1"/>
  <c r="I123" i="1"/>
  <c r="H123" i="1"/>
  <c r="G123" i="1"/>
  <c r="F123" i="1"/>
  <c r="G99" i="3" l="1"/>
  <c r="J99" i="3"/>
  <c r="L99" i="3"/>
  <c r="N99" i="3"/>
  <c r="D166" i="3"/>
  <c r="D246" i="3" s="1"/>
  <c r="P309" i="1"/>
  <c r="I201" i="3"/>
  <c r="I166" i="3" s="1"/>
  <c r="I246" i="3" s="1"/>
  <c r="O204" i="3"/>
  <c r="P68" i="1"/>
  <c r="J313" i="1" l="1"/>
  <c r="E313" i="1"/>
  <c r="O201" i="3"/>
  <c r="O166" i="3" s="1"/>
  <c r="O246" i="3" s="1"/>
  <c r="O218" i="1"/>
  <c r="N218" i="1"/>
  <c r="M218" i="1"/>
  <c r="L218" i="1"/>
  <c r="K218" i="1"/>
  <c r="I218" i="1"/>
  <c r="H218" i="1"/>
  <c r="G218" i="1"/>
  <c r="F218" i="1"/>
  <c r="P313" i="1" l="1"/>
  <c r="O126" i="1"/>
  <c r="N126" i="1"/>
  <c r="M126" i="1"/>
  <c r="L126" i="1"/>
  <c r="K126" i="1"/>
  <c r="I126" i="1"/>
  <c r="H126" i="1"/>
  <c r="G126" i="1"/>
  <c r="F126" i="1"/>
  <c r="O125" i="1"/>
  <c r="N125" i="1"/>
  <c r="M125" i="1"/>
  <c r="L125" i="1"/>
  <c r="K125" i="1"/>
  <c r="I125" i="1"/>
  <c r="H125" i="1"/>
  <c r="G125" i="1"/>
  <c r="O127" i="1" l="1"/>
  <c r="N127" i="1"/>
  <c r="M127" i="1"/>
  <c r="L127" i="1"/>
  <c r="I127" i="1"/>
  <c r="H127" i="1"/>
  <c r="G127" i="1"/>
  <c r="F127" i="1"/>
  <c r="J134" i="1"/>
  <c r="E134" i="1"/>
  <c r="J133" i="1"/>
  <c r="I82" i="3" s="1"/>
  <c r="J132" i="1"/>
  <c r="I81" i="3" s="1"/>
  <c r="E132" i="1"/>
  <c r="D81" i="3" s="1"/>
  <c r="J139" i="1"/>
  <c r="I88" i="3" s="1"/>
  <c r="E139" i="1"/>
  <c r="D88" i="3" s="1"/>
  <c r="E137" i="1"/>
  <c r="F125" i="1" l="1"/>
  <c r="E82" i="3"/>
  <c r="P137" i="1"/>
  <c r="O86" i="3" s="1"/>
  <c r="D86" i="3"/>
  <c r="J126" i="1"/>
  <c r="I83" i="3"/>
  <c r="E126" i="1"/>
  <c r="D83" i="3"/>
  <c r="E123" i="1"/>
  <c r="J123" i="1"/>
  <c r="E133" i="1"/>
  <c r="P139" i="1"/>
  <c r="O88" i="3" s="1"/>
  <c r="P132" i="1"/>
  <c r="O81" i="3" s="1"/>
  <c r="P134" i="1"/>
  <c r="P126" i="1" l="1"/>
  <c r="O83" i="3"/>
  <c r="P133" i="1"/>
  <c r="O82" i="3" s="1"/>
  <c r="D82" i="3"/>
  <c r="P123" i="1"/>
  <c r="N186" i="3"/>
  <c r="N165" i="3" s="1"/>
  <c r="M186" i="3"/>
  <c r="M165" i="3" s="1"/>
  <c r="L186" i="3"/>
  <c r="L165" i="3" s="1"/>
  <c r="K186" i="3"/>
  <c r="K165" i="3" s="1"/>
  <c r="J186" i="3"/>
  <c r="J165" i="3" s="1"/>
  <c r="H186" i="3"/>
  <c r="H165" i="3" s="1"/>
  <c r="G186" i="3"/>
  <c r="G165" i="3" s="1"/>
  <c r="F186" i="3"/>
  <c r="F165" i="3" s="1"/>
  <c r="E186" i="3"/>
  <c r="E165" i="3" s="1"/>
  <c r="N170" i="3"/>
  <c r="M170" i="3"/>
  <c r="L170" i="3"/>
  <c r="K170" i="3"/>
  <c r="J170" i="3"/>
  <c r="H170" i="3"/>
  <c r="G170" i="3"/>
  <c r="F170" i="3"/>
  <c r="E170" i="3"/>
  <c r="N78" i="3"/>
  <c r="M78" i="3"/>
  <c r="L78" i="3"/>
  <c r="K78" i="3"/>
  <c r="J78" i="3"/>
  <c r="H78" i="3"/>
  <c r="G78" i="3"/>
  <c r="F78" i="3"/>
  <c r="E78" i="3"/>
  <c r="N79" i="3"/>
  <c r="M79" i="3"/>
  <c r="L79" i="3"/>
  <c r="K79" i="3"/>
  <c r="J79" i="3"/>
  <c r="H79" i="3"/>
  <c r="G79" i="3"/>
  <c r="F79" i="3"/>
  <c r="E79" i="3"/>
  <c r="N77" i="3"/>
  <c r="M77" i="3"/>
  <c r="L77" i="3"/>
  <c r="K77" i="3"/>
  <c r="J77" i="3"/>
  <c r="H77" i="3"/>
  <c r="G77" i="3"/>
  <c r="F77" i="3"/>
  <c r="H76" i="3"/>
  <c r="G76" i="3"/>
  <c r="F76" i="3"/>
  <c r="E76" i="3"/>
  <c r="F164" i="3" l="1"/>
  <c r="F244" i="3"/>
  <c r="H164" i="3"/>
  <c r="H244" i="3"/>
  <c r="K164" i="3"/>
  <c r="K244" i="3"/>
  <c r="M164" i="3"/>
  <c r="M244" i="3"/>
  <c r="E164" i="3"/>
  <c r="E244" i="3"/>
  <c r="G164" i="3"/>
  <c r="G244" i="3"/>
  <c r="J164" i="3"/>
  <c r="J244" i="3"/>
  <c r="L164" i="3"/>
  <c r="L244" i="3"/>
  <c r="N164" i="3"/>
  <c r="N244" i="3"/>
  <c r="K76" i="3"/>
  <c r="M76" i="3"/>
  <c r="J76" i="3"/>
  <c r="L76" i="3"/>
  <c r="N76" i="3"/>
  <c r="J240" i="1"/>
  <c r="E240" i="1"/>
  <c r="D193" i="3" s="1"/>
  <c r="J238" i="1"/>
  <c r="E238" i="1"/>
  <c r="J193" i="1"/>
  <c r="I136" i="3" s="1"/>
  <c r="J179" i="1"/>
  <c r="I122" i="3" s="1"/>
  <c r="E179" i="1"/>
  <c r="D122" i="3" s="1"/>
  <c r="J177" i="1"/>
  <c r="I120" i="3" s="1"/>
  <c r="E177" i="1"/>
  <c r="D120" i="3" s="1"/>
  <c r="J173" i="1"/>
  <c r="I111" i="3" s="1"/>
  <c r="E173" i="1"/>
  <c r="D111" i="3" s="1"/>
  <c r="J171" i="1"/>
  <c r="I109" i="3" s="1"/>
  <c r="E171" i="1"/>
  <c r="D109" i="3" s="1"/>
  <c r="J167" i="1"/>
  <c r="J144" i="1"/>
  <c r="I93" i="3" s="1"/>
  <c r="E144" i="1"/>
  <c r="J143" i="1"/>
  <c r="E143" i="1"/>
  <c r="J141" i="1"/>
  <c r="I90" i="3" s="1"/>
  <c r="E141" i="1"/>
  <c r="J104" i="1"/>
  <c r="E104" i="1"/>
  <c r="J91" i="1"/>
  <c r="I59" i="3" s="1"/>
  <c r="E91" i="1"/>
  <c r="D59" i="3" s="1"/>
  <c r="J82" i="1"/>
  <c r="I49" i="3" s="1"/>
  <c r="I28" i="3" s="1"/>
  <c r="E82" i="1"/>
  <c r="D49" i="3" s="1"/>
  <c r="D28" i="3" s="1"/>
  <c r="J81" i="1"/>
  <c r="I48" i="3" s="1"/>
  <c r="I26" i="3" s="1"/>
  <c r="E81" i="1"/>
  <c r="D48" i="3" s="1"/>
  <c r="D26" i="3" s="1"/>
  <c r="J79" i="1"/>
  <c r="I45" i="3" s="1"/>
  <c r="J159" i="1" l="1"/>
  <c r="O311" i="1"/>
  <c r="K311" i="1"/>
  <c r="H311" i="1"/>
  <c r="N311" i="1"/>
  <c r="L311" i="1"/>
  <c r="I311" i="1"/>
  <c r="G311" i="1"/>
  <c r="M311" i="1"/>
  <c r="F311" i="1"/>
  <c r="J217" i="1"/>
  <c r="J220" i="1"/>
  <c r="I183" i="3"/>
  <c r="E217" i="1"/>
  <c r="E220" i="1"/>
  <c r="D183" i="3"/>
  <c r="D93" i="3"/>
  <c r="E127" i="1"/>
  <c r="D90" i="3"/>
  <c r="D78" i="3" s="1"/>
  <c r="J69" i="1"/>
  <c r="I72" i="3"/>
  <c r="I30" i="3" s="1"/>
  <c r="E69" i="1"/>
  <c r="D72" i="3"/>
  <c r="D30" i="3" s="1"/>
  <c r="J64" i="1"/>
  <c r="J307" i="1" s="1"/>
  <c r="J67" i="1"/>
  <c r="E64" i="1"/>
  <c r="E67" i="1"/>
  <c r="D170" i="3"/>
  <c r="D244" i="3" s="1"/>
  <c r="E167" i="1"/>
  <c r="E105" i="3"/>
  <c r="E193" i="1"/>
  <c r="E136" i="3"/>
  <c r="I105" i="3"/>
  <c r="I99" i="3" s="1"/>
  <c r="J218" i="1"/>
  <c r="I193" i="3"/>
  <c r="E125" i="1"/>
  <c r="D92" i="3"/>
  <c r="J125" i="1"/>
  <c r="I92" i="3"/>
  <c r="P240" i="1"/>
  <c r="E218" i="1"/>
  <c r="P238" i="1"/>
  <c r="J127" i="1"/>
  <c r="E79" i="1"/>
  <c r="P171" i="1"/>
  <c r="O109" i="3" s="1"/>
  <c r="P173" i="1"/>
  <c r="O111" i="3" s="1"/>
  <c r="P177" i="1"/>
  <c r="O120" i="3" s="1"/>
  <c r="P179" i="1"/>
  <c r="O122" i="3" s="1"/>
  <c r="P141" i="1"/>
  <c r="O90" i="3" s="1"/>
  <c r="P143" i="1"/>
  <c r="P144" i="1"/>
  <c r="O93" i="3" s="1"/>
  <c r="P81" i="1"/>
  <c r="O48" i="3" s="1"/>
  <c r="O26" i="3" s="1"/>
  <c r="P82" i="1"/>
  <c r="O49" i="3" s="1"/>
  <c r="O28" i="3" s="1"/>
  <c r="P91" i="1"/>
  <c r="O59" i="3" s="1"/>
  <c r="P104" i="1"/>
  <c r="E159" i="1" l="1"/>
  <c r="E99" i="3"/>
  <c r="D105" i="3"/>
  <c r="E307" i="1"/>
  <c r="E311" i="1" s="1"/>
  <c r="P217" i="1"/>
  <c r="P220" i="1"/>
  <c r="O183" i="3"/>
  <c r="P193" i="1"/>
  <c r="O136" i="3" s="1"/>
  <c r="P69" i="1"/>
  <c r="O72" i="3"/>
  <c r="O30" i="3" s="1"/>
  <c r="D45" i="3"/>
  <c r="P67" i="1"/>
  <c r="P64" i="1"/>
  <c r="D136" i="3"/>
  <c r="P167" i="1"/>
  <c r="P218" i="1"/>
  <c r="O193" i="3"/>
  <c r="P125" i="1"/>
  <c r="O92" i="3"/>
  <c r="P79" i="1"/>
  <c r="P127" i="1"/>
  <c r="P159" i="1" l="1"/>
  <c r="D99" i="3"/>
  <c r="O105" i="3"/>
  <c r="O99" i="3" s="1"/>
  <c r="P307" i="1"/>
  <c r="O45" i="3"/>
  <c r="C217" i="3"/>
  <c r="N220" i="3"/>
  <c r="N245" i="3" s="1"/>
  <c r="M220" i="3"/>
  <c r="M245" i="3" s="1"/>
  <c r="L220" i="3"/>
  <c r="L245" i="3" s="1"/>
  <c r="K220" i="3"/>
  <c r="K245" i="3" s="1"/>
  <c r="J220" i="3"/>
  <c r="J245" i="3" s="1"/>
  <c r="H220" i="3"/>
  <c r="H245" i="3" s="1"/>
  <c r="G220" i="3"/>
  <c r="G245" i="3" s="1"/>
  <c r="F220" i="3"/>
  <c r="F245" i="3" s="1"/>
  <c r="E220" i="3"/>
  <c r="E217" i="3" s="1"/>
  <c r="E215" i="3" s="1"/>
  <c r="D57" i="1"/>
  <c r="O19" i="1"/>
  <c r="O308" i="1" s="1"/>
  <c r="N19" i="1"/>
  <c r="N308" i="1" s="1"/>
  <c r="M19" i="1"/>
  <c r="M308" i="1" s="1"/>
  <c r="L19" i="1"/>
  <c r="L308" i="1" s="1"/>
  <c r="K19" i="1"/>
  <c r="K308" i="1" s="1"/>
  <c r="I19" i="1"/>
  <c r="I308" i="1" s="1"/>
  <c r="H19" i="1"/>
  <c r="H308" i="1" s="1"/>
  <c r="G19" i="1"/>
  <c r="G308" i="1" s="1"/>
  <c r="F19" i="1"/>
  <c r="F308" i="1" s="1"/>
  <c r="J57" i="1"/>
  <c r="J19" i="1" s="1"/>
  <c r="J308" i="1" s="1"/>
  <c r="E57" i="1"/>
  <c r="E19" i="1" s="1"/>
  <c r="E308" i="1" s="1"/>
  <c r="E245" i="3" l="1"/>
  <c r="G312" i="1"/>
  <c r="I312" i="1"/>
  <c r="L312" i="1"/>
  <c r="N312" i="1"/>
  <c r="H312" i="1"/>
  <c r="K312" i="1"/>
  <c r="M312" i="1"/>
  <c r="O312" i="1"/>
  <c r="F217" i="3"/>
  <c r="F215" i="3" s="1"/>
  <c r="K217" i="3"/>
  <c r="K215" i="3" s="1"/>
  <c r="M217" i="3"/>
  <c r="M215" i="3" s="1"/>
  <c r="H217" i="3"/>
  <c r="H215" i="3" s="1"/>
  <c r="G217" i="3"/>
  <c r="G215" i="3" s="1"/>
  <c r="J217" i="3"/>
  <c r="J215" i="3" s="1"/>
  <c r="L217" i="3"/>
  <c r="L215" i="3" s="1"/>
  <c r="N217" i="3"/>
  <c r="N215" i="3" s="1"/>
  <c r="I220" i="3"/>
  <c r="P57" i="1"/>
  <c r="D220" i="3"/>
  <c r="D245" i="3" s="1"/>
  <c r="I217" i="3" l="1"/>
  <c r="I215" i="3" s="1"/>
  <c r="D217" i="3"/>
  <c r="D215" i="3" s="1"/>
  <c r="P19" i="1"/>
  <c r="P308" i="1" s="1"/>
  <c r="O220" i="3"/>
  <c r="O217" i="3" l="1"/>
  <c r="O215" i="3" s="1"/>
  <c r="E312" i="1"/>
  <c r="E146" i="1"/>
  <c r="J61" i="1"/>
  <c r="E61" i="1"/>
  <c r="I242" i="3" l="1"/>
  <c r="D242" i="3"/>
  <c r="P61" i="1"/>
  <c r="O242" i="3" l="1"/>
  <c r="J234" i="1"/>
  <c r="I178" i="3" s="1"/>
  <c r="E234" i="1"/>
  <c r="D178" i="3" s="1"/>
  <c r="C234" i="1"/>
  <c r="P234" i="1" l="1"/>
  <c r="O178" i="3" s="1"/>
  <c r="J176" i="3" l="1"/>
  <c r="G197" i="1"/>
  <c r="F197" i="1" l="1"/>
  <c r="E218" i="3" l="1"/>
  <c r="F218" i="3"/>
  <c r="G218" i="3"/>
  <c r="H218" i="3"/>
  <c r="J218" i="3"/>
  <c r="K218" i="3"/>
  <c r="L218" i="3"/>
  <c r="M218" i="3"/>
  <c r="N218" i="3"/>
  <c r="J247" i="1"/>
  <c r="E247" i="1"/>
  <c r="C247" i="1"/>
  <c r="D247" i="1"/>
  <c r="B247" i="1"/>
  <c r="P247" i="1" l="1"/>
  <c r="E222" i="3" l="1"/>
  <c r="F222" i="3"/>
  <c r="G222" i="3"/>
  <c r="H222" i="3"/>
  <c r="J222" i="3"/>
  <c r="K222" i="3"/>
  <c r="L222" i="3"/>
  <c r="M222" i="3"/>
  <c r="N222" i="3"/>
  <c r="J248" i="1"/>
  <c r="E248" i="1"/>
  <c r="C248" i="1"/>
  <c r="D248" i="1"/>
  <c r="B248" i="1"/>
  <c r="P248" i="1" l="1"/>
  <c r="E189" i="3" l="1"/>
  <c r="F189" i="3"/>
  <c r="G189" i="3"/>
  <c r="H189" i="3"/>
  <c r="J189" i="3"/>
  <c r="K189" i="3"/>
  <c r="L189" i="3"/>
  <c r="M189" i="3"/>
  <c r="N189" i="3"/>
  <c r="E191" i="3"/>
  <c r="F191" i="3"/>
  <c r="G191" i="3"/>
  <c r="H191" i="3"/>
  <c r="J191" i="3"/>
  <c r="K191" i="3"/>
  <c r="L191" i="3"/>
  <c r="M191" i="3"/>
  <c r="N191" i="3"/>
  <c r="E45" i="1"/>
  <c r="E47" i="1"/>
  <c r="J44" i="1"/>
  <c r="J45" i="1"/>
  <c r="I189" i="3" s="1"/>
  <c r="J47" i="1"/>
  <c r="I191" i="3" s="1"/>
  <c r="C45" i="1"/>
  <c r="D45" i="1"/>
  <c r="D47" i="1"/>
  <c r="B47" i="1"/>
  <c r="B45" i="1"/>
  <c r="D191" i="3" l="1"/>
  <c r="P47" i="1"/>
  <c r="O191" i="3" s="1"/>
  <c r="P45" i="1"/>
  <c r="O189" i="3" s="1"/>
  <c r="D189" i="3"/>
  <c r="N173" i="3" l="1"/>
  <c r="J173" i="3" l="1"/>
  <c r="E192" i="3" l="1"/>
  <c r="F192" i="3"/>
  <c r="G192" i="3"/>
  <c r="H192" i="3"/>
  <c r="J192" i="3"/>
  <c r="K192" i="3"/>
  <c r="L192" i="3"/>
  <c r="M192" i="3"/>
  <c r="N192" i="3"/>
  <c r="J239" i="1"/>
  <c r="E239" i="1"/>
  <c r="D196" i="3" s="1"/>
  <c r="B239" i="1"/>
  <c r="I192" i="3" l="1"/>
  <c r="I196" i="3"/>
  <c r="P239" i="1"/>
  <c r="D192" i="3"/>
  <c r="N180" i="3"/>
  <c r="M180" i="3"/>
  <c r="L180" i="3"/>
  <c r="K180" i="3"/>
  <c r="J180" i="3"/>
  <c r="H180" i="3"/>
  <c r="G180" i="3"/>
  <c r="F180" i="3"/>
  <c r="E180" i="3"/>
  <c r="J148" i="1"/>
  <c r="E148" i="1"/>
  <c r="D148" i="1"/>
  <c r="C148" i="1"/>
  <c r="B148" i="1"/>
  <c r="D268" i="1"/>
  <c r="C268" i="1"/>
  <c r="B268" i="1"/>
  <c r="D235" i="1"/>
  <c r="C235" i="1"/>
  <c r="B235" i="1"/>
  <c r="O192" i="3" l="1"/>
  <c r="O196" i="3"/>
  <c r="P148" i="1"/>
  <c r="J268" i="1"/>
  <c r="E268" i="1"/>
  <c r="J235" i="1"/>
  <c r="E235" i="1"/>
  <c r="D180" i="3" l="1"/>
  <c r="P268" i="1"/>
  <c r="I180" i="3"/>
  <c r="P235" i="1"/>
  <c r="O180" i="3" l="1"/>
  <c r="K286" i="1"/>
  <c r="J273" i="1" l="1"/>
  <c r="E273" i="1"/>
  <c r="E237" i="1"/>
  <c r="D182" i="3" s="1"/>
  <c r="J237" i="1" l="1"/>
  <c r="P273" i="1"/>
  <c r="P237" i="1" l="1"/>
  <c r="O182" i="3" s="1"/>
  <c r="I182" i="3"/>
  <c r="J269" i="1"/>
  <c r="E269" i="1"/>
  <c r="P269" i="1" l="1"/>
  <c r="N212" i="3" l="1"/>
  <c r="M212" i="3"/>
  <c r="L212" i="3"/>
  <c r="K212" i="3"/>
  <c r="J212" i="3"/>
  <c r="H212" i="3"/>
  <c r="G212" i="3"/>
  <c r="F212" i="3"/>
  <c r="E212" i="3"/>
  <c r="J153" i="1"/>
  <c r="I212" i="3" s="1"/>
  <c r="E153" i="1"/>
  <c r="D212" i="3" s="1"/>
  <c r="P153" i="1" l="1"/>
  <c r="D165" i="1"/>
  <c r="O212" i="3" l="1"/>
  <c r="B265" i="1" l="1"/>
  <c r="J265" i="1"/>
  <c r="I176" i="3" s="1"/>
  <c r="P265" i="1" l="1"/>
  <c r="O176" i="3" s="1"/>
  <c r="D195" i="1" l="1"/>
  <c r="F211" i="3"/>
  <c r="G211" i="3"/>
  <c r="H211" i="3"/>
  <c r="J211" i="3"/>
  <c r="K211" i="3"/>
  <c r="L211" i="3"/>
  <c r="M211" i="3"/>
  <c r="N211" i="3"/>
  <c r="F162" i="3"/>
  <c r="G162" i="3"/>
  <c r="H162" i="3"/>
  <c r="J162" i="3"/>
  <c r="K162" i="3"/>
  <c r="L162" i="3"/>
  <c r="M162" i="3"/>
  <c r="N162" i="3"/>
  <c r="G297" i="1"/>
  <c r="H297" i="1"/>
  <c r="I297" i="1"/>
  <c r="K297" i="1"/>
  <c r="L297" i="1"/>
  <c r="M297" i="1"/>
  <c r="N297" i="1"/>
  <c r="O297" i="1"/>
  <c r="G286" i="1"/>
  <c r="H286" i="1"/>
  <c r="L286" i="1"/>
  <c r="M286" i="1"/>
  <c r="N286" i="1"/>
  <c r="O286" i="1"/>
  <c r="G121" i="1"/>
  <c r="H121" i="1"/>
  <c r="I121" i="1"/>
  <c r="L121" i="1"/>
  <c r="M121" i="1"/>
  <c r="N121" i="1"/>
  <c r="I286" i="1" l="1"/>
  <c r="E211" i="3" l="1"/>
  <c r="F286" i="1" l="1"/>
  <c r="F121" i="1"/>
  <c r="D251" i="1" l="1"/>
  <c r="F297" i="1" l="1"/>
  <c r="O121" i="1" l="1"/>
  <c r="K121" i="1"/>
  <c r="J214" i="1"/>
  <c r="E214" i="1"/>
  <c r="C214" i="1"/>
  <c r="D214" i="1"/>
  <c r="B214" i="1"/>
  <c r="P214" i="1" l="1"/>
  <c r="E18" i="3"/>
  <c r="F18" i="3"/>
  <c r="G18" i="3"/>
  <c r="H18" i="3"/>
  <c r="J18" i="3"/>
  <c r="K18" i="3"/>
  <c r="L18" i="3"/>
  <c r="M18" i="3"/>
  <c r="N18" i="3"/>
  <c r="E80" i="3"/>
  <c r="F80" i="3"/>
  <c r="G80" i="3"/>
  <c r="H80" i="3"/>
  <c r="J80" i="3"/>
  <c r="K80" i="3"/>
  <c r="L80" i="3"/>
  <c r="M80" i="3"/>
  <c r="N80" i="3"/>
  <c r="E85" i="3"/>
  <c r="F85" i="3"/>
  <c r="G85" i="3"/>
  <c r="H85" i="3"/>
  <c r="J85" i="3"/>
  <c r="K85" i="3"/>
  <c r="L85" i="3"/>
  <c r="M85" i="3"/>
  <c r="N85" i="3"/>
  <c r="E87" i="3"/>
  <c r="F87" i="3"/>
  <c r="G87" i="3"/>
  <c r="H87" i="3"/>
  <c r="J87" i="3"/>
  <c r="K87" i="3"/>
  <c r="L87" i="3"/>
  <c r="M87" i="3"/>
  <c r="N87" i="3"/>
  <c r="E89" i="3"/>
  <c r="F89" i="3"/>
  <c r="G89" i="3"/>
  <c r="H89" i="3"/>
  <c r="J89" i="3"/>
  <c r="K89" i="3"/>
  <c r="L89" i="3"/>
  <c r="M89" i="3"/>
  <c r="N89" i="3"/>
  <c r="E91" i="3"/>
  <c r="F91" i="3"/>
  <c r="G91" i="3"/>
  <c r="H91" i="3"/>
  <c r="J91" i="3"/>
  <c r="K91" i="3"/>
  <c r="L91" i="3"/>
  <c r="M91" i="3"/>
  <c r="N91" i="3"/>
  <c r="E94" i="3"/>
  <c r="F94" i="3"/>
  <c r="G94" i="3"/>
  <c r="H94" i="3"/>
  <c r="J94" i="3"/>
  <c r="K94" i="3"/>
  <c r="L94" i="3"/>
  <c r="M94" i="3"/>
  <c r="N94" i="3"/>
  <c r="E95" i="3"/>
  <c r="F95" i="3"/>
  <c r="G95" i="3"/>
  <c r="H95" i="3"/>
  <c r="J95" i="3"/>
  <c r="K95" i="3"/>
  <c r="L95" i="3"/>
  <c r="M95" i="3"/>
  <c r="N95" i="3"/>
  <c r="E102" i="3"/>
  <c r="F102" i="3"/>
  <c r="G102" i="3"/>
  <c r="H102" i="3"/>
  <c r="K102" i="3"/>
  <c r="L102" i="3"/>
  <c r="M102" i="3"/>
  <c r="E103" i="3"/>
  <c r="F103" i="3"/>
  <c r="G103" i="3"/>
  <c r="H103" i="3"/>
  <c r="J103" i="3"/>
  <c r="K103" i="3"/>
  <c r="L103" i="3"/>
  <c r="M103" i="3"/>
  <c r="N103" i="3"/>
  <c r="E104" i="3"/>
  <c r="F104" i="3"/>
  <c r="G104" i="3"/>
  <c r="H104" i="3"/>
  <c r="J104" i="3"/>
  <c r="K104" i="3"/>
  <c r="L104" i="3"/>
  <c r="M104" i="3"/>
  <c r="N104" i="3"/>
  <c r="E106" i="3"/>
  <c r="F106" i="3"/>
  <c r="G106" i="3"/>
  <c r="H106" i="3"/>
  <c r="J106" i="3"/>
  <c r="K106" i="3"/>
  <c r="L106" i="3"/>
  <c r="M106" i="3"/>
  <c r="N106" i="3"/>
  <c r="E107" i="3"/>
  <c r="F107" i="3"/>
  <c r="G107" i="3"/>
  <c r="H107" i="3"/>
  <c r="J107" i="3"/>
  <c r="K107" i="3"/>
  <c r="L107" i="3"/>
  <c r="M107" i="3"/>
  <c r="N107" i="3"/>
  <c r="E108" i="3"/>
  <c r="F108" i="3"/>
  <c r="G108" i="3"/>
  <c r="H108" i="3"/>
  <c r="J108" i="3"/>
  <c r="K108" i="3"/>
  <c r="L108" i="3"/>
  <c r="M108" i="3"/>
  <c r="N108" i="3"/>
  <c r="E110" i="3"/>
  <c r="F110" i="3"/>
  <c r="G110" i="3"/>
  <c r="H110" i="3"/>
  <c r="J110" i="3"/>
  <c r="K110" i="3"/>
  <c r="L110" i="3"/>
  <c r="M110" i="3"/>
  <c r="N110" i="3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6" i="3"/>
  <c r="F116" i="3"/>
  <c r="G116" i="3"/>
  <c r="H116" i="3"/>
  <c r="J116" i="3"/>
  <c r="K116" i="3"/>
  <c r="L116" i="3"/>
  <c r="M116" i="3"/>
  <c r="N116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1" i="3"/>
  <c r="F121" i="3"/>
  <c r="G121" i="3"/>
  <c r="H121" i="3"/>
  <c r="J121" i="3"/>
  <c r="K121" i="3"/>
  <c r="L121" i="3"/>
  <c r="M121" i="3"/>
  <c r="N121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34" i="3"/>
  <c r="F134" i="3"/>
  <c r="G134" i="3"/>
  <c r="H134" i="3"/>
  <c r="J134" i="3"/>
  <c r="K134" i="3"/>
  <c r="L134" i="3"/>
  <c r="M134" i="3"/>
  <c r="N134" i="3"/>
  <c r="E138" i="3"/>
  <c r="F138" i="3"/>
  <c r="G138" i="3"/>
  <c r="H138" i="3"/>
  <c r="J138" i="3"/>
  <c r="K138" i="3"/>
  <c r="L138" i="3"/>
  <c r="M138" i="3"/>
  <c r="N138" i="3"/>
  <c r="E139" i="3"/>
  <c r="F139" i="3"/>
  <c r="G139" i="3"/>
  <c r="H139" i="3"/>
  <c r="J139" i="3"/>
  <c r="K139" i="3"/>
  <c r="L139" i="3"/>
  <c r="M139" i="3"/>
  <c r="N139" i="3"/>
  <c r="E140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8" i="3"/>
  <c r="F148" i="3"/>
  <c r="G148" i="3"/>
  <c r="H148" i="3"/>
  <c r="J148" i="3"/>
  <c r="K148" i="3"/>
  <c r="L148" i="3"/>
  <c r="M148" i="3"/>
  <c r="N148" i="3"/>
  <c r="F149" i="3"/>
  <c r="G149" i="3"/>
  <c r="H149" i="3"/>
  <c r="J149" i="3"/>
  <c r="K149" i="3"/>
  <c r="L149" i="3"/>
  <c r="M149" i="3"/>
  <c r="N149" i="3"/>
  <c r="E150" i="3"/>
  <c r="F150" i="3"/>
  <c r="G150" i="3"/>
  <c r="H150" i="3"/>
  <c r="J150" i="3"/>
  <c r="K150" i="3"/>
  <c r="L150" i="3"/>
  <c r="M150" i="3"/>
  <c r="N150" i="3"/>
  <c r="E153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5" i="3"/>
  <c r="F155" i="3"/>
  <c r="G155" i="3"/>
  <c r="H155" i="3"/>
  <c r="J155" i="3"/>
  <c r="K155" i="3"/>
  <c r="L155" i="3"/>
  <c r="M155" i="3"/>
  <c r="N155" i="3"/>
  <c r="E156" i="3"/>
  <c r="F156" i="3"/>
  <c r="G156" i="3"/>
  <c r="H156" i="3"/>
  <c r="J156" i="3"/>
  <c r="K156" i="3"/>
  <c r="L156" i="3"/>
  <c r="M156" i="3"/>
  <c r="N156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61" i="3"/>
  <c r="F161" i="3"/>
  <c r="G161" i="3"/>
  <c r="H161" i="3"/>
  <c r="J161" i="3"/>
  <c r="K161" i="3"/>
  <c r="L161" i="3"/>
  <c r="M161" i="3"/>
  <c r="N161" i="3"/>
  <c r="E168" i="3"/>
  <c r="E167" i="3" s="1"/>
  <c r="F168" i="3"/>
  <c r="F167" i="3" s="1"/>
  <c r="G168" i="3"/>
  <c r="G167" i="3" s="1"/>
  <c r="H168" i="3"/>
  <c r="H167" i="3" s="1"/>
  <c r="J168" i="3"/>
  <c r="J167" i="3" s="1"/>
  <c r="K168" i="3"/>
  <c r="K167" i="3" s="1"/>
  <c r="L168" i="3"/>
  <c r="L167" i="3" s="1"/>
  <c r="M168" i="3"/>
  <c r="M167" i="3" s="1"/>
  <c r="N168" i="3"/>
  <c r="N167" i="3" s="1"/>
  <c r="E171" i="3"/>
  <c r="E169" i="3" s="1"/>
  <c r="F171" i="3"/>
  <c r="F169" i="3" s="1"/>
  <c r="G171" i="3"/>
  <c r="G169" i="3" s="1"/>
  <c r="H171" i="3"/>
  <c r="H169" i="3" s="1"/>
  <c r="J171" i="3"/>
  <c r="J169" i="3" s="1"/>
  <c r="K171" i="3"/>
  <c r="K169" i="3" s="1"/>
  <c r="L171" i="3"/>
  <c r="L169" i="3" s="1"/>
  <c r="M171" i="3"/>
  <c r="M169" i="3" s="1"/>
  <c r="N171" i="3"/>
  <c r="N169" i="3" s="1"/>
  <c r="E181" i="3"/>
  <c r="F181" i="3"/>
  <c r="G181" i="3"/>
  <c r="H181" i="3"/>
  <c r="J181" i="3"/>
  <c r="K181" i="3"/>
  <c r="L181" i="3"/>
  <c r="M181" i="3"/>
  <c r="N181" i="3"/>
  <c r="E188" i="3"/>
  <c r="E185" i="3" s="1"/>
  <c r="F188" i="3"/>
  <c r="F185" i="3" s="1"/>
  <c r="G188" i="3"/>
  <c r="G185" i="3" s="1"/>
  <c r="H188" i="3"/>
  <c r="H185" i="3" s="1"/>
  <c r="J188" i="3"/>
  <c r="J185" i="3" s="1"/>
  <c r="K188" i="3"/>
  <c r="K185" i="3" s="1"/>
  <c r="L188" i="3"/>
  <c r="L185" i="3" s="1"/>
  <c r="M188" i="3"/>
  <c r="M185" i="3" s="1"/>
  <c r="N188" i="3"/>
  <c r="N185" i="3" s="1"/>
  <c r="E202" i="3"/>
  <c r="F202" i="3"/>
  <c r="G202" i="3"/>
  <c r="H202" i="3"/>
  <c r="J202" i="3"/>
  <c r="K202" i="3"/>
  <c r="L202" i="3"/>
  <c r="M202" i="3"/>
  <c r="N202" i="3"/>
  <c r="E205" i="3"/>
  <c r="F205" i="3"/>
  <c r="G205" i="3"/>
  <c r="H205" i="3"/>
  <c r="J205" i="3"/>
  <c r="K205" i="3"/>
  <c r="L205" i="3"/>
  <c r="M205" i="3"/>
  <c r="N205" i="3"/>
  <c r="E206" i="3"/>
  <c r="F206" i="3"/>
  <c r="G206" i="3"/>
  <c r="H206" i="3"/>
  <c r="J206" i="3"/>
  <c r="K206" i="3"/>
  <c r="L206" i="3"/>
  <c r="M206" i="3"/>
  <c r="N206" i="3"/>
  <c r="E207" i="3"/>
  <c r="F207" i="3"/>
  <c r="G207" i="3"/>
  <c r="H207" i="3"/>
  <c r="J207" i="3"/>
  <c r="K207" i="3"/>
  <c r="L207" i="3"/>
  <c r="M207" i="3"/>
  <c r="N207" i="3"/>
  <c r="F209" i="3"/>
  <c r="G209" i="3"/>
  <c r="H209" i="3"/>
  <c r="J209" i="3"/>
  <c r="K209" i="3"/>
  <c r="L209" i="3"/>
  <c r="M209" i="3"/>
  <c r="N209" i="3"/>
  <c r="E219" i="3"/>
  <c r="F219" i="3"/>
  <c r="G219" i="3"/>
  <c r="H219" i="3"/>
  <c r="J219" i="3"/>
  <c r="K219" i="3"/>
  <c r="L219" i="3"/>
  <c r="M219" i="3"/>
  <c r="N219" i="3"/>
  <c r="E221" i="3"/>
  <c r="F221" i="3"/>
  <c r="G221" i="3"/>
  <c r="H221" i="3"/>
  <c r="J221" i="3"/>
  <c r="K221" i="3"/>
  <c r="L221" i="3"/>
  <c r="M221" i="3"/>
  <c r="N221" i="3"/>
  <c r="E224" i="3"/>
  <c r="E223" i="3" s="1"/>
  <c r="F224" i="3"/>
  <c r="F223" i="3" s="1"/>
  <c r="G224" i="3"/>
  <c r="H224" i="3"/>
  <c r="J224" i="3"/>
  <c r="K224" i="3"/>
  <c r="K223" i="3" s="1"/>
  <c r="L224" i="3"/>
  <c r="M224" i="3"/>
  <c r="M223" i="3" s="1"/>
  <c r="N224" i="3"/>
  <c r="E227" i="3"/>
  <c r="E226" i="3" s="1"/>
  <c r="F227" i="3"/>
  <c r="F226" i="3" s="1"/>
  <c r="G227" i="3"/>
  <c r="G226" i="3" s="1"/>
  <c r="H227" i="3"/>
  <c r="H226" i="3" s="1"/>
  <c r="J227" i="3"/>
  <c r="J226" i="3" s="1"/>
  <c r="K227" i="3"/>
  <c r="K226" i="3" s="1"/>
  <c r="L227" i="3"/>
  <c r="L226" i="3" s="1"/>
  <c r="M227" i="3"/>
  <c r="M226" i="3" s="1"/>
  <c r="N227" i="3"/>
  <c r="N226" i="3" s="1"/>
  <c r="E228" i="3"/>
  <c r="F228" i="3"/>
  <c r="G228" i="3"/>
  <c r="H228" i="3"/>
  <c r="J228" i="3"/>
  <c r="K228" i="3"/>
  <c r="L228" i="3"/>
  <c r="M228" i="3"/>
  <c r="N228" i="3"/>
  <c r="D229" i="3"/>
  <c r="E229" i="3"/>
  <c r="F229" i="3"/>
  <c r="G229" i="3"/>
  <c r="H229" i="3"/>
  <c r="J229" i="3"/>
  <c r="K229" i="3"/>
  <c r="L229" i="3"/>
  <c r="M229" i="3"/>
  <c r="N229" i="3"/>
  <c r="J77" i="1"/>
  <c r="J299" i="1"/>
  <c r="J300" i="1"/>
  <c r="J301" i="1"/>
  <c r="I224" i="3" s="1"/>
  <c r="J302" i="1"/>
  <c r="J303" i="1"/>
  <c r="I228" i="3" s="1"/>
  <c r="J304" i="1"/>
  <c r="I229" i="3" s="1"/>
  <c r="J305" i="1"/>
  <c r="I233" i="3" s="1"/>
  <c r="I232" i="3" s="1"/>
  <c r="J298" i="1"/>
  <c r="J288" i="1"/>
  <c r="I168" i="3" s="1"/>
  <c r="I167" i="3" s="1"/>
  <c r="J289" i="1"/>
  <c r="J290" i="1"/>
  <c r="I205" i="3" s="1"/>
  <c r="J291" i="1"/>
  <c r="I206" i="3" s="1"/>
  <c r="J292" i="1"/>
  <c r="J287" i="1"/>
  <c r="J284" i="1"/>
  <c r="J259" i="1"/>
  <c r="J260" i="1"/>
  <c r="I161" i="3" s="1"/>
  <c r="J261" i="1"/>
  <c r="J262" i="1"/>
  <c r="I172" i="3" s="1"/>
  <c r="J263" i="1"/>
  <c r="I173" i="3" s="1"/>
  <c r="J266" i="1"/>
  <c r="J277" i="1"/>
  <c r="J278" i="1"/>
  <c r="J281" i="1"/>
  <c r="J258" i="1"/>
  <c r="J254" i="1"/>
  <c r="J224" i="1"/>
  <c r="J225" i="1"/>
  <c r="J226" i="1"/>
  <c r="I154" i="3" s="1"/>
  <c r="J227" i="1"/>
  <c r="I155" i="3" s="1"/>
  <c r="J228" i="1"/>
  <c r="I156" i="3" s="1"/>
  <c r="J229" i="1"/>
  <c r="J230" i="1"/>
  <c r="J231" i="1"/>
  <c r="J232" i="1"/>
  <c r="J233" i="1"/>
  <c r="J236" i="1"/>
  <c r="I181" i="3" s="1"/>
  <c r="J243" i="1"/>
  <c r="J244" i="1"/>
  <c r="J249" i="1"/>
  <c r="J251" i="1"/>
  <c r="J222" i="1"/>
  <c r="J208" i="1"/>
  <c r="I138" i="3" s="1"/>
  <c r="J209" i="1"/>
  <c r="J210" i="1"/>
  <c r="J211" i="1"/>
  <c r="J213" i="1"/>
  <c r="J206" i="1"/>
  <c r="J200" i="1"/>
  <c r="I113" i="3" s="1"/>
  <c r="J201" i="1"/>
  <c r="I114" i="3" s="1"/>
  <c r="J199" i="1"/>
  <c r="J165" i="1"/>
  <c r="J166" i="1"/>
  <c r="J168" i="1"/>
  <c r="I106" i="3" s="1"/>
  <c r="J169" i="1"/>
  <c r="J170" i="1"/>
  <c r="I108" i="3" s="1"/>
  <c r="J172" i="1"/>
  <c r="I110" i="3" s="1"/>
  <c r="J174" i="1"/>
  <c r="I112" i="3" s="1"/>
  <c r="J175" i="1"/>
  <c r="I118" i="3" s="1"/>
  <c r="J176" i="1"/>
  <c r="I119" i="3" s="1"/>
  <c r="J178" i="1"/>
  <c r="I121" i="3" s="1"/>
  <c r="J180" i="1"/>
  <c r="I123" i="3" s="1"/>
  <c r="J181" i="1"/>
  <c r="I124" i="3" s="1"/>
  <c r="J182" i="1"/>
  <c r="I125" i="3" s="1"/>
  <c r="J183" i="1"/>
  <c r="I126" i="3" s="1"/>
  <c r="J184" i="1"/>
  <c r="J191" i="1"/>
  <c r="J192" i="1"/>
  <c r="J195" i="1"/>
  <c r="I241" i="3" s="1"/>
  <c r="J162" i="1"/>
  <c r="J131" i="1"/>
  <c r="J136" i="1"/>
  <c r="J138" i="1"/>
  <c r="I87" i="3" s="1"/>
  <c r="J140" i="1"/>
  <c r="I89" i="3" s="1"/>
  <c r="J142" i="1"/>
  <c r="I91" i="3" s="1"/>
  <c r="J145" i="1"/>
  <c r="I94" i="3" s="1"/>
  <c r="J146" i="1"/>
  <c r="I95" i="3" s="1"/>
  <c r="J130" i="1"/>
  <c r="J80" i="1"/>
  <c r="I47" i="3" s="1"/>
  <c r="J83" i="1"/>
  <c r="I50" i="3" s="1"/>
  <c r="J90" i="1"/>
  <c r="I57" i="3" s="1"/>
  <c r="J93" i="1"/>
  <c r="I61" i="3" s="1"/>
  <c r="J94" i="1"/>
  <c r="I62" i="3" s="1"/>
  <c r="J96" i="1"/>
  <c r="I64" i="3" s="1"/>
  <c r="J103" i="1"/>
  <c r="I71" i="3" s="1"/>
  <c r="J76" i="1"/>
  <c r="J26" i="1"/>
  <c r="J27" i="1"/>
  <c r="J28" i="1"/>
  <c r="I115" i="3" s="1"/>
  <c r="J29" i="1"/>
  <c r="I116" i="3" s="1"/>
  <c r="J30" i="1"/>
  <c r="I117" i="3" s="1"/>
  <c r="J31" i="1"/>
  <c r="J32" i="1"/>
  <c r="J33" i="1"/>
  <c r="J34" i="1"/>
  <c r="J35" i="1"/>
  <c r="J36" i="1"/>
  <c r="I144" i="3" s="1"/>
  <c r="J37" i="1"/>
  <c r="I145" i="3" s="1"/>
  <c r="J38" i="1"/>
  <c r="I146" i="3" s="1"/>
  <c r="J39" i="1"/>
  <c r="I148" i="3" s="1"/>
  <c r="J40" i="1"/>
  <c r="I149" i="3" s="1"/>
  <c r="J41" i="1"/>
  <c r="I150" i="3" s="1"/>
  <c r="I188" i="3"/>
  <c r="I185" i="3" s="1"/>
  <c r="J49" i="1"/>
  <c r="J50" i="1"/>
  <c r="J51" i="1"/>
  <c r="J52" i="1"/>
  <c r="I209" i="3" s="1"/>
  <c r="J53" i="1"/>
  <c r="J54" i="1"/>
  <c r="J55" i="1"/>
  <c r="I218" i="3" s="1"/>
  <c r="J56" i="1"/>
  <c r="I219" i="3" s="1"/>
  <c r="J58" i="1"/>
  <c r="J59" i="1"/>
  <c r="J60" i="1"/>
  <c r="I227" i="3" s="1"/>
  <c r="I226" i="3" s="1"/>
  <c r="J21" i="1"/>
  <c r="J18" i="1" l="1"/>
  <c r="M96" i="3"/>
  <c r="K96" i="3"/>
  <c r="G96" i="3"/>
  <c r="L96" i="3"/>
  <c r="H96" i="3"/>
  <c r="F96" i="3"/>
  <c r="J276" i="1"/>
  <c r="J275" i="1" s="1"/>
  <c r="N151" i="3"/>
  <c r="L151" i="3"/>
  <c r="J151" i="3"/>
  <c r="G151" i="3"/>
  <c r="M151" i="3"/>
  <c r="K151" i="3"/>
  <c r="H151" i="3"/>
  <c r="F151" i="3"/>
  <c r="I20" i="3"/>
  <c r="I36" i="3"/>
  <c r="I225" i="3"/>
  <c r="I223" i="3" s="1"/>
  <c r="I135" i="3"/>
  <c r="M200" i="3"/>
  <c r="M163" i="3" s="1"/>
  <c r="K200" i="3"/>
  <c r="K163" i="3" s="1"/>
  <c r="H200" i="3"/>
  <c r="H163" i="3" s="1"/>
  <c r="F200" i="3"/>
  <c r="F163" i="3" s="1"/>
  <c r="N200" i="3"/>
  <c r="N163" i="3" s="1"/>
  <c r="L200" i="3"/>
  <c r="L163" i="3" s="1"/>
  <c r="J200" i="3"/>
  <c r="J163" i="3" s="1"/>
  <c r="G200" i="3"/>
  <c r="G163" i="3" s="1"/>
  <c r="H75" i="3"/>
  <c r="M75" i="3"/>
  <c r="K75" i="3"/>
  <c r="L75" i="3"/>
  <c r="F75" i="3"/>
  <c r="G75" i="3"/>
  <c r="E75" i="3"/>
  <c r="N75" i="3"/>
  <c r="J75" i="3"/>
  <c r="J197" i="1"/>
  <c r="I199" i="3"/>
  <c r="I198" i="3" s="1"/>
  <c r="I177" i="3"/>
  <c r="I80" i="3"/>
  <c r="I103" i="3"/>
  <c r="I85" i="3"/>
  <c r="I222" i="3"/>
  <c r="I221" i="3" s="1"/>
  <c r="I157" i="3"/>
  <c r="I153" i="3"/>
  <c r="I162" i="3"/>
  <c r="J297" i="1"/>
  <c r="I211" i="3"/>
  <c r="J286" i="1"/>
  <c r="J271" i="1"/>
  <c r="J256" i="1" s="1"/>
  <c r="I141" i="3"/>
  <c r="I139" i="3"/>
  <c r="I207" i="3"/>
  <c r="I140" i="3"/>
  <c r="E149" i="3"/>
  <c r="E142" i="3" s="1"/>
  <c r="I171" i="3"/>
  <c r="L216" i="3"/>
  <c r="J216" i="3"/>
  <c r="G216" i="3"/>
  <c r="I104" i="3"/>
  <c r="I202" i="3"/>
  <c r="I142" i="3"/>
  <c r="I127" i="3"/>
  <c r="N216" i="3"/>
  <c r="H216" i="3"/>
  <c r="M216" i="3"/>
  <c r="M214" i="3" s="1"/>
  <c r="K216" i="3"/>
  <c r="K214" i="3" s="1"/>
  <c r="F216" i="3"/>
  <c r="F214" i="3" s="1"/>
  <c r="E216" i="3"/>
  <c r="E214" i="3" s="1"/>
  <c r="I158" i="3"/>
  <c r="I216" i="3"/>
  <c r="M142" i="3"/>
  <c r="F142" i="3"/>
  <c r="I134" i="3"/>
  <c r="I107" i="3"/>
  <c r="N223" i="3"/>
  <c r="L223" i="3"/>
  <c r="J223" i="3"/>
  <c r="H223" i="3"/>
  <c r="G223" i="3"/>
  <c r="K142" i="3"/>
  <c r="L137" i="3"/>
  <c r="H137" i="3"/>
  <c r="N137" i="3"/>
  <c r="J137" i="3"/>
  <c r="G137" i="3"/>
  <c r="M137" i="3"/>
  <c r="K137" i="3"/>
  <c r="F137" i="3"/>
  <c r="E137" i="3"/>
  <c r="N142" i="3"/>
  <c r="L142" i="3"/>
  <c r="J142" i="3"/>
  <c r="H142" i="3"/>
  <c r="G142" i="3"/>
  <c r="J246" i="1"/>
  <c r="J216" i="1" s="1"/>
  <c r="I238" i="3" l="1"/>
  <c r="I230" i="3" s="1"/>
  <c r="M243" i="3"/>
  <c r="F243" i="3"/>
  <c r="K243" i="3"/>
  <c r="I151" i="3"/>
  <c r="I169" i="3"/>
  <c r="I210" i="3"/>
  <c r="I18" i="3"/>
  <c r="I75" i="3"/>
  <c r="I137" i="3"/>
  <c r="L214" i="3"/>
  <c r="L243" i="3" s="1"/>
  <c r="G214" i="3"/>
  <c r="G243" i="3" s="1"/>
  <c r="N214" i="3"/>
  <c r="J214" i="3"/>
  <c r="I214" i="3"/>
  <c r="H214" i="3"/>
  <c r="H243" i="3" s="1"/>
  <c r="E301" i="1"/>
  <c r="D224" i="3" s="1"/>
  <c r="D301" i="1"/>
  <c r="B301" i="1"/>
  <c r="E162" i="3" l="1"/>
  <c r="E151" i="3" s="1"/>
  <c r="E209" i="3"/>
  <c r="J151" i="1"/>
  <c r="P301" i="1"/>
  <c r="O224" i="3" s="1"/>
  <c r="J122" i="1" l="1"/>
  <c r="J121" i="1" s="1"/>
  <c r="I203" i="3"/>
  <c r="I200" i="3" s="1"/>
  <c r="I163" i="3" s="1"/>
  <c r="E200" i="3"/>
  <c r="E163" i="3" s="1"/>
  <c r="E236" i="1" l="1"/>
  <c r="C236" i="1"/>
  <c r="D236" i="1"/>
  <c r="B236" i="1"/>
  <c r="D181" i="3" l="1"/>
  <c r="P236" i="1"/>
  <c r="O181" i="3" s="1"/>
  <c r="E123" i="3" l="1"/>
  <c r="E96" i="3" s="1"/>
  <c r="E243" i="3" l="1"/>
  <c r="J78" i="1"/>
  <c r="J63" i="1" s="1"/>
  <c r="I38" i="3" l="1"/>
  <c r="I25" i="3" s="1"/>
  <c r="J205" i="1"/>
  <c r="D53" i="1"/>
  <c r="D281" i="1"/>
  <c r="D246" i="1"/>
  <c r="C209" i="1"/>
  <c r="B209" i="1"/>
  <c r="D200" i="1"/>
  <c r="P304" i="1"/>
  <c r="O229" i="3" s="1"/>
  <c r="E299" i="1"/>
  <c r="E300" i="1"/>
  <c r="E302" i="1"/>
  <c r="E303" i="1"/>
  <c r="D228" i="3" s="1"/>
  <c r="E305" i="1"/>
  <c r="D233" i="3" s="1"/>
  <c r="D232" i="3" s="1"/>
  <c r="E298" i="1"/>
  <c r="K296" i="1"/>
  <c r="L296" i="1"/>
  <c r="M296" i="1"/>
  <c r="N296" i="1"/>
  <c r="O296" i="1"/>
  <c r="F296" i="1"/>
  <c r="G296" i="1"/>
  <c r="H296" i="1"/>
  <c r="I296" i="1"/>
  <c r="E288" i="1"/>
  <c r="D168" i="3" s="1"/>
  <c r="D167" i="3" s="1"/>
  <c r="E289" i="1"/>
  <c r="E290" i="1"/>
  <c r="D205" i="3" s="1"/>
  <c r="E291" i="1"/>
  <c r="D206" i="3" s="1"/>
  <c r="E292" i="1"/>
  <c r="E287" i="1"/>
  <c r="E286" i="1" s="1"/>
  <c r="K285" i="1"/>
  <c r="L285" i="1"/>
  <c r="M285" i="1"/>
  <c r="N285" i="1"/>
  <c r="O285" i="1"/>
  <c r="F285" i="1"/>
  <c r="G285" i="1"/>
  <c r="H285" i="1"/>
  <c r="I285" i="1"/>
  <c r="J283" i="1"/>
  <c r="J282" i="1" s="1"/>
  <c r="E284" i="1"/>
  <c r="E283" i="1" s="1"/>
  <c r="E282" i="1" s="1"/>
  <c r="K283" i="1"/>
  <c r="K282" i="1" s="1"/>
  <c r="L283" i="1"/>
  <c r="L282" i="1" s="1"/>
  <c r="M283" i="1"/>
  <c r="M282" i="1" s="1"/>
  <c r="N283" i="1"/>
  <c r="N282" i="1" s="1"/>
  <c r="O283" i="1"/>
  <c r="O282" i="1" s="1"/>
  <c r="F283" i="1"/>
  <c r="F282" i="1" s="1"/>
  <c r="G283" i="1"/>
  <c r="G282" i="1" s="1"/>
  <c r="H283" i="1"/>
  <c r="H282" i="1" s="1"/>
  <c r="I283" i="1"/>
  <c r="I282" i="1" s="1"/>
  <c r="E278" i="1"/>
  <c r="E281" i="1"/>
  <c r="E277" i="1"/>
  <c r="K275" i="1"/>
  <c r="L275" i="1"/>
  <c r="M275" i="1"/>
  <c r="N275" i="1"/>
  <c r="O275" i="1"/>
  <c r="F275" i="1"/>
  <c r="G275" i="1"/>
  <c r="H275" i="1"/>
  <c r="I275" i="1"/>
  <c r="E259" i="1"/>
  <c r="E260" i="1"/>
  <c r="D161" i="3" s="1"/>
  <c r="E261" i="1"/>
  <c r="E262" i="1"/>
  <c r="D172" i="3" s="1"/>
  <c r="E263" i="1"/>
  <c r="D173" i="3" s="1"/>
  <c r="E266" i="1"/>
  <c r="E271" i="1"/>
  <c r="E258" i="1"/>
  <c r="E256" i="1" s="1"/>
  <c r="K255" i="1"/>
  <c r="M255" i="1"/>
  <c r="N255" i="1"/>
  <c r="O255" i="1"/>
  <c r="F255" i="1"/>
  <c r="G255" i="1"/>
  <c r="H255" i="1"/>
  <c r="I255" i="1"/>
  <c r="J253" i="1"/>
  <c r="J252" i="1" s="1"/>
  <c r="E254" i="1"/>
  <c r="E253" i="1" s="1"/>
  <c r="E252" i="1" s="1"/>
  <c r="K253" i="1"/>
  <c r="K252" i="1" s="1"/>
  <c r="L253" i="1"/>
  <c r="L252" i="1" s="1"/>
  <c r="M253" i="1"/>
  <c r="M252" i="1" s="1"/>
  <c r="N253" i="1"/>
  <c r="N252" i="1" s="1"/>
  <c r="O253" i="1"/>
  <c r="O252" i="1" s="1"/>
  <c r="F253" i="1"/>
  <c r="F252" i="1" s="1"/>
  <c r="G253" i="1"/>
  <c r="G252" i="1" s="1"/>
  <c r="H253" i="1"/>
  <c r="H252" i="1" s="1"/>
  <c r="I253" i="1"/>
  <c r="I252" i="1" s="1"/>
  <c r="E224" i="1"/>
  <c r="E225" i="1"/>
  <c r="D153" i="3" s="1"/>
  <c r="E226" i="1"/>
  <c r="E227" i="1"/>
  <c r="D155" i="3" s="1"/>
  <c r="E228" i="1"/>
  <c r="E229" i="1"/>
  <c r="E230" i="1"/>
  <c r="E231" i="1"/>
  <c r="E232" i="1"/>
  <c r="E233" i="1"/>
  <c r="P233" i="1" s="1"/>
  <c r="E243" i="1"/>
  <c r="E244" i="1"/>
  <c r="P244" i="1" s="1"/>
  <c r="E246" i="1"/>
  <c r="P246" i="1" s="1"/>
  <c r="E249" i="1"/>
  <c r="P249" i="1" s="1"/>
  <c r="E251" i="1"/>
  <c r="E222" i="1"/>
  <c r="K215" i="1"/>
  <c r="L215" i="1"/>
  <c r="M215" i="1"/>
  <c r="N215" i="1"/>
  <c r="O215" i="1"/>
  <c r="F215" i="1"/>
  <c r="G215" i="1"/>
  <c r="H215" i="1"/>
  <c r="I215" i="1"/>
  <c r="E208" i="1"/>
  <c r="E209" i="1"/>
  <c r="E210" i="1"/>
  <c r="E211" i="1"/>
  <c r="E213" i="1"/>
  <c r="E206" i="1"/>
  <c r="E205" i="1" s="1"/>
  <c r="K204" i="1"/>
  <c r="L204" i="1"/>
  <c r="M204" i="1"/>
  <c r="N204" i="1"/>
  <c r="F204" i="1"/>
  <c r="G204" i="1"/>
  <c r="H204" i="1"/>
  <c r="I204" i="1"/>
  <c r="E200" i="1"/>
  <c r="D113" i="3" s="1"/>
  <c r="E201" i="1"/>
  <c r="D114" i="3" s="1"/>
  <c r="E199" i="1"/>
  <c r="K196" i="1"/>
  <c r="L196" i="1"/>
  <c r="M196" i="1"/>
  <c r="N196" i="1"/>
  <c r="O196" i="1"/>
  <c r="F196" i="1"/>
  <c r="G196" i="1"/>
  <c r="H196" i="1"/>
  <c r="I196" i="1"/>
  <c r="E164" i="1"/>
  <c r="D102" i="3" s="1"/>
  <c r="E165" i="1"/>
  <c r="E166" i="1"/>
  <c r="E168" i="1"/>
  <c r="D106" i="3" s="1"/>
  <c r="E169" i="1"/>
  <c r="E170" i="1"/>
  <c r="D108" i="3" s="1"/>
  <c r="E172" i="1"/>
  <c r="D110" i="3" s="1"/>
  <c r="E174" i="1"/>
  <c r="E175" i="1"/>
  <c r="D118" i="3" s="1"/>
  <c r="E176" i="1"/>
  <c r="E178" i="1"/>
  <c r="D121" i="3" s="1"/>
  <c r="E180" i="1"/>
  <c r="D123" i="3" s="1"/>
  <c r="E181" i="1"/>
  <c r="D124" i="3" s="1"/>
  <c r="E182" i="1"/>
  <c r="D125" i="3" s="1"/>
  <c r="E183" i="1"/>
  <c r="D126" i="3" s="1"/>
  <c r="E184" i="1"/>
  <c r="E191" i="1"/>
  <c r="E192" i="1"/>
  <c r="E195" i="1"/>
  <c r="E162" i="1"/>
  <c r="E156" i="1" s="1"/>
  <c r="L155" i="1"/>
  <c r="M155" i="1"/>
  <c r="N155" i="1"/>
  <c r="F155" i="1"/>
  <c r="G155" i="1"/>
  <c r="H155" i="1"/>
  <c r="I155" i="1"/>
  <c r="E131" i="1"/>
  <c r="E136" i="1"/>
  <c r="E138" i="1"/>
  <c r="D87" i="3" s="1"/>
  <c r="E140" i="1"/>
  <c r="D89" i="3" s="1"/>
  <c r="E142" i="1"/>
  <c r="D91" i="3" s="1"/>
  <c r="E145" i="1"/>
  <c r="D94" i="3" s="1"/>
  <c r="D95" i="3"/>
  <c r="E151" i="1"/>
  <c r="E130" i="1"/>
  <c r="E122" i="1" s="1"/>
  <c r="K62" i="1"/>
  <c r="L62" i="1"/>
  <c r="M62" i="1"/>
  <c r="N62" i="1"/>
  <c r="O62" i="1"/>
  <c r="F62" i="1"/>
  <c r="G62" i="1"/>
  <c r="H62" i="1"/>
  <c r="I62" i="1"/>
  <c r="E77" i="1"/>
  <c r="E78" i="1"/>
  <c r="E80" i="1"/>
  <c r="D47" i="3" s="1"/>
  <c r="E83" i="1"/>
  <c r="D50" i="3" s="1"/>
  <c r="E90" i="1"/>
  <c r="D57" i="3" s="1"/>
  <c r="E93" i="1"/>
  <c r="D61" i="3" s="1"/>
  <c r="E94" i="1"/>
  <c r="D62" i="3" s="1"/>
  <c r="E96" i="1"/>
  <c r="D64" i="3" s="1"/>
  <c r="E103" i="1"/>
  <c r="D71" i="3" s="1"/>
  <c r="E76" i="1"/>
  <c r="E23" i="1"/>
  <c r="D22" i="3" s="1"/>
  <c r="E26" i="1"/>
  <c r="E27" i="1"/>
  <c r="E28" i="1"/>
  <c r="D115" i="3" s="1"/>
  <c r="E29" i="1"/>
  <c r="D116" i="3" s="1"/>
  <c r="E30" i="1"/>
  <c r="D117" i="3" s="1"/>
  <c r="E31" i="1"/>
  <c r="E32" i="1"/>
  <c r="E33" i="1"/>
  <c r="E34" i="1"/>
  <c r="E35" i="1"/>
  <c r="E36" i="1"/>
  <c r="D144" i="3" s="1"/>
  <c r="E37" i="1"/>
  <c r="D145" i="3" s="1"/>
  <c r="E38" i="1"/>
  <c r="E39" i="1"/>
  <c r="D148" i="3" s="1"/>
  <c r="E40" i="1"/>
  <c r="E41" i="1"/>
  <c r="D150" i="3" s="1"/>
  <c r="E44" i="1"/>
  <c r="D188" i="3" s="1"/>
  <c r="D185" i="3" s="1"/>
  <c r="E49" i="1"/>
  <c r="E50" i="1"/>
  <c r="E51" i="1"/>
  <c r="E52" i="1"/>
  <c r="D209" i="3" s="1"/>
  <c r="E53" i="1"/>
  <c r="E54" i="1"/>
  <c r="E55" i="1"/>
  <c r="D218" i="3" s="1"/>
  <c r="E56" i="1"/>
  <c r="D219" i="3" s="1"/>
  <c r="E58" i="1"/>
  <c r="E59" i="1"/>
  <c r="E60" i="1"/>
  <c r="D227" i="3" s="1"/>
  <c r="D226" i="3" s="1"/>
  <c r="E21" i="1"/>
  <c r="K17" i="1"/>
  <c r="M17" i="1"/>
  <c r="N17" i="1"/>
  <c r="O17" i="1"/>
  <c r="F17" i="1"/>
  <c r="G17" i="1"/>
  <c r="H17" i="1"/>
  <c r="I17" i="1"/>
  <c r="L17" i="1"/>
  <c r="D241" i="3" l="1"/>
  <c r="E63" i="1"/>
  <c r="E197" i="1"/>
  <c r="E196" i="1" s="1"/>
  <c r="E216" i="1"/>
  <c r="E215" i="1" s="1"/>
  <c r="E276" i="1"/>
  <c r="E297" i="1"/>
  <c r="E296" i="1" s="1"/>
  <c r="D36" i="3"/>
  <c r="E62" i="1"/>
  <c r="E18" i="1"/>
  <c r="E17" i="1" s="1"/>
  <c r="D146" i="3"/>
  <c r="E121" i="1"/>
  <c r="D138" i="3"/>
  <c r="E204" i="1"/>
  <c r="I306" i="1"/>
  <c r="G306" i="1"/>
  <c r="M306" i="1"/>
  <c r="D20" i="3"/>
  <c r="D18" i="3" s="1"/>
  <c r="H306" i="1"/>
  <c r="N306" i="1"/>
  <c r="F306" i="1"/>
  <c r="D112" i="3"/>
  <c r="E155" i="1"/>
  <c r="D38" i="3"/>
  <c r="D25" i="3" s="1"/>
  <c r="D225" i="3"/>
  <c r="D223" i="3" s="1"/>
  <c r="D203" i="3"/>
  <c r="D135" i="3"/>
  <c r="D210" i="3"/>
  <c r="E275" i="1"/>
  <c r="D149" i="3"/>
  <c r="E255" i="1"/>
  <c r="D199" i="3"/>
  <c r="D198" i="3" s="1"/>
  <c r="D177" i="3"/>
  <c r="P192" i="1"/>
  <c r="D80" i="3"/>
  <c r="P224" i="1"/>
  <c r="D103" i="3"/>
  <c r="D85" i="3"/>
  <c r="D156" i="3"/>
  <c r="D222" i="3"/>
  <c r="D221" i="3" s="1"/>
  <c r="D157" i="3"/>
  <c r="D162" i="3"/>
  <c r="D211" i="3"/>
  <c r="P251" i="1"/>
  <c r="D154" i="3"/>
  <c r="E285" i="1"/>
  <c r="D158" i="3"/>
  <c r="D207" i="3"/>
  <c r="D119" i="3"/>
  <c r="D202" i="3"/>
  <c r="P222" i="1"/>
  <c r="O204" i="1"/>
  <c r="D140" i="3"/>
  <c r="D127" i="3"/>
  <c r="D171" i="3"/>
  <c r="D141" i="3"/>
  <c r="D139" i="3"/>
  <c r="J204" i="1"/>
  <c r="D216" i="3"/>
  <c r="P195" i="1"/>
  <c r="D134" i="3"/>
  <c r="D107" i="3"/>
  <c r="D104" i="3"/>
  <c r="P21" i="1"/>
  <c r="P59" i="1"/>
  <c r="P56" i="1"/>
  <c r="O219" i="3" s="1"/>
  <c r="P54" i="1"/>
  <c r="P52" i="1"/>
  <c r="O209" i="3" s="1"/>
  <c r="P50" i="1"/>
  <c r="P103" i="1"/>
  <c r="O71" i="3" s="1"/>
  <c r="P96" i="1"/>
  <c r="O64" i="3" s="1"/>
  <c r="P94" i="1"/>
  <c r="O62" i="3" s="1"/>
  <c r="P83" i="1"/>
  <c r="O50" i="3" s="1"/>
  <c r="P80" i="1"/>
  <c r="O47" i="3" s="1"/>
  <c r="P78" i="1"/>
  <c r="P130" i="1"/>
  <c r="P183" i="1"/>
  <c r="O126" i="3" s="1"/>
  <c r="P181" i="1"/>
  <c r="O124" i="3" s="1"/>
  <c r="P178" i="1"/>
  <c r="O121" i="3" s="1"/>
  <c r="P175" i="1"/>
  <c r="O118" i="3" s="1"/>
  <c r="P172" i="1"/>
  <c r="O110" i="3" s="1"/>
  <c r="P169" i="1"/>
  <c r="P166" i="1"/>
  <c r="P231" i="1"/>
  <c r="P229" i="1"/>
  <c r="P226" i="1"/>
  <c r="O154" i="3" s="1"/>
  <c r="P262" i="1"/>
  <c r="O172" i="3" s="1"/>
  <c r="P305" i="1"/>
  <c r="O233" i="3" s="1"/>
  <c r="O232" i="3" s="1"/>
  <c r="P60" i="1"/>
  <c r="O227" i="3" s="1"/>
  <c r="O226" i="3" s="1"/>
  <c r="P58" i="1"/>
  <c r="P55" i="1"/>
  <c r="O218" i="3" s="1"/>
  <c r="P53" i="1"/>
  <c r="P51" i="1"/>
  <c r="O207" i="3" s="1"/>
  <c r="P49" i="1"/>
  <c r="P93" i="1"/>
  <c r="O61" i="3" s="1"/>
  <c r="P90" i="1"/>
  <c r="O57" i="3" s="1"/>
  <c r="P162" i="1"/>
  <c r="P184" i="1"/>
  <c r="P182" i="1"/>
  <c r="O125" i="3" s="1"/>
  <c r="P180" i="1"/>
  <c r="O123" i="3" s="1"/>
  <c r="P176" i="1"/>
  <c r="O119" i="3" s="1"/>
  <c r="P174" i="1"/>
  <c r="O112" i="3" s="1"/>
  <c r="P170" i="1"/>
  <c r="O108" i="3" s="1"/>
  <c r="P168" i="1"/>
  <c r="O106" i="3" s="1"/>
  <c r="P165" i="1"/>
  <c r="P230" i="1"/>
  <c r="P228" i="1"/>
  <c r="P227" i="1"/>
  <c r="O155" i="3" s="1"/>
  <c r="P263" i="1"/>
  <c r="O173" i="3" s="1"/>
  <c r="P298" i="1"/>
  <c r="J215" i="1"/>
  <c r="P243" i="1"/>
  <c r="P277" i="1"/>
  <c r="P278" i="1"/>
  <c r="P290" i="1"/>
  <c r="O205" i="3" s="1"/>
  <c r="J285" i="1"/>
  <c r="P302" i="1"/>
  <c r="P299" i="1"/>
  <c r="P201" i="1"/>
  <c r="O114" i="3" s="1"/>
  <c r="P200" i="1"/>
  <c r="O113" i="3" s="1"/>
  <c r="P44" i="1"/>
  <c r="O188" i="3" s="1"/>
  <c r="O185" i="3" s="1"/>
  <c r="P38" i="1"/>
  <c r="O146" i="3" s="1"/>
  <c r="P36" i="1"/>
  <c r="O144" i="3" s="1"/>
  <c r="P34" i="1"/>
  <c r="P32" i="1"/>
  <c r="P30" i="1"/>
  <c r="O117" i="3" s="1"/>
  <c r="P28" i="1"/>
  <c r="O115" i="3" s="1"/>
  <c r="P26" i="1"/>
  <c r="P206" i="1"/>
  <c r="P271" i="1"/>
  <c r="P284" i="1"/>
  <c r="P283" i="1" s="1"/>
  <c r="P282" i="1" s="1"/>
  <c r="P291" i="1"/>
  <c r="O206" i="3" s="1"/>
  <c r="P289" i="1"/>
  <c r="P288" i="1"/>
  <c r="O168" i="3" s="1"/>
  <c r="O167" i="3" s="1"/>
  <c r="P292" i="1"/>
  <c r="P232" i="1"/>
  <c r="P41" i="1"/>
  <c r="O150" i="3" s="1"/>
  <c r="P39" i="1"/>
  <c r="O148" i="3" s="1"/>
  <c r="P37" i="1"/>
  <c r="O145" i="3" s="1"/>
  <c r="P35" i="1"/>
  <c r="P31" i="1"/>
  <c r="P29" i="1"/>
  <c r="O116" i="3" s="1"/>
  <c r="P27" i="1"/>
  <c r="P151" i="1"/>
  <c r="P146" i="1"/>
  <c r="O95" i="3" s="1"/>
  <c r="P145" i="1"/>
  <c r="O94" i="3" s="1"/>
  <c r="P142" i="1"/>
  <c r="O91" i="3" s="1"/>
  <c r="P140" i="1"/>
  <c r="O89" i="3" s="1"/>
  <c r="P138" i="1"/>
  <c r="O87" i="3" s="1"/>
  <c r="P136" i="1"/>
  <c r="P131" i="1"/>
  <c r="J196" i="1"/>
  <c r="P211" i="1"/>
  <c r="P213" i="1"/>
  <c r="P208" i="1"/>
  <c r="P266" i="1"/>
  <c r="O177" i="3" s="1"/>
  <c r="P261" i="1"/>
  <c r="P23" i="1"/>
  <c r="O22" i="3" s="1"/>
  <c r="P33" i="1"/>
  <c r="P225" i="1"/>
  <c r="O153" i="3" s="1"/>
  <c r="P281" i="1"/>
  <c r="P40" i="1"/>
  <c r="O149" i="3" s="1"/>
  <c r="P77" i="1"/>
  <c r="O36" i="3" s="1"/>
  <c r="P199" i="1"/>
  <c r="P210" i="1"/>
  <c r="P209" i="1"/>
  <c r="P300" i="1"/>
  <c r="P258" i="1"/>
  <c r="P259" i="1"/>
  <c r="P303" i="1"/>
  <c r="O228" i="3" s="1"/>
  <c r="J296" i="1"/>
  <c r="J62" i="1"/>
  <c r="P287" i="1"/>
  <c r="P254" i="1"/>
  <c r="P253" i="1" s="1"/>
  <c r="P252" i="1" s="1"/>
  <c r="P76" i="1"/>
  <c r="J17" i="1"/>
  <c r="P191" i="1"/>
  <c r="D214" i="3" l="1"/>
  <c r="O241" i="3"/>
  <c r="O238" i="3" s="1"/>
  <c r="O230" i="3" s="1"/>
  <c r="P63" i="1"/>
  <c r="D238" i="3"/>
  <c r="D230" i="3" s="1"/>
  <c r="D96" i="3"/>
  <c r="P216" i="1"/>
  <c r="P62" i="1"/>
  <c r="P18" i="1"/>
  <c r="P276" i="1"/>
  <c r="D169" i="3"/>
  <c r="D151" i="3"/>
  <c r="E306" i="1"/>
  <c r="O20" i="3"/>
  <c r="O18" i="3" s="1"/>
  <c r="O135" i="3"/>
  <c r="O38" i="3"/>
  <c r="O25" i="3" s="1"/>
  <c r="D75" i="3"/>
  <c r="O203" i="3"/>
  <c r="O225" i="3"/>
  <c r="O223" i="3" s="1"/>
  <c r="D200" i="3"/>
  <c r="P205" i="1"/>
  <c r="O210" i="3"/>
  <c r="D142" i="3"/>
  <c r="P122" i="1"/>
  <c r="P121" i="1" s="1"/>
  <c r="P197" i="1"/>
  <c r="O199" i="3"/>
  <c r="O198" i="3" s="1"/>
  <c r="O138" i="3"/>
  <c r="O127" i="3"/>
  <c r="O80" i="3"/>
  <c r="O103" i="3"/>
  <c r="O85" i="3"/>
  <c r="O156" i="3"/>
  <c r="O222" i="3"/>
  <c r="O221" i="3" s="1"/>
  <c r="O157" i="3"/>
  <c r="O211" i="3"/>
  <c r="O162" i="3"/>
  <c r="P297" i="1"/>
  <c r="P286" i="1"/>
  <c r="O171" i="3"/>
  <c r="O169" i="3" s="1"/>
  <c r="O134" i="3"/>
  <c r="D137" i="3"/>
  <c r="O202" i="3"/>
  <c r="O216" i="3"/>
  <c r="O158" i="3"/>
  <c r="O141" i="3"/>
  <c r="O140" i="3"/>
  <c r="O107" i="3"/>
  <c r="O142" i="3"/>
  <c r="O139" i="3"/>
  <c r="O104" i="3"/>
  <c r="L255" i="1"/>
  <c r="L306" i="1" s="1"/>
  <c r="D163" i="3" l="1"/>
  <c r="D243" i="3" s="1"/>
  <c r="O200" i="3"/>
  <c r="O163" i="3" s="1"/>
  <c r="O75" i="3"/>
  <c r="O214" i="3"/>
  <c r="O137" i="3"/>
  <c r="P260" i="1"/>
  <c r="P256" i="1" s="1"/>
  <c r="J255" i="1"/>
  <c r="O161" i="3" l="1"/>
  <c r="O151" i="3" s="1"/>
  <c r="J102" i="3" l="1"/>
  <c r="J96" i="3" s="1"/>
  <c r="K155" i="1"/>
  <c r="K306" i="1" s="1"/>
  <c r="N102" i="3"/>
  <c r="N96" i="3" s="1"/>
  <c r="O155" i="1"/>
  <c r="O306" i="1" s="1"/>
  <c r="J164" i="1"/>
  <c r="J156" i="1" s="1"/>
  <c r="N243" i="3" l="1"/>
  <c r="J243" i="3"/>
  <c r="I102" i="3"/>
  <c r="I96" i="3" s="1"/>
  <c r="P164" i="1"/>
  <c r="P156" i="1" s="1"/>
  <c r="P17" i="1"/>
  <c r="P275" i="1"/>
  <c r="P296" i="1"/>
  <c r="I243" i="3" l="1"/>
  <c r="O102" i="3"/>
  <c r="O96" i="3" s="1"/>
  <c r="P155" i="1"/>
  <c r="J155" i="1"/>
  <c r="J306" i="1" s="1"/>
  <c r="P285" i="1"/>
  <c r="P255" i="1"/>
  <c r="P215" i="1"/>
  <c r="P204" i="1"/>
  <c r="P196" i="1"/>
  <c r="O243" i="3" l="1"/>
  <c r="P306" i="1"/>
  <c r="C56" i="1"/>
  <c r="C300" i="1" l="1"/>
  <c r="D300" i="1"/>
  <c r="B300" i="1"/>
  <c r="C244" i="1"/>
  <c r="D244" i="1"/>
  <c r="B244" i="1"/>
  <c r="C168" i="1" l="1"/>
  <c r="D168" i="1"/>
  <c r="B168" i="1"/>
  <c r="C33" i="1"/>
  <c r="D33" i="1"/>
  <c r="B33" i="1"/>
  <c r="B142" i="1"/>
  <c r="C142" i="1"/>
  <c r="D142" i="1"/>
  <c r="B176" i="1"/>
  <c r="C176" i="1"/>
  <c r="D176" i="1"/>
  <c r="B178" i="1"/>
  <c r="C178" i="1"/>
  <c r="C172" i="1"/>
  <c r="D172" i="1"/>
  <c r="B172" i="1"/>
  <c r="C281" i="1"/>
  <c r="B281" i="1"/>
  <c r="C278" i="1"/>
  <c r="D278" i="1"/>
  <c r="B278" i="1"/>
  <c r="D146" i="1"/>
  <c r="C146" i="1"/>
  <c r="B146" i="1"/>
  <c r="C145" i="1"/>
  <c r="D145" i="1"/>
  <c r="B145" i="1"/>
  <c r="C53" i="1"/>
  <c r="B53" i="1"/>
  <c r="C195" i="1"/>
  <c r="B195" i="1"/>
  <c r="C191" i="1"/>
  <c r="D191" i="1"/>
  <c r="C192" i="1"/>
  <c r="B192" i="1"/>
  <c r="B191" i="1"/>
  <c r="C184" i="1"/>
  <c r="D184" i="1"/>
  <c r="B184" i="1"/>
  <c r="C183" i="1"/>
  <c r="D183" i="1"/>
  <c r="B183" i="1"/>
  <c r="C182" i="1"/>
  <c r="B182" i="1"/>
  <c r="C181" i="1"/>
  <c r="D181" i="1"/>
  <c r="B181" i="1"/>
  <c r="C180" i="1"/>
  <c r="D180" i="1"/>
  <c r="B180" i="1"/>
  <c r="C175" i="1"/>
  <c r="D175" i="1"/>
  <c r="B175" i="1"/>
  <c r="C174" i="1"/>
  <c r="D174" i="1"/>
  <c r="B174" i="1"/>
  <c r="C170" i="1"/>
  <c r="D170" i="1"/>
  <c r="B170" i="1"/>
  <c r="C169" i="1"/>
  <c r="D169" i="1"/>
  <c r="B169" i="1"/>
  <c r="C166" i="1"/>
  <c r="D166" i="1"/>
  <c r="B166" i="1"/>
  <c r="C165" i="1"/>
  <c r="B165" i="1"/>
  <c r="C164" i="1"/>
  <c r="D164" i="1"/>
  <c r="B164" i="1"/>
  <c r="C151" i="1"/>
  <c r="B151" i="1"/>
  <c r="C140" i="1"/>
  <c r="D140" i="1"/>
  <c r="B140" i="1"/>
  <c r="C138" i="1"/>
  <c r="D138" i="1"/>
  <c r="B138" i="1"/>
  <c r="C136" i="1"/>
  <c r="B136" i="1"/>
  <c r="C131" i="1"/>
  <c r="B131" i="1"/>
  <c r="C94" i="1"/>
  <c r="C96" i="1"/>
  <c r="C78" i="1"/>
  <c r="B78" i="1"/>
  <c r="C77" i="1"/>
  <c r="B77" i="1"/>
  <c r="C60" i="1"/>
  <c r="D60" i="1"/>
  <c r="B60" i="1"/>
  <c r="C59" i="1"/>
  <c r="D59" i="1"/>
  <c r="B59" i="1"/>
  <c r="C58" i="1"/>
  <c r="D58" i="1"/>
  <c r="B58" i="1"/>
  <c r="B56" i="1"/>
  <c r="C55" i="1"/>
  <c r="D55" i="1"/>
  <c r="B55" i="1"/>
  <c r="C54" i="1"/>
  <c r="D54" i="1"/>
  <c r="B54" i="1"/>
  <c r="C52" i="1"/>
  <c r="D52" i="1"/>
  <c r="B52" i="1"/>
  <c r="C51" i="1"/>
  <c r="B51" i="1"/>
  <c r="C50" i="1"/>
  <c r="D50" i="1"/>
  <c r="B50" i="1"/>
  <c r="C49" i="1"/>
  <c r="B49" i="1"/>
  <c r="C44" i="1"/>
  <c r="D44" i="1"/>
  <c r="B44" i="1"/>
  <c r="C31" i="1"/>
  <c r="D31" i="1"/>
  <c r="C32" i="1"/>
  <c r="B32" i="1"/>
  <c r="B31" i="1"/>
  <c r="C34" i="1"/>
  <c r="D34" i="1"/>
  <c r="C35" i="1"/>
  <c r="D35" i="1"/>
  <c r="B35" i="1"/>
  <c r="B34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0" i="1"/>
  <c r="B30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201" i="1"/>
  <c r="C201" i="1"/>
  <c r="B201" i="1"/>
  <c r="C208" i="1"/>
  <c r="D208" i="1"/>
  <c r="B208" i="1"/>
  <c r="C210" i="1"/>
  <c r="D210" i="1"/>
  <c r="C211" i="1"/>
  <c r="D211" i="1"/>
  <c r="B211" i="1"/>
  <c r="B210" i="1"/>
  <c r="C213" i="1"/>
  <c r="B213" i="1"/>
  <c r="C224" i="1"/>
  <c r="D224" i="1"/>
  <c r="B224" i="1"/>
  <c r="C228" i="1"/>
  <c r="D228" i="1"/>
  <c r="B228" i="1"/>
  <c r="C227" i="1"/>
  <c r="D227" i="1"/>
  <c r="B227" i="1"/>
  <c r="C226" i="1"/>
  <c r="D226" i="1"/>
  <c r="B226" i="1"/>
  <c r="C225" i="1"/>
  <c r="D225" i="1"/>
  <c r="B225" i="1"/>
  <c r="C229" i="1"/>
  <c r="D229" i="1"/>
  <c r="B229" i="1"/>
  <c r="C230" i="1"/>
  <c r="D230" i="1"/>
  <c r="B230" i="1"/>
  <c r="C231" i="1"/>
  <c r="D231" i="1"/>
  <c r="B231" i="1"/>
  <c r="C232" i="1"/>
  <c r="B232" i="1"/>
  <c r="C233" i="1"/>
  <c r="B233" i="1"/>
  <c r="C243" i="1"/>
  <c r="B243" i="1"/>
  <c r="C249" i="1"/>
  <c r="D249" i="1"/>
  <c r="B249" i="1"/>
  <c r="C251" i="1"/>
  <c r="B251" i="1"/>
  <c r="C259" i="1"/>
  <c r="D259" i="1"/>
  <c r="B259" i="1"/>
  <c r="C260" i="1"/>
  <c r="B260" i="1"/>
  <c r="C261" i="1"/>
  <c r="D261" i="1"/>
  <c r="B261" i="1"/>
  <c r="C263" i="1"/>
  <c r="B263" i="1"/>
  <c r="C262" i="1"/>
  <c r="B262" i="1"/>
  <c r="C266" i="1"/>
  <c r="B266" i="1"/>
  <c r="C271" i="1"/>
  <c r="B271" i="1"/>
  <c r="C288" i="1"/>
  <c r="D288" i="1"/>
  <c r="B288" i="1"/>
  <c r="C289" i="1"/>
  <c r="D289" i="1"/>
  <c r="B289" i="1"/>
  <c r="C290" i="1"/>
  <c r="D290" i="1"/>
  <c r="B290" i="1"/>
  <c r="C291" i="1"/>
  <c r="D291" i="1"/>
  <c r="B291" i="1"/>
  <c r="C292" i="1"/>
  <c r="D292" i="1"/>
  <c r="B292" i="1"/>
  <c r="C299" i="1"/>
  <c r="B299" i="1"/>
  <c r="C302" i="1"/>
  <c r="D302" i="1"/>
  <c r="B302" i="1"/>
  <c r="C303" i="1"/>
  <c r="D303" i="1"/>
  <c r="B303" i="1"/>
  <c r="C304" i="1"/>
  <c r="D304" i="1"/>
  <c r="C305" i="1"/>
  <c r="D305" i="1"/>
  <c r="B305" i="1"/>
  <c r="C298" i="1"/>
  <c r="B298" i="1"/>
  <c r="C287" i="1"/>
  <c r="B287" i="1"/>
  <c r="C284" i="1"/>
  <c r="B284" i="1"/>
  <c r="C277" i="1"/>
  <c r="B277" i="1"/>
  <c r="C258" i="1"/>
  <c r="B258" i="1"/>
  <c r="C254" i="1"/>
  <c r="B254" i="1"/>
  <c r="C222" i="1"/>
  <c r="B222" i="1"/>
  <c r="C206" i="1"/>
  <c r="B206" i="1"/>
  <c r="C199" i="1"/>
  <c r="B199" i="1"/>
  <c r="C162" i="1"/>
  <c r="B162" i="1"/>
  <c r="C130" i="1"/>
  <c r="B130" i="1"/>
  <c r="C76" i="1"/>
  <c r="B76" i="1"/>
  <c r="C21" i="1"/>
  <c r="B21" i="1"/>
  <c r="E77" i="3" l="1"/>
  <c r="F312" i="1" l="1"/>
  <c r="D77" i="3"/>
  <c r="I77" i="3"/>
  <c r="O77" i="3" l="1"/>
  <c r="D79" i="3" l="1"/>
  <c r="D76" i="3" l="1"/>
  <c r="I79" i="3"/>
  <c r="I78" i="3"/>
  <c r="I245" i="3" s="1"/>
  <c r="O79" i="3"/>
  <c r="O78" i="3" l="1"/>
  <c r="O245" i="3" s="1"/>
  <c r="I76" i="3"/>
  <c r="O76" i="3" l="1"/>
  <c r="J312" i="1" l="1"/>
  <c r="I186" i="3"/>
  <c r="I165" i="3" s="1"/>
  <c r="D186" i="3"/>
  <c r="D165" i="3" s="1"/>
  <c r="P312" i="1" l="1"/>
  <c r="O186" i="3"/>
  <c r="O165" i="3" s="1"/>
  <c r="D164" i="3" l="1"/>
  <c r="I170" i="3" l="1"/>
  <c r="O170" i="3"/>
  <c r="O164" i="3" l="1"/>
  <c r="O244" i="3"/>
  <c r="I164" i="3"/>
  <c r="I244" i="3"/>
  <c r="J311" i="1" l="1"/>
  <c r="P311" i="1"/>
</calcChain>
</file>

<file path=xl/sharedStrings.xml><?xml version="1.0" encoding="utf-8"?>
<sst xmlns="http://schemas.openxmlformats.org/spreadsheetml/2006/main" count="1021" uniqueCount="618">
  <si>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</si>
  <si>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</si>
  <si>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</si>
  <si>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</si>
  <si>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</si>
  <si>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</si>
  <si>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</si>
  <si>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</si>
  <si>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</si>
  <si>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</si>
  <si>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</si>
  <si>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</si>
  <si>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</si>
  <si>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</si>
  <si>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</si>
  <si>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</si>
  <si>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</si>
  <si>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</si>
  <si>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</si>
  <si>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</si>
  <si>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</si>
  <si>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</si>
  <si>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</si>
  <si>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</si>
  <si>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</si>
  <si>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</si>
  <si>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</si>
  <si>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</si>
  <si>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</si>
  <si>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</si>
  <si>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</si>
  <si>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</si>
  <si>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</si>
  <si>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</si>
  <si>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</si>
  <si>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</si>
  <si>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</si>
  <si>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</si>
  <si>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</si>
  <si>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</si>
  <si>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</si>
  <si>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</si>
  <si>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</si>
  <si>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</si>
  <si>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</si>
  <si>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</si>
  <si>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</si>
  <si>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</si>
  <si>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</si>
  <si>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</si>
  <si>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</si>
  <si>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</si>
  <si>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</si>
  <si>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</si>
  <si>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</si>
  <si>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</si>
  <si>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</si>
  <si>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</si>
  <si>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</si>
  <si>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</si>
  <si>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</si>
  <si>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</si>
  <si>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</si>
  <si>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</si>
  <si>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</si>
  <si>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</si>
  <si>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</si>
  <si>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</si>
  <si>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</si>
  <si>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</si>
  <si>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</si>
  <si>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</si>
  <si>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</si>
  <si>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</si>
  <si>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</si>
  <si>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</si>
  <si>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</si>
  <si>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</si>
  <si>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</si>
  <si>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</si>
  <si>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</si>
  <si>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</si>
  <si>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</si>
  <si>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</si>
  <si>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</si>
  <si>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</si>
  <si>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</si>
  <si>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</si>
  <si>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</si>
  <si>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</si>
  <si>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</si>
  <si>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</si>
  <si>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</si>
  <si>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</si>
  <si>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</si>
  <si>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</si>
  <si>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</si>
  <si>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</si>
  <si>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</si>
  <si>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</si>
  <si>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</si>
  <si>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</si>
  <si>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</si>
  <si>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</si>
  <si>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</si>
  <si>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</si>
  <si>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</si>
  <si>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</si>
  <si>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</si>
  <si>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</si>
  <si>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</si>
  <si>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</si>
  <si>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</si>
  <si>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</si>
  <si>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</si>
  <si>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</si>
  <si>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</si>
  <si>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</si>
  <si>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</si>
  <si>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</si>
  <si>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</si>
  <si>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</si>
  <si>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</si>
  <si>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</si>
  <si>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</si>
  <si>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</si>
  <si>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</si>
  <si>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</si>
  <si>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</si>
  <si>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</si>
  <si>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</si>
  <si>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</si>
  <si>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</si>
  <si>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</si>
  <si>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</si>
  <si>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</si>
  <si>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</si>
  <si>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</si>
  <si>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</si>
  <si>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</si>
  <si>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</si>
  <si>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</si>
  <si>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</si>
  <si>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</si>
  <si>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</si>
  <si>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</si>
  <si>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</si>
  <si>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</si>
  <si>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</si>
  <si>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</si>
  <si>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</si>
  <si>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</si>
  <si>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</si>
  <si>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</si>
  <si>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</si>
  <si>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</si>
  <si>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</si>
  <si>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</si>
  <si>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</si>
  <si>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</si>
  <si>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</si>
  <si>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</si>
  <si>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</si>
  <si>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</si>
  <si>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</si>
  <si>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</si>
  <si>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</si>
  <si>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</si>
  <si>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</si>
  <si>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</si>
  <si>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</si>
  <si>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</si>
  <si>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</si>
  <si>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</si>
  <si>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</si>
  <si>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</si>
  <si>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</si>
  <si>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</si>
  <si>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</si>
  <si>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</si>
  <si>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</si>
  <si>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</si>
  <si>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</si>
  <si>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</si>
  <si>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</si>
  <si>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</si>
  <si>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</si>
  <si>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</si>
  <si>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</si>
  <si>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</si>
  <si>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</si>
  <si>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</si>
  <si>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</si>
  <si>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</si>
  <si>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</si>
  <si>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</si>
  <si>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</si>
  <si>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</si>
  <si>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</si>
  <si>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</si>
  <si>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</si>
  <si>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</si>
  <si>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</si>
  <si>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</si>
  <si>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</si>
  <si>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</si>
  <si>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</si>
  <si>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</si>
  <si>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</si>
  <si>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</si>
  <si>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</si>
  <si>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</si>
  <si>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</si>
  <si>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</si>
  <si>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</si>
  <si>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</si>
  <si>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</si>
  <si>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</si>
  <si>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</si>
  <si>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</si>
  <si>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</si>
  <si>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</si>
  <si>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</si>
  <si>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</si>
  <si>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</si>
  <si>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</si>
  <si>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</si>
  <si>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</si>
  <si>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</si>
  <si>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</si>
  <si>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</si>
  <si>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</si>
  <si>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</si>
  <si>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</si>
  <si>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</si>
  <si>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</si>
  <si>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</si>
  <si>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</si>
  <si>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</si>
  <si>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</si>
  <si>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</si>
  <si>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</si>
  <si>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</si>
  <si>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</si>
  <si>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</si>
  <si>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</si>
  <si>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</si>
  <si>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</si>
  <si>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</si>
  <si>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</si>
  <si>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</si>
  <si>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</si>
  <si>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</si>
  <si>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</si>
  <si>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</si>
  <si>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</si>
  <si>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</si>
  <si>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</si>
  <si>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</si>
  <si>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</si>
  <si>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</si>
  <si>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</si>
  <si>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</si>
  <si>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</si>
  <si>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</si>
  <si>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</si>
  <si>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</si>
  <si>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</si>
  <si>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</si>
  <si>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</si>
  <si>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</si>
  <si>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</si>
  <si>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</si>
  <si>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</si>
  <si>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</si>
  <si>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</si>
  <si>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</si>
  <si>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</si>
  <si>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</si>
  <si>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</si>
  <si>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</si>
  <si>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</si>
  <si>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</si>
  <si>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</si>
  <si>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</si>
  <si>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</si>
  <si>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</si>
  <si>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</si>
  <si>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</si>
  <si>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</si>
  <si>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</si>
  <si>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</si>
  <si>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</si>
  <si>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</si>
  <si>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</si>
  <si>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</si>
  <si>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</si>
  <si>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</si>
  <si>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</si>
  <si>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</si>
  <si>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</si>
  <si>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</si>
  <si>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</si>
  <si>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</si>
  <si>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</si>
  <si>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</si>
  <si>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</si>
  <si>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</si>
  <si>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</si>
  <si>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</si>
  <si>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</si>
  <si>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</si>
  <si>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</si>
  <si>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</si>
  <si>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</si>
  <si>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</si>
  <si>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</si>
  <si>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</si>
  <si>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</si>
  <si>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</si>
  <si>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</si>
  <si>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</si>
  <si>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</si>
  <si>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</si>
  <si>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</si>
  <si>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</si>
  <si>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</si>
  <si>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</si>
  <si>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</si>
  <si>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</si>
  <si>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</si>
  <si>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</si>
  <si>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</si>
  <si>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</si>
  <si>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</si>
  <si>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</si>
  <si>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</si>
  <si>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</si>
  <si>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</si>
  <si>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</si>
  <si>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</si>
  <si>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</si>
  <si>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</si>
  <si>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</si>
  <si>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</si>
  <si>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</si>
  <si>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</si>
  <si>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</si>
  <si>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</si>
  <si>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</si>
  <si>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</si>
  <si>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</si>
  <si>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</si>
  <si>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</si>
  <si>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</si>
  <si>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</si>
  <si>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</si>
  <si>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</si>
  <si>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</si>
  <si>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</si>
  <si>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</si>
  <si>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</si>
  <si>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</si>
  <si>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</si>
  <si>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</si>
  <si>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</si>
  <si>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</si>
  <si>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</si>
  <si>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</si>
  <si>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</si>
  <si>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</si>
  <si>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</si>
  <si>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</si>
  <si>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</si>
  <si>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</si>
  <si>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</si>
  <si>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</si>
  <si>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</si>
  <si>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</si>
  <si>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</si>
  <si>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</si>
  <si>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</si>
  <si>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</si>
  <si>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</si>
  <si>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</si>
  <si>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</si>
  <si>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</si>
  <si>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</si>
  <si>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</si>
  <si>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</si>
  <si>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</si>
  <si>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</si>
  <si>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</si>
  <si>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</si>
  <si>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</si>
  <si>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</si>
  <si>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</si>
  <si>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</si>
  <si>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</si>
  <si>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</si>
  <si>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</si>
  <si>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</si>
  <si>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</si>
  <si>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</si>
  <si>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</si>
  <si>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</si>
  <si>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</si>
  <si>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</si>
  <si>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</si>
  <si>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</si>
  <si>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</si>
  <si>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</si>
  <si>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</si>
  <si>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</si>
  <si>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</si>
  <si>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</si>
  <si>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</si>
  <si>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</si>
  <si>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</si>
  <si>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</si>
  <si>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</si>
  <si>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</si>
  <si>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</si>
  <si>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</si>
  <si>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</si>
  <si>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</si>
  <si>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</si>
  <si>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</si>
  <si>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</si>
  <si>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</si>
  <si>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</si>
  <si>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</si>
  <si>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</si>
  <si>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</si>
  <si>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</si>
  <si>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</si>
  <si>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</si>
  <si>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</si>
  <si>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</si>
  <si>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</si>
  <si>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</si>
  <si>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</si>
  <si>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</si>
  <si>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</si>
  <si>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</si>
  <si>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</si>
  <si>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</si>
  <si>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</si>
  <si>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</si>
  <si>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</si>
  <si>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</si>
  <si>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</si>
  <si>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</si>
  <si>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</si>
  <si>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</si>
  <si>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</si>
  <si>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</si>
  <si>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</si>
  <si>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</si>
  <si>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</si>
  <si>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</si>
  <si>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</si>
  <si>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</si>
  <si>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</si>
  <si>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</si>
  <si>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</si>
  <si>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</si>
  <si>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</si>
  <si>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</si>
  <si>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</si>
  <si>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</si>
  <si>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</si>
  <si>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</si>
  <si>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</si>
  <si>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</si>
  <si>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</si>
  <si>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Сумський міський голова</t>
  </si>
  <si>
    <t>О.М. Лисенко</t>
  </si>
  <si>
    <t>Виконавець: Липова С.А.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</si>
  <si>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</si>
  <si>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</si>
  <si>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</si>
  <si>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</si>
  <si>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</si>
  <si>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</si>
  <si>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</si>
  <si>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</si>
  <si>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</si>
  <si>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</si>
  <si>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</si>
  <si>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</si>
  <si>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</si>
  <si>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</si>
  <si>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</si>
  <si>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</si>
  <si>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</si>
  <si>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</si>
  <si>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</si>
  <si>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</si>
  <si>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</si>
  <si>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</si>
  <si>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</si>
  <si>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</si>
  <si>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</si>
  <si>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</si>
  <si>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</si>
  <si>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</si>
  <si>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</si>
  <si>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</si>
  <si>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</si>
  <si>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</si>
  <si>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</si>
  <si>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</si>
  <si>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</si>
  <si>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</si>
  <si>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</si>
  <si>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</si>
  <si>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</si>
  <si>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</si>
  <si>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</si>
  <si>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</si>
  <si>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</si>
  <si>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</si>
  <si>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</si>
  <si>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</si>
  <si>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</si>
  <si>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</si>
  <si>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</si>
  <si>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r>
      <rPr>
        <sz val="18"/>
        <rFont val="Times New Roman"/>
        <family val="1"/>
        <charset val="204"/>
      </rPr>
      <t xml:space="preserve">       </t>
    </r>
    <r>
      <rPr>
        <u/>
        <sz val="18"/>
        <rFont val="Times New Roman"/>
        <family val="1"/>
        <charset val="204"/>
      </rPr>
      <t>18531000000</t>
    </r>
  </si>
  <si>
    <t xml:space="preserve">            (код бюджету)</t>
  </si>
  <si>
    <r>
      <rPr>
        <sz val="18"/>
        <rFont val="Times New Roman"/>
        <family val="1"/>
        <charset val="204"/>
      </rPr>
      <t xml:space="preserve">      </t>
    </r>
    <r>
      <rPr>
        <u/>
        <sz val="18"/>
        <rFont val="Times New Roman"/>
        <family val="1"/>
        <charset val="204"/>
      </rPr>
      <t>18531000000</t>
    </r>
  </si>
  <si>
    <t xml:space="preserve">          (код бюджету)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</si>
  <si>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</si>
  <si>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</si>
  <si>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</si>
  <si>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</si>
  <si>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</si>
  <si>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</si>
  <si>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</si>
  <si>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</si>
  <si>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</si>
  <si>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</si>
  <si>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</si>
  <si>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</si>
  <si>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</si>
  <si>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</si>
  <si>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</si>
  <si>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</si>
  <si>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(зі змінами)»</t>
  </si>
  <si>
    <t>0611062</t>
  </si>
  <si>
    <t>0619320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</si>
  <si>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</si>
  <si>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</si>
  <si>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</si>
  <si>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</si>
  <si>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</si>
  <si>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</si>
  <si>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</si>
  <si>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</si>
  <si>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</si>
  <si>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</si>
  <si>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</si>
  <si>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</si>
  <si>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</si>
  <si>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</si>
  <si>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</si>
  <si>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</si>
  <si>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____________</t>
  </si>
  <si>
    <t>0617363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</si>
  <si>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</si>
  <si>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1617370</t>
  </si>
  <si>
    <t>7370</t>
  </si>
  <si>
    <t>0611172</t>
  </si>
  <si>
    <t>0611182</t>
  </si>
  <si>
    <t>1172</t>
  </si>
  <si>
    <t>1182</t>
  </si>
  <si>
    <t xml:space="preserve">Виконання заходів в рамках реалізації програми "Спроможна школа для кращих результатів",  у т.ч. за рахунок: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</si>
  <si>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школа",  у т.ч. за рахунок: 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</si>
  <si>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</si>
  <si>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</si>
  <si>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</si>
  <si>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 xml:space="preserve">Утримання та навчально-тренувальна робота комунальних дитячо-юнацьких спортивних шкіл,  у т.ч. за рахунок: 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</si>
  <si>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</si>
  <si>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</si>
  <si>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</si>
  <si>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</si>
  <si>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</si>
  <si>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</si>
  <si>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</si>
  <si>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</si>
  <si>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</si>
  <si>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</si>
  <si>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</si>
  <si>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Сумської міської ради від 24 грудня 2020 року </t>
  </si>
  <si>
    <t>«Про       внесення        змін       до        рішення</t>
  </si>
  <si>
    <t>до      рішення      Сумської     міської         ради</t>
  </si>
  <si>
    <t xml:space="preserve">Сумської  міської  ради від 24 грудня 2020 року </t>
  </si>
  <si>
    <t xml:space="preserve">№ 62 - МР «Про   бюджет    Сумської     міської </t>
  </si>
  <si>
    <t>територіальної     громади     на      2021      рік»</t>
  </si>
  <si>
    <t>«Про       внесення       змін       до         рішення</t>
  </si>
  <si>
    <t>до      рішення      Сумської      міської        ради</t>
  </si>
  <si>
    <t xml:space="preserve">№ 62 - МР «Про   бюджет   Сумської    міської </t>
  </si>
  <si>
    <t>територіальної     громади    на      2021       рік»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</si>
  <si>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</si>
  <si>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безпосередньо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</si>
  <si>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безпосередньо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</si>
  <si>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</si>
  <si>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</si>
  <si>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безпосередньо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із забезпечення національної безпеки і оборони, відсічі і стримування збройної анресії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</si>
  <si>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безпосередньо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анресії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</si>
  <si>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безпосередньо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</si>
  <si>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                             2021    року    №          -  МР</t>
  </si>
  <si>
    <t>від                          2021     року     №           -  МР</t>
  </si>
  <si>
    <t xml:space="preserve">                               Додаток 2</t>
  </si>
  <si>
    <t xml:space="preserve">                               Додаток 5</t>
  </si>
  <si>
    <t>Директор Департаменту фінансів, економіки та інвестицій</t>
  </si>
  <si>
    <t>С.А. Липова</t>
  </si>
  <si>
    <t>Інша діяльність, у т.ч. за рахунок: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</si>
</sst>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96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39" fillId="0" borderId="0" xfId="0" applyNumberFormat="1" applyFont="1" applyFill="1" applyAlignment="1" applyProtection="1">
      <alignment vertical="center"/>
    </xf>
    <xf numFmtId="0" fontId="40" fillId="0" borderId="0" xfId="0" applyNumberFormat="1" applyFont="1" applyFill="1" applyAlignment="1" applyProtection="1">
      <alignment vertical="top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42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4" fillId="0" borderId="7" xfId="0" applyNumberFormat="1" applyFont="1" applyFill="1" applyBorder="1" applyAlignment="1">
      <alignment horizontal="right" wrapText="1"/>
    </xf>
    <xf numFmtId="4" fontId="45" fillId="0" borderId="7" xfId="0" applyNumberFormat="1" applyFont="1" applyFill="1" applyBorder="1" applyAlignment="1">
      <alignment horizontal="right" wrapText="1"/>
    </xf>
    <xf numFmtId="4" fontId="46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7" fillId="0" borderId="7" xfId="0" applyNumberFormat="1" applyFont="1" applyFill="1" applyBorder="1" applyAlignment="1" applyProtection="1">
      <alignment horizontal="center" vertical="center" wrapText="1"/>
    </xf>
    <xf numFmtId="49" fontId="48" fillId="0" borderId="7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Alignment="1" applyProtection="1">
      <alignment vertical="center"/>
    </xf>
    <xf numFmtId="49" fontId="49" fillId="0" borderId="0" xfId="0" applyNumberFormat="1" applyFont="1" applyFill="1" applyAlignment="1" applyProtection="1"/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3" fontId="33" fillId="0" borderId="0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49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left" wrapText="1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0" fontId="42" fillId="0" borderId="0" xfId="0" applyFont="1" applyFill="1" applyAlignment="1"/>
    <xf numFmtId="0" fontId="21" fillId="0" borderId="0" xfId="0" applyFont="1" applyFill="1" applyAlignment="1">
      <alignment vertical="center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4" fontId="54" fillId="0" borderId="0" xfId="0" applyNumberFormat="1" applyFont="1" applyFill="1" applyBorder="1" applyAlignment="1">
      <alignment horizontal="right"/>
    </xf>
    <xf numFmtId="4" fontId="55" fillId="0" borderId="0" xfId="0" applyNumberFormat="1" applyFont="1" applyFill="1" applyBorder="1" applyAlignment="1">
      <alignment horizontal="right" wrapText="1"/>
    </xf>
    <xf numFmtId="49" fontId="56" fillId="0" borderId="0" xfId="0" applyNumberFormat="1" applyFont="1" applyFill="1" applyBorder="1" applyAlignment="1" applyProtection="1"/>
    <xf numFmtId="3" fontId="56" fillId="0" borderId="0" xfId="0" applyNumberFormat="1" applyFont="1" applyFill="1" applyBorder="1" applyAlignment="1">
      <alignment horizontal="center"/>
    </xf>
    <xf numFmtId="3" fontId="56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vertical="center"/>
    </xf>
    <xf numFmtId="4" fontId="29" fillId="0" borderId="0" xfId="0" applyNumberFormat="1" applyFont="1" applyFill="1" applyBorder="1" applyAlignment="1">
      <alignment horizontal="right" wrapText="1"/>
    </xf>
    <xf numFmtId="49" fontId="54" fillId="0" borderId="0" xfId="0" applyNumberFormat="1" applyFont="1" applyFill="1" applyBorder="1" applyAlignment="1"/>
    <xf numFmtId="49" fontId="54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wrapText="1"/>
    </xf>
    <xf numFmtId="3" fontId="55" fillId="0" borderId="0" xfId="0" applyNumberFormat="1" applyFont="1" applyFill="1" applyAlignment="1"/>
    <xf numFmtId="3" fontId="55" fillId="0" borderId="0" xfId="0" applyNumberFormat="1" applyFont="1" applyFill="1" applyBorder="1" applyAlignment="1"/>
    <xf numFmtId="1" fontId="57" fillId="0" borderId="7" xfId="0" applyNumberFormat="1" applyFont="1" applyFill="1" applyBorder="1" applyAlignment="1">
      <alignment horizontal="center" vertical="center" wrapText="1"/>
    </xf>
    <xf numFmtId="3" fontId="56" fillId="0" borderId="0" xfId="0" applyNumberFormat="1" applyFont="1" applyFill="1" applyBorder="1" applyAlignment="1">
      <alignment vertical="center" textRotation="180"/>
    </xf>
    <xf numFmtId="0" fontId="56" fillId="0" borderId="0" xfId="0" applyFont="1" applyFill="1" applyBorder="1" applyAlignment="1">
      <alignment vertical="center" textRotation="180"/>
    </xf>
    <xf numFmtId="49" fontId="28" fillId="0" borderId="0" xfId="0" applyNumberFormat="1" applyFont="1" applyFill="1" applyBorder="1" applyAlignment="1" applyProtection="1"/>
    <xf numFmtId="3" fontId="33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left" wrapText="1"/>
    </xf>
    <xf numFmtId="3" fontId="33" fillId="0" borderId="0" xfId="0" applyNumberFormat="1" applyFont="1" applyFill="1" applyBorder="1"/>
    <xf numFmtId="49" fontId="56" fillId="0" borderId="0" xfId="0" applyNumberFormat="1" applyFont="1" applyFill="1" applyBorder="1" applyAlignment="1"/>
    <xf numFmtId="49" fontId="56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left" wrapText="1"/>
    </xf>
    <xf numFmtId="4" fontId="56" fillId="0" borderId="0" xfId="0" applyNumberFormat="1" applyFont="1" applyFill="1" applyBorder="1" applyAlignment="1">
      <alignment horizontal="right"/>
    </xf>
    <xf numFmtId="4" fontId="41" fillId="0" borderId="0" xfId="0" applyNumberFormat="1" applyFont="1" applyFill="1" applyBorder="1" applyAlignment="1">
      <alignment horizontal="right" wrapText="1"/>
    </xf>
    <xf numFmtId="3" fontId="41" fillId="0" borderId="0" xfId="0" applyNumberFormat="1" applyFont="1" applyFill="1" applyBorder="1" applyAlignment="1"/>
    <xf numFmtId="3" fontId="41" fillId="0" borderId="0" xfId="0" applyNumberFormat="1" applyFont="1" applyFill="1" applyAlignment="1"/>
    <xf numFmtId="49" fontId="28" fillId="0" borderId="0" xfId="0" applyNumberFormat="1" applyFont="1" applyFill="1" applyBorder="1" applyAlignment="1" applyProtection="1"/>
    <xf numFmtId="3" fontId="41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51" fillId="0" borderId="7" xfId="0" applyNumberFormat="1" applyFont="1" applyFill="1" applyBorder="1" applyAlignment="1" applyProtection="1">
      <alignment horizontal="center" vertical="center" wrapText="1"/>
    </xf>
    <xf numFmtId="3" fontId="52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3" fontId="56" fillId="0" borderId="0" xfId="0" applyNumberFormat="1" applyFont="1" applyFill="1" applyBorder="1" applyAlignment="1">
      <alignment horizontal="center" vertical="center" textRotation="180"/>
    </xf>
    <xf numFmtId="3" fontId="56" fillId="0" borderId="10" xfId="0" applyNumberFormat="1" applyFont="1" applyFill="1" applyBorder="1" applyAlignment="1">
      <alignment horizontal="center" vertical="center" textRotation="180"/>
    </xf>
    <xf numFmtId="49" fontId="54" fillId="0" borderId="0" xfId="0" applyNumberFormat="1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/>
    </xf>
    <xf numFmtId="0" fontId="56" fillId="0" borderId="10" xfId="0" applyFont="1" applyFill="1" applyBorder="1" applyAlignment="1">
      <alignment horizontal="center" vertical="center" textRotation="180"/>
    </xf>
    <xf numFmtId="0" fontId="56" fillId="0" borderId="0" xfId="0" applyFont="1" applyFill="1" applyBorder="1" applyAlignment="1">
      <alignment horizontal="center" vertical="center" textRotation="180"/>
    </xf>
    <xf numFmtId="0" fontId="42" fillId="0" borderId="0" xfId="0" applyFont="1" applyFill="1" applyAlignment="1"/>
    <xf numFmtId="0" fontId="43" fillId="0" borderId="0" xfId="0" applyNumberFormat="1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/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G1691"/>
  <sheetViews>
    <sheetView showGridLines="0" showZeros="0" view="pageBreakPreview" topLeftCell="E299" zoomScale="69" zoomScaleNormal="82" zoomScaleSheetLayoutView="69" workbookViewId="0">
      <selection activeCell="H268" sqref="H268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47" customWidth="1"/>
    <col min="6" max="6" width="22.5" style="47" customWidth="1"/>
    <col min="7" max="7" width="23.83203125" style="47" customWidth="1"/>
    <col min="8" max="8" width="19.33203125" style="47" customWidth="1"/>
    <col min="9" max="9" width="19.6640625" style="47" customWidth="1"/>
    <col min="10" max="10" width="20.5" style="47" customWidth="1"/>
    <col min="11" max="11" width="22.5" style="47" customWidth="1"/>
    <col min="12" max="12" width="18.33203125" style="47" customWidth="1"/>
    <col min="13" max="13" width="19.5" style="47" customWidth="1"/>
    <col min="14" max="14" width="18" style="47" customWidth="1"/>
    <col min="15" max="15" width="21.1640625" style="47" customWidth="1"/>
    <col min="16" max="16" width="23" style="148" bestFit="1" customWidth="1"/>
    <col min="17" max="17" width="10" style="164" customWidth="1"/>
    <col min="18" max="18" width="10.5" style="28" customWidth="1"/>
    <col min="19" max="527" width="9.1640625" style="28"/>
    <col min="528" max="16384" width="9.1640625" style="20"/>
  </cols>
  <sheetData>
    <row r="1" spans="1:527" ht="26.25" customHeight="1" x14ac:dyDescent="0.4">
      <c r="K1" s="145" t="s">
        <v>613</v>
      </c>
      <c r="L1" s="145"/>
      <c r="M1" s="145"/>
      <c r="N1" s="145"/>
      <c r="O1" s="145"/>
      <c r="P1" s="145"/>
      <c r="Q1" s="187">
        <v>5</v>
      </c>
    </row>
    <row r="2" spans="1:527" ht="26.25" customHeight="1" x14ac:dyDescent="0.25">
      <c r="K2" s="96" t="s">
        <v>595</v>
      </c>
      <c r="L2" s="96"/>
      <c r="M2" s="96"/>
      <c r="N2" s="96"/>
      <c r="O2" s="96"/>
      <c r="P2" s="96"/>
      <c r="Q2" s="187"/>
    </row>
    <row r="3" spans="1:527" ht="26.25" customHeight="1" x14ac:dyDescent="0.4">
      <c r="K3" s="186" t="s">
        <v>594</v>
      </c>
      <c r="L3" s="186"/>
      <c r="M3" s="186"/>
      <c r="N3" s="186"/>
      <c r="O3" s="186"/>
      <c r="P3" s="186"/>
      <c r="Q3" s="187"/>
    </row>
    <row r="4" spans="1:527" ht="26.25" customHeight="1" x14ac:dyDescent="0.4">
      <c r="K4" s="186" t="s">
        <v>596</v>
      </c>
      <c r="L4" s="186"/>
      <c r="M4" s="186"/>
      <c r="N4" s="186"/>
      <c r="O4" s="186"/>
      <c r="P4" s="186"/>
      <c r="Q4" s="187"/>
    </row>
    <row r="5" spans="1:527" ht="26.25" customHeight="1" x14ac:dyDescent="0.4">
      <c r="K5" s="186" t="s">
        <v>597</v>
      </c>
      <c r="L5" s="186"/>
      <c r="M5" s="186"/>
      <c r="N5" s="186"/>
      <c r="O5" s="186"/>
      <c r="P5" s="186"/>
      <c r="Q5" s="187"/>
    </row>
    <row r="6" spans="1:527" ht="28.5" customHeight="1" x14ac:dyDescent="0.4">
      <c r="K6" s="186" t="s">
        <v>598</v>
      </c>
      <c r="L6" s="186"/>
      <c r="M6" s="186"/>
      <c r="N6" s="186"/>
      <c r="O6" s="186"/>
      <c r="P6" s="186"/>
      <c r="Q6" s="187"/>
    </row>
    <row r="7" spans="1:527" ht="28.5" customHeight="1" x14ac:dyDescent="0.4">
      <c r="K7" s="144" t="s">
        <v>548</v>
      </c>
      <c r="L7" s="144"/>
      <c r="M7" s="144"/>
      <c r="N7" s="144"/>
      <c r="O7" s="144"/>
      <c r="P7" s="144"/>
      <c r="Q7" s="187"/>
    </row>
    <row r="8" spans="1:527" ht="26.25" customHeight="1" x14ac:dyDescent="0.4">
      <c r="K8" s="186" t="s">
        <v>612</v>
      </c>
      <c r="L8" s="186"/>
      <c r="M8" s="186"/>
      <c r="N8" s="186"/>
      <c r="O8" s="186"/>
      <c r="P8" s="186"/>
      <c r="Q8" s="187"/>
    </row>
    <row r="9" spans="1:527" ht="26.25" x14ac:dyDescent="0.4">
      <c r="L9" s="63"/>
      <c r="M9" s="63"/>
      <c r="N9" s="63"/>
      <c r="O9" s="63"/>
      <c r="P9" s="63"/>
      <c r="Q9" s="187"/>
    </row>
    <row r="10" spans="1:527" s="44" customFormat="1" ht="71.25" customHeight="1" x14ac:dyDescent="0.3">
      <c r="A10" s="180" t="s">
        <v>452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7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</row>
    <row r="11" spans="1:527" s="44" customFormat="1" ht="23.25" customHeight="1" x14ac:dyDescent="0.35">
      <c r="A11" s="65"/>
      <c r="B11" s="65"/>
      <c r="C11" s="64"/>
      <c r="D11" s="64"/>
      <c r="E11" s="64"/>
      <c r="F11" s="64"/>
      <c r="G11" s="125" t="s">
        <v>530</v>
      </c>
      <c r="H11" s="64"/>
      <c r="I11" s="64"/>
      <c r="J11" s="64"/>
      <c r="K11" s="64"/>
      <c r="L11" s="64"/>
      <c r="M11" s="64"/>
      <c r="N11" s="64"/>
      <c r="O11" s="64"/>
      <c r="P11" s="64"/>
      <c r="Q11" s="187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</row>
    <row r="12" spans="1:527" s="44" customFormat="1" ht="19.5" customHeight="1" x14ac:dyDescent="0.3">
      <c r="A12" s="66"/>
      <c r="B12" s="66"/>
      <c r="C12" s="64"/>
      <c r="D12" s="64"/>
      <c r="E12" s="64"/>
      <c r="F12" s="64"/>
      <c r="G12" s="66" t="s">
        <v>531</v>
      </c>
      <c r="H12" s="64"/>
      <c r="I12" s="64"/>
      <c r="J12" s="64"/>
      <c r="K12" s="64"/>
      <c r="L12" s="64"/>
      <c r="M12" s="64"/>
      <c r="N12" s="64"/>
      <c r="O12" s="64"/>
      <c r="P12" s="64"/>
      <c r="Q12" s="187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</row>
    <row r="13" spans="1:527" s="46" customFormat="1" ht="14.25" customHeight="1" x14ac:dyDescent="0.3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33" t="s">
        <v>360</v>
      </c>
      <c r="Q13" s="187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</row>
    <row r="14" spans="1:527" s="21" customFormat="1" ht="34.5" customHeight="1" x14ac:dyDescent="0.2">
      <c r="A14" s="181" t="s">
        <v>338</v>
      </c>
      <c r="B14" s="182" t="s">
        <v>339</v>
      </c>
      <c r="C14" s="182" t="s">
        <v>329</v>
      </c>
      <c r="D14" s="182" t="s">
        <v>340</v>
      </c>
      <c r="E14" s="184" t="s">
        <v>226</v>
      </c>
      <c r="F14" s="184"/>
      <c r="G14" s="184"/>
      <c r="H14" s="184"/>
      <c r="I14" s="184"/>
      <c r="J14" s="184" t="s">
        <v>227</v>
      </c>
      <c r="K14" s="184"/>
      <c r="L14" s="184"/>
      <c r="M14" s="184"/>
      <c r="N14" s="184"/>
      <c r="O14" s="184"/>
      <c r="P14" s="184" t="s">
        <v>228</v>
      </c>
      <c r="Q14" s="187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</row>
    <row r="15" spans="1:527" s="21" customFormat="1" ht="19.5" customHeight="1" x14ac:dyDescent="0.2">
      <c r="A15" s="181"/>
      <c r="B15" s="182"/>
      <c r="C15" s="182"/>
      <c r="D15" s="182"/>
      <c r="E15" s="185" t="s">
        <v>330</v>
      </c>
      <c r="F15" s="185" t="s">
        <v>229</v>
      </c>
      <c r="G15" s="183" t="s">
        <v>230</v>
      </c>
      <c r="H15" s="183"/>
      <c r="I15" s="185" t="s">
        <v>231</v>
      </c>
      <c r="J15" s="185" t="s">
        <v>330</v>
      </c>
      <c r="K15" s="185" t="s">
        <v>331</v>
      </c>
      <c r="L15" s="185" t="s">
        <v>229</v>
      </c>
      <c r="M15" s="183" t="s">
        <v>230</v>
      </c>
      <c r="N15" s="183"/>
      <c r="O15" s="185" t="s">
        <v>231</v>
      </c>
      <c r="P15" s="184"/>
      <c r="Q15" s="187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</row>
    <row r="16" spans="1:527" s="21" customFormat="1" ht="62.25" customHeight="1" x14ac:dyDescent="0.2">
      <c r="A16" s="181"/>
      <c r="B16" s="182"/>
      <c r="C16" s="182"/>
      <c r="D16" s="182"/>
      <c r="E16" s="185"/>
      <c r="F16" s="185"/>
      <c r="G16" s="143" t="s">
        <v>232</v>
      </c>
      <c r="H16" s="143" t="s">
        <v>233</v>
      </c>
      <c r="I16" s="185"/>
      <c r="J16" s="185"/>
      <c r="K16" s="185"/>
      <c r="L16" s="185"/>
      <c r="M16" s="143" t="s">
        <v>232</v>
      </c>
      <c r="N16" s="143" t="s">
        <v>233</v>
      </c>
      <c r="O16" s="185"/>
      <c r="P16" s="184"/>
      <c r="Q16" s="187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</row>
    <row r="17" spans="1:527" s="27" customFormat="1" ht="24" customHeight="1" x14ac:dyDescent="0.25">
      <c r="A17" s="126" t="s">
        <v>151</v>
      </c>
      <c r="B17" s="127"/>
      <c r="C17" s="127"/>
      <c r="D17" s="128" t="s">
        <v>36</v>
      </c>
      <c r="E17" s="99">
        <f>E18</f>
        <v>251941951.34</v>
      </c>
      <c r="F17" s="99">
        <f t="shared" ref="F17:J17" si="0">F18</f>
        <v>199342755.34</v>
      </c>
      <c r="G17" s="99">
        <f t="shared" si="0"/>
        <v>107763225</v>
      </c>
      <c r="H17" s="99">
        <f t="shared" si="0"/>
        <v>5488357</v>
      </c>
      <c r="I17" s="99">
        <f t="shared" si="0"/>
        <v>52599196</v>
      </c>
      <c r="J17" s="99">
        <f t="shared" si="0"/>
        <v>37909759.659999996</v>
      </c>
      <c r="K17" s="99">
        <f t="shared" ref="K17" si="1">K18</f>
        <v>37386964.659999996</v>
      </c>
      <c r="L17" s="99">
        <f t="shared" ref="L17" si="2">L18</f>
        <v>522795</v>
      </c>
      <c r="M17" s="99">
        <f t="shared" ref="M17" si="3">M18</f>
        <v>119291</v>
      </c>
      <c r="N17" s="99">
        <f t="shared" ref="N17" si="4">N18</f>
        <v>51832</v>
      </c>
      <c r="O17" s="99">
        <f t="shared" ref="O17:P17" si="5">O18</f>
        <v>37386964.659999996</v>
      </c>
      <c r="P17" s="99">
        <f t="shared" si="5"/>
        <v>289851711</v>
      </c>
      <c r="Q17" s="187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</row>
    <row r="18" spans="1:527" s="34" customFormat="1" ht="36" customHeight="1" x14ac:dyDescent="0.25">
      <c r="A18" s="100" t="s">
        <v>152</v>
      </c>
      <c r="B18" s="101"/>
      <c r="C18" s="101"/>
      <c r="D18" s="81" t="s">
        <v>533</v>
      </c>
      <c r="E18" s="102">
        <f>E21+E22+E23+E24+E26+E27+E28+E29+E30+E31+E32+E33+E34+E35+E36+E37+E38+E39+E40+E41+E42+E43+E44+E46+E48+E49+E50+E51+E52+E53+E54+E55+E56+E58+E59+E60+E45+E47+E61</f>
        <v>251941951.34</v>
      </c>
      <c r="F18" s="102">
        <f t="shared" ref="F18:P18" si="6">F21+F22+F23+F24+F26+F27+F28+F29+F30+F31+F32+F33+F34+F35+F36+F37+F38+F39+F40+F41+F42+F43+F44+F46+F48+F49+F50+F51+F52+F53+F54+F55+F56+F58+F59+F60+F45+F47+F61</f>
        <v>199342755.34</v>
      </c>
      <c r="G18" s="102">
        <f t="shared" si="6"/>
        <v>107763225</v>
      </c>
      <c r="H18" s="102">
        <f t="shared" si="6"/>
        <v>5488357</v>
      </c>
      <c r="I18" s="102">
        <f t="shared" si="6"/>
        <v>52599196</v>
      </c>
      <c r="J18" s="102">
        <f t="shared" si="6"/>
        <v>37909759.659999996</v>
      </c>
      <c r="K18" s="102">
        <f t="shared" si="6"/>
        <v>37386964.659999996</v>
      </c>
      <c r="L18" s="102">
        <f t="shared" si="6"/>
        <v>522795</v>
      </c>
      <c r="M18" s="102">
        <f t="shared" si="6"/>
        <v>119291</v>
      </c>
      <c r="N18" s="102">
        <f t="shared" si="6"/>
        <v>51832</v>
      </c>
      <c r="O18" s="102">
        <f t="shared" si="6"/>
        <v>37386964.659999996</v>
      </c>
      <c r="P18" s="102">
        <f t="shared" si="6"/>
        <v>289851711</v>
      </c>
      <c r="Q18" s="187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</row>
    <row r="19" spans="1:527" s="34" customFormat="1" ht="63" x14ac:dyDescent="0.25">
      <c r="A19" s="100"/>
      <c r="B19" s="101"/>
      <c r="C19" s="101"/>
      <c r="D19" s="81" t="s">
        <v>384</v>
      </c>
      <c r="E19" s="102">
        <f>E57</f>
        <v>588815</v>
      </c>
      <c r="F19" s="102">
        <f t="shared" ref="F19:P19" si="7">F57</f>
        <v>588815</v>
      </c>
      <c r="G19" s="102">
        <f t="shared" si="7"/>
        <v>482635</v>
      </c>
      <c r="H19" s="102">
        <f t="shared" si="7"/>
        <v>0</v>
      </c>
      <c r="I19" s="102">
        <f t="shared" si="7"/>
        <v>0</v>
      </c>
      <c r="J19" s="102">
        <f t="shared" si="7"/>
        <v>0</v>
      </c>
      <c r="K19" s="102">
        <f t="shared" si="7"/>
        <v>0</v>
      </c>
      <c r="L19" s="102">
        <f t="shared" si="7"/>
        <v>0</v>
      </c>
      <c r="M19" s="102">
        <f t="shared" si="7"/>
        <v>0</v>
      </c>
      <c r="N19" s="102">
        <f t="shared" si="7"/>
        <v>0</v>
      </c>
      <c r="O19" s="102">
        <f t="shared" si="7"/>
        <v>0</v>
      </c>
      <c r="P19" s="102">
        <f t="shared" si="7"/>
        <v>588815</v>
      </c>
      <c r="Q19" s="187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</row>
    <row r="20" spans="1:527" s="34" customFormat="1" ht="63" hidden="1" customHeight="1" x14ac:dyDescent="0.25">
      <c r="A20" s="100"/>
      <c r="B20" s="101"/>
      <c r="C20" s="101"/>
      <c r="D20" s="81" t="str">
        <f>'дод 5'!C24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102">
        <f>E25</f>
        <v>0</v>
      </c>
      <c r="F20" s="102">
        <f t="shared" ref="F20:P20" si="8">F25</f>
        <v>0</v>
      </c>
      <c r="G20" s="102">
        <f t="shared" si="8"/>
        <v>0</v>
      </c>
      <c r="H20" s="102">
        <f t="shared" si="8"/>
        <v>0</v>
      </c>
      <c r="I20" s="102">
        <f t="shared" si="8"/>
        <v>0</v>
      </c>
      <c r="J20" s="102">
        <f t="shared" si="8"/>
        <v>0</v>
      </c>
      <c r="K20" s="102">
        <f t="shared" si="8"/>
        <v>0</v>
      </c>
      <c r="L20" s="102">
        <f t="shared" si="8"/>
        <v>0</v>
      </c>
      <c r="M20" s="102">
        <f t="shared" si="8"/>
        <v>0</v>
      </c>
      <c r="N20" s="102">
        <f t="shared" si="8"/>
        <v>0</v>
      </c>
      <c r="O20" s="102">
        <f t="shared" si="8"/>
        <v>0</v>
      </c>
      <c r="P20" s="102">
        <f t="shared" si="8"/>
        <v>0</v>
      </c>
      <c r="Q20" s="187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</row>
    <row r="21" spans="1:527" s="22" customFormat="1" ht="48" customHeight="1" x14ac:dyDescent="0.25">
      <c r="A21" s="60" t="s">
        <v>153</v>
      </c>
      <c r="B21" s="97" t="str">
        <f>'дод 5'!A20</f>
        <v>0160</v>
      </c>
      <c r="C21" s="97" t="str">
        <f>'дод 5'!B20</f>
        <v>0111</v>
      </c>
      <c r="D21" s="36" t="s">
        <v>503</v>
      </c>
      <c r="E21" s="103">
        <f t="shared" ref="E21:E61" si="9">F21+I21</f>
        <v>113013146</v>
      </c>
      <c r="F21" s="103">
        <f>112079700+60000+150000+47576+62533+613337</f>
        <v>113013146</v>
      </c>
      <c r="G21" s="103">
        <v>82201100</v>
      </c>
      <c r="H21" s="103">
        <f>2287700+47576+62533+613337</f>
        <v>3011146</v>
      </c>
      <c r="I21" s="103"/>
      <c r="J21" s="103">
        <f>L21+O21</f>
        <v>0</v>
      </c>
      <c r="K21" s="103">
        <f>150000-150000</f>
        <v>0</v>
      </c>
      <c r="L21" s="103"/>
      <c r="M21" s="103"/>
      <c r="N21" s="103"/>
      <c r="O21" s="103">
        <f>150000-150000</f>
        <v>0</v>
      </c>
      <c r="P21" s="103">
        <f t="shared" ref="P21:P61" si="10">E21+J21</f>
        <v>113013146</v>
      </c>
      <c r="Q21" s="187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</row>
    <row r="22" spans="1:527" s="22" customFormat="1" ht="35.25" customHeight="1" x14ac:dyDescent="0.25">
      <c r="A22" s="60" t="s">
        <v>455</v>
      </c>
      <c r="B22" s="60" t="s">
        <v>92</v>
      </c>
      <c r="C22" s="60" t="s">
        <v>465</v>
      </c>
      <c r="D22" s="36" t="s">
        <v>456</v>
      </c>
      <c r="E22" s="103">
        <f t="shared" si="9"/>
        <v>200000</v>
      </c>
      <c r="F22" s="103">
        <v>200000</v>
      </c>
      <c r="G22" s="103"/>
      <c r="H22" s="103"/>
      <c r="I22" s="103"/>
      <c r="J22" s="103">
        <f>L22+O22</f>
        <v>0</v>
      </c>
      <c r="K22" s="103"/>
      <c r="L22" s="103"/>
      <c r="M22" s="103"/>
      <c r="N22" s="103"/>
      <c r="O22" s="103"/>
      <c r="P22" s="103">
        <f t="shared" si="10"/>
        <v>200000</v>
      </c>
      <c r="Q22" s="187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</row>
    <row r="23" spans="1:527" s="22" customFormat="1" ht="28.5" customHeight="1" x14ac:dyDescent="0.25">
      <c r="A23" s="60" t="s">
        <v>243</v>
      </c>
      <c r="B23" s="97" t="str">
        <f>'дод 5'!A22</f>
        <v>0180</v>
      </c>
      <c r="C23" s="97" t="str">
        <f>'дод 5'!B22</f>
        <v>0133</v>
      </c>
      <c r="D23" s="61" t="str">
        <f>'дод 5'!C22</f>
        <v>Інша діяльність у сфері державного управління</v>
      </c>
      <c r="E23" s="103">
        <f t="shared" si="9"/>
        <v>396000</v>
      </c>
      <c r="F23" s="103">
        <v>396000</v>
      </c>
      <c r="G23" s="103"/>
      <c r="H23" s="103"/>
      <c r="I23" s="103"/>
      <c r="J23" s="103">
        <f t="shared" ref="J23:J25" si="11">L23+O23</f>
        <v>0</v>
      </c>
      <c r="K23" s="103"/>
      <c r="L23" s="103"/>
      <c r="M23" s="103"/>
      <c r="N23" s="103"/>
      <c r="O23" s="103"/>
      <c r="P23" s="103">
        <f t="shared" si="10"/>
        <v>396000</v>
      </c>
      <c r="Q23" s="187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</row>
    <row r="24" spans="1:527" s="22" customFormat="1" ht="15.75" hidden="1" customHeight="1" x14ac:dyDescent="0.25">
      <c r="A24" s="60" t="s">
        <v>437</v>
      </c>
      <c r="B24" s="60" t="s">
        <v>438</v>
      </c>
      <c r="C24" s="60" t="s">
        <v>121</v>
      </c>
      <c r="D24" s="61" t="s">
        <v>439</v>
      </c>
      <c r="E24" s="103">
        <f t="shared" si="9"/>
        <v>0</v>
      </c>
      <c r="F24" s="103"/>
      <c r="G24" s="103"/>
      <c r="H24" s="103"/>
      <c r="I24" s="103"/>
      <c r="J24" s="103">
        <f t="shared" si="11"/>
        <v>0</v>
      </c>
      <c r="K24" s="103"/>
      <c r="L24" s="103"/>
      <c r="M24" s="103"/>
      <c r="N24" s="103"/>
      <c r="O24" s="103"/>
      <c r="P24" s="103">
        <f t="shared" si="10"/>
        <v>0</v>
      </c>
      <c r="Q24" s="187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</row>
    <row r="25" spans="1:527" s="24" customFormat="1" ht="60" hidden="1" customHeight="1" x14ac:dyDescent="0.25">
      <c r="A25" s="88"/>
      <c r="B25" s="104"/>
      <c r="C25" s="104"/>
      <c r="D25" s="91" t="str">
        <f>'дод 5'!C24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05">
        <f t="shared" si="9"/>
        <v>0</v>
      </c>
      <c r="F25" s="105"/>
      <c r="G25" s="105"/>
      <c r="H25" s="105"/>
      <c r="I25" s="105"/>
      <c r="J25" s="105">
        <f t="shared" si="11"/>
        <v>0</v>
      </c>
      <c r="K25" s="105"/>
      <c r="L25" s="105"/>
      <c r="M25" s="105"/>
      <c r="N25" s="105"/>
      <c r="O25" s="105"/>
      <c r="P25" s="105">
        <f t="shared" si="10"/>
        <v>0</v>
      </c>
      <c r="Q25" s="187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</row>
    <row r="26" spans="1:527" s="22" customFormat="1" ht="46.5" customHeight="1" x14ac:dyDescent="0.25">
      <c r="A26" s="60" t="s">
        <v>259</v>
      </c>
      <c r="B26" s="97" t="str">
        <f>'дод 5'!A104</f>
        <v>3033</v>
      </c>
      <c r="C26" s="97" t="str">
        <f>'дод 5'!B104</f>
        <v>1070</v>
      </c>
      <c r="D26" s="61" t="s">
        <v>413</v>
      </c>
      <c r="E26" s="103">
        <f t="shared" si="9"/>
        <v>314360</v>
      </c>
      <c r="F26" s="103">
        <f>270000+44360</f>
        <v>314360</v>
      </c>
      <c r="G26" s="103"/>
      <c r="H26" s="103"/>
      <c r="I26" s="103"/>
      <c r="J26" s="103">
        <f t="shared" ref="J26:J61" si="12">L26+O26</f>
        <v>0</v>
      </c>
      <c r="K26" s="103"/>
      <c r="L26" s="103"/>
      <c r="M26" s="103"/>
      <c r="N26" s="103"/>
      <c r="O26" s="103"/>
      <c r="P26" s="103">
        <f t="shared" si="10"/>
        <v>314360</v>
      </c>
      <c r="Q26" s="187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</row>
    <row r="27" spans="1:527" s="22" customFormat="1" ht="31.5" customHeight="1" x14ac:dyDescent="0.25">
      <c r="A27" s="60" t="s">
        <v>154</v>
      </c>
      <c r="B27" s="97" t="str">
        <f>'дод 5'!A107</f>
        <v>3036</v>
      </c>
      <c r="C27" s="97" t="str">
        <f>'дод 5'!B107</f>
        <v>1070</v>
      </c>
      <c r="D27" s="61" t="str">
        <f>'дод 5'!C107</f>
        <v>Компенсаційні виплати на пільговий проїзд електротранспортом окремим категоріям громадян</v>
      </c>
      <c r="E27" s="103">
        <f t="shared" si="9"/>
        <v>465886</v>
      </c>
      <c r="F27" s="103">
        <f>426500+39386</f>
        <v>465886</v>
      </c>
      <c r="G27" s="103"/>
      <c r="H27" s="103"/>
      <c r="I27" s="103"/>
      <c r="J27" s="103">
        <f t="shared" si="12"/>
        <v>0</v>
      </c>
      <c r="K27" s="103"/>
      <c r="L27" s="103"/>
      <c r="M27" s="103"/>
      <c r="N27" s="103"/>
      <c r="O27" s="103"/>
      <c r="P27" s="103">
        <f t="shared" si="10"/>
        <v>465886</v>
      </c>
      <c r="Q27" s="187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</row>
    <row r="28" spans="1:527" s="22" customFormat="1" ht="36" customHeight="1" x14ac:dyDescent="0.25">
      <c r="A28" s="60" t="s">
        <v>155</v>
      </c>
      <c r="B28" s="97" t="str">
        <f>'дод 5'!A115</f>
        <v>3121</v>
      </c>
      <c r="C28" s="97" t="str">
        <f>'дод 5'!B115</f>
        <v>1040</v>
      </c>
      <c r="D28" s="61" t="s">
        <v>510</v>
      </c>
      <c r="E28" s="103">
        <f t="shared" si="9"/>
        <v>3210440</v>
      </c>
      <c r="F28" s="103">
        <f>3206400+4040</f>
        <v>3210440</v>
      </c>
      <c r="G28" s="103">
        <v>2407050</v>
      </c>
      <c r="H28" s="103">
        <f>39590+4040</f>
        <v>43630</v>
      </c>
      <c r="I28" s="103"/>
      <c r="J28" s="103">
        <f t="shared" si="12"/>
        <v>0</v>
      </c>
      <c r="K28" s="103"/>
      <c r="L28" s="103"/>
      <c r="M28" s="103"/>
      <c r="N28" s="103"/>
      <c r="O28" s="103"/>
      <c r="P28" s="103">
        <f t="shared" si="10"/>
        <v>3210440</v>
      </c>
      <c r="Q28" s="187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</row>
    <row r="29" spans="1:527" s="22" customFormat="1" ht="48.75" customHeight="1" x14ac:dyDescent="0.25">
      <c r="A29" s="60" t="s">
        <v>156</v>
      </c>
      <c r="B29" s="97" t="str">
        <f>'дод 5'!A116</f>
        <v>3131</v>
      </c>
      <c r="C29" s="97" t="str">
        <f>'дод 5'!B116</f>
        <v>1040</v>
      </c>
      <c r="D29" s="61" t="str">
        <f>'дод 5'!C116</f>
        <v>Здійснення заходів та реалізація проектів на виконання Державної цільової соціальної програми "Молодь України"</v>
      </c>
      <c r="E29" s="103">
        <f t="shared" si="9"/>
        <v>783850</v>
      </c>
      <c r="F29" s="103">
        <f>684300+99550</f>
        <v>783850</v>
      </c>
      <c r="G29" s="103"/>
      <c r="H29" s="103"/>
      <c r="I29" s="103"/>
      <c r="J29" s="103">
        <f t="shared" si="12"/>
        <v>0</v>
      </c>
      <c r="K29" s="103"/>
      <c r="L29" s="103"/>
      <c r="M29" s="103"/>
      <c r="N29" s="103"/>
      <c r="O29" s="103"/>
      <c r="P29" s="103">
        <f t="shared" si="10"/>
        <v>783850</v>
      </c>
      <c r="Q29" s="187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</row>
    <row r="30" spans="1:527" s="22" customFormat="1" ht="63" x14ac:dyDescent="0.25">
      <c r="A30" s="60" t="s">
        <v>157</v>
      </c>
      <c r="B30" s="97" t="str">
        <f>'дод 5'!A117</f>
        <v>3140</v>
      </c>
      <c r="C30" s="97" t="str">
        <f>'дод 5'!B117</f>
        <v>1040</v>
      </c>
      <c r="D30" s="61" t="s">
        <v>20</v>
      </c>
      <c r="E30" s="103">
        <f t="shared" si="9"/>
        <v>280000</v>
      </c>
      <c r="F30" s="103">
        <v>280000</v>
      </c>
      <c r="G30" s="103"/>
      <c r="H30" s="103"/>
      <c r="I30" s="103"/>
      <c r="J30" s="103">
        <f t="shared" si="12"/>
        <v>0</v>
      </c>
      <c r="K30" s="103"/>
      <c r="L30" s="103"/>
      <c r="M30" s="103"/>
      <c r="N30" s="103"/>
      <c r="O30" s="103"/>
      <c r="P30" s="103">
        <f t="shared" si="10"/>
        <v>280000</v>
      </c>
      <c r="Q30" s="187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</row>
    <row r="31" spans="1:527" s="22" customFormat="1" ht="32.25" customHeight="1" x14ac:dyDescent="0.25">
      <c r="A31" s="60" t="s">
        <v>307</v>
      </c>
      <c r="B31" s="97" t="str">
        <f>'дод 5'!A134</f>
        <v>3241</v>
      </c>
      <c r="C31" s="97" t="str">
        <f>'дод 5'!B134</f>
        <v>1090</v>
      </c>
      <c r="D31" s="61" t="str">
        <f>'дод 5'!C134</f>
        <v>Забезпечення діяльності інших закладів у сфері соціального захисту і соціального забезпечення</v>
      </c>
      <c r="E31" s="103">
        <f t="shared" si="9"/>
        <v>1539992</v>
      </c>
      <c r="F31" s="103">
        <f>1518300+21692</f>
        <v>1539992</v>
      </c>
      <c r="G31" s="103">
        <v>1078950</v>
      </c>
      <c r="H31" s="103">
        <f>96540+21692</f>
        <v>118232</v>
      </c>
      <c r="I31" s="103"/>
      <c r="J31" s="103">
        <f t="shared" si="12"/>
        <v>0</v>
      </c>
      <c r="K31" s="103"/>
      <c r="L31" s="103"/>
      <c r="M31" s="103"/>
      <c r="N31" s="103"/>
      <c r="O31" s="103"/>
      <c r="P31" s="103">
        <f t="shared" si="10"/>
        <v>1539992</v>
      </c>
      <c r="Q31" s="187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</row>
    <row r="32" spans="1:527" s="22" customFormat="1" ht="33.75" customHeight="1" x14ac:dyDescent="0.25">
      <c r="A32" s="60" t="s">
        <v>308</v>
      </c>
      <c r="B32" s="97" t="str">
        <f>'дод 5'!A135</f>
        <v>3242</v>
      </c>
      <c r="C32" s="97" t="str">
        <f>'дод 5'!B135</f>
        <v>1090</v>
      </c>
      <c r="D32" s="61" t="s">
        <v>414</v>
      </c>
      <c r="E32" s="103">
        <f t="shared" si="9"/>
        <v>257400</v>
      </c>
      <c r="F32" s="103">
        <v>257400</v>
      </c>
      <c r="G32" s="103"/>
      <c r="H32" s="103"/>
      <c r="I32" s="103"/>
      <c r="J32" s="103">
        <f t="shared" si="12"/>
        <v>0</v>
      </c>
      <c r="K32" s="103"/>
      <c r="L32" s="103"/>
      <c r="M32" s="103"/>
      <c r="N32" s="103"/>
      <c r="O32" s="103"/>
      <c r="P32" s="103">
        <f t="shared" si="10"/>
        <v>257400</v>
      </c>
      <c r="Q32" s="187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</row>
    <row r="33" spans="1:527" s="22" customFormat="1" ht="49.5" customHeight="1" x14ac:dyDescent="0.25">
      <c r="A33" s="60" t="s">
        <v>320</v>
      </c>
      <c r="B33" s="97" t="str">
        <f>'дод 5'!A139</f>
        <v>4060</v>
      </c>
      <c r="C33" s="97" t="str">
        <f>'дод 5'!B139</f>
        <v>0828</v>
      </c>
      <c r="D33" s="61" t="str">
        <f>'дод 5'!C139</f>
        <v>Забезпечення діяльності палаців i будинків культури, клубів, центрів дозвілля та iнших клубних закладів</v>
      </c>
      <c r="E33" s="103">
        <f t="shared" si="9"/>
        <v>4865509</v>
      </c>
      <c r="F33" s="106">
        <f>4330600+30000+64900+98000+100000+242009</f>
        <v>4865509</v>
      </c>
      <c r="G33" s="103">
        <v>2526200</v>
      </c>
      <c r="H33" s="103">
        <f>452700+30000+242009</f>
        <v>724709</v>
      </c>
      <c r="I33" s="103"/>
      <c r="J33" s="103">
        <f t="shared" si="12"/>
        <v>0</v>
      </c>
      <c r="K33" s="103"/>
      <c r="L33" s="103"/>
      <c r="M33" s="103"/>
      <c r="N33" s="103"/>
      <c r="O33" s="103"/>
      <c r="P33" s="103">
        <f t="shared" si="10"/>
        <v>4865509</v>
      </c>
      <c r="Q33" s="187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</row>
    <row r="34" spans="1:527" s="22" customFormat="1" ht="30.75" customHeight="1" x14ac:dyDescent="0.25">
      <c r="A34" s="60" t="s">
        <v>305</v>
      </c>
      <c r="B34" s="97" t="str">
        <f>'дод 5'!A140</f>
        <v>4081</v>
      </c>
      <c r="C34" s="97" t="str">
        <f>'дод 5'!B140</f>
        <v>0829</v>
      </c>
      <c r="D34" s="61" t="str">
        <f>'дод 5'!C140</f>
        <v>Забезпечення діяльності інших закладів в галузі культури і мистецтва</v>
      </c>
      <c r="E34" s="103">
        <f t="shared" si="9"/>
        <v>2919781</v>
      </c>
      <c r="F34" s="103">
        <f>2708200+3000+68100+22800+97000+20681</f>
        <v>2919781</v>
      </c>
      <c r="G34" s="103">
        <v>1687000</v>
      </c>
      <c r="H34" s="103">
        <f>72500+20681</f>
        <v>93181</v>
      </c>
      <c r="I34" s="103"/>
      <c r="J34" s="103">
        <f t="shared" si="12"/>
        <v>65000</v>
      </c>
      <c r="K34" s="103">
        <v>65000</v>
      </c>
      <c r="L34" s="103"/>
      <c r="M34" s="103"/>
      <c r="N34" s="103"/>
      <c r="O34" s="103">
        <v>65000</v>
      </c>
      <c r="P34" s="103">
        <f t="shared" si="10"/>
        <v>2984781</v>
      </c>
      <c r="Q34" s="187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</row>
    <row r="35" spans="1:527" s="22" customFormat="1" ht="25.5" customHeight="1" x14ac:dyDescent="0.25">
      <c r="A35" s="60" t="s">
        <v>306</v>
      </c>
      <c r="B35" s="97" t="str">
        <f>'дод 5'!A141</f>
        <v>4082</v>
      </c>
      <c r="C35" s="97" t="str">
        <f>'дод 5'!B141</f>
        <v>0829</v>
      </c>
      <c r="D35" s="61" t="str">
        <f>'дод 5'!C141</f>
        <v>Інші заходи в галузі культури і мистецтва</v>
      </c>
      <c r="E35" s="103">
        <f t="shared" si="9"/>
        <v>424181</v>
      </c>
      <c r="F35" s="103">
        <f>355081-27900+97000</f>
        <v>424181</v>
      </c>
      <c r="G35" s="103"/>
      <c r="H35" s="103"/>
      <c r="I35" s="103"/>
      <c r="J35" s="103">
        <f t="shared" si="12"/>
        <v>0</v>
      </c>
      <c r="K35" s="103"/>
      <c r="L35" s="103"/>
      <c r="M35" s="103"/>
      <c r="N35" s="103"/>
      <c r="O35" s="103"/>
      <c r="P35" s="103">
        <f t="shared" si="10"/>
        <v>424181</v>
      </c>
      <c r="Q35" s="187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</row>
    <row r="36" spans="1:527" s="22" customFormat="1" ht="36.75" customHeight="1" x14ac:dyDescent="0.25">
      <c r="A36" s="107" t="s">
        <v>158</v>
      </c>
      <c r="B36" s="42" t="str">
        <f>'дод 5'!A144</f>
        <v>5011</v>
      </c>
      <c r="C36" s="42" t="str">
        <f>'дод 5'!B144</f>
        <v>0810</v>
      </c>
      <c r="D36" s="36" t="str">
        <f>'дод 5'!C144</f>
        <v>Проведення навчально-тренувальних зборів і змагань з олімпійських видів спорту</v>
      </c>
      <c r="E36" s="103">
        <f t="shared" si="9"/>
        <v>710000</v>
      </c>
      <c r="F36" s="103">
        <f>600000+30000+20000+60000</f>
        <v>710000</v>
      </c>
      <c r="G36" s="103"/>
      <c r="H36" s="103"/>
      <c r="I36" s="103"/>
      <c r="J36" s="103">
        <f t="shared" si="12"/>
        <v>0</v>
      </c>
      <c r="K36" s="103"/>
      <c r="L36" s="103"/>
      <c r="M36" s="103"/>
      <c r="N36" s="103"/>
      <c r="O36" s="103"/>
      <c r="P36" s="103">
        <f t="shared" si="10"/>
        <v>710000</v>
      </c>
      <c r="Q36" s="188">
        <v>6</v>
      </c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</row>
    <row r="37" spans="1:527" s="22" customFormat="1" ht="34.5" customHeight="1" x14ac:dyDescent="0.25">
      <c r="A37" s="107" t="s">
        <v>159</v>
      </c>
      <c r="B37" s="42" t="str">
        <f>'дод 5'!A145</f>
        <v>5012</v>
      </c>
      <c r="C37" s="42" t="str">
        <f>'дод 5'!B145</f>
        <v>0810</v>
      </c>
      <c r="D37" s="36" t="str">
        <f>'дод 5'!C145</f>
        <v>Проведення навчально-тренувальних зборів і змагань з неолімпійських видів спорту</v>
      </c>
      <c r="E37" s="103">
        <f t="shared" si="9"/>
        <v>959480</v>
      </c>
      <c r="F37" s="103">
        <f>600000+32000-20000+184000+37000+10000+50000+6480+60000</f>
        <v>959480</v>
      </c>
      <c r="G37" s="103"/>
      <c r="H37" s="103"/>
      <c r="I37" s="103"/>
      <c r="J37" s="103">
        <f t="shared" si="12"/>
        <v>0</v>
      </c>
      <c r="K37" s="103"/>
      <c r="L37" s="103"/>
      <c r="M37" s="103"/>
      <c r="N37" s="103"/>
      <c r="O37" s="103"/>
      <c r="P37" s="103">
        <f t="shared" si="10"/>
        <v>959480</v>
      </c>
      <c r="Q37" s="188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</row>
    <row r="38" spans="1:527" s="22" customFormat="1" ht="39" customHeight="1" x14ac:dyDescent="0.25">
      <c r="A38" s="107" t="s">
        <v>160</v>
      </c>
      <c r="B38" s="42" t="str">
        <f>'дод 5'!A146</f>
        <v>5031</v>
      </c>
      <c r="C38" s="42" t="str">
        <f>'дод 5'!B146</f>
        <v>0810</v>
      </c>
      <c r="D38" s="36" t="str">
        <f>'дод 5'!C146</f>
        <v>Утримання та навчально-тренувальна робота комунальних дитячо-юнацьких спортивних шкіл</v>
      </c>
      <c r="E38" s="103">
        <f t="shared" si="9"/>
        <v>17949683</v>
      </c>
      <c r="F38" s="103">
        <f>16311200+198300+253000+110000+130000+20000+10000+50000+1000000+127420+206073-466310</f>
        <v>17949683</v>
      </c>
      <c r="G38" s="103">
        <f>12531000+820000-382375</f>
        <v>12968625</v>
      </c>
      <c r="H38" s="103">
        <f>634200+206073</f>
        <v>840273</v>
      </c>
      <c r="I38" s="103"/>
      <c r="J38" s="103">
        <f t="shared" si="12"/>
        <v>200700</v>
      </c>
      <c r="K38" s="103">
        <f>110700+90000</f>
        <v>200700</v>
      </c>
      <c r="L38" s="103"/>
      <c r="M38" s="103"/>
      <c r="N38" s="103"/>
      <c r="O38" s="103">
        <f>110700+90000</f>
        <v>200700</v>
      </c>
      <c r="P38" s="103">
        <f t="shared" si="10"/>
        <v>18150383</v>
      </c>
      <c r="Q38" s="188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</row>
    <row r="39" spans="1:527" s="22" customFormat="1" ht="33.75" customHeight="1" x14ac:dyDescent="0.25">
      <c r="A39" s="107" t="s">
        <v>359</v>
      </c>
      <c r="B39" s="42" t="str">
        <f>'дод 5'!A148</f>
        <v>5032</v>
      </c>
      <c r="C39" s="42" t="str">
        <f>'дод 5'!B148</f>
        <v>0810</v>
      </c>
      <c r="D39" s="36" t="str">
        <f>'дод 5'!C148</f>
        <v>Фінансова підтримка дитячо-юнацьких спортивних шкіл фізкультурно-спортивних товариств</v>
      </c>
      <c r="E39" s="103">
        <f t="shared" si="9"/>
        <v>14877642</v>
      </c>
      <c r="F39" s="103">
        <f>13627800+140000+183000+115000+95000+90000+101200+10000+10000+34600+4732+466310</f>
        <v>14877642</v>
      </c>
      <c r="G39" s="103"/>
      <c r="H39" s="103"/>
      <c r="I39" s="103"/>
      <c r="J39" s="103">
        <f t="shared" si="12"/>
        <v>372100</v>
      </c>
      <c r="K39" s="103">
        <f>215000+30700+66000+60400</f>
        <v>372100</v>
      </c>
      <c r="L39" s="103"/>
      <c r="M39" s="103"/>
      <c r="N39" s="103"/>
      <c r="O39" s="103">
        <f>215000+30700+66000+60400</f>
        <v>372100</v>
      </c>
      <c r="P39" s="103">
        <f t="shared" si="10"/>
        <v>15249742</v>
      </c>
      <c r="Q39" s="188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</row>
    <row r="40" spans="1:527" s="22" customFormat="1" ht="63" x14ac:dyDescent="0.25">
      <c r="A40" s="107" t="s">
        <v>161</v>
      </c>
      <c r="B40" s="42" t="str">
        <f>'дод 5'!A149</f>
        <v>5061</v>
      </c>
      <c r="C40" s="42" t="str">
        <f>'дод 5'!B149</f>
        <v>0810</v>
      </c>
      <c r="D40" s="36" t="str">
        <f>'дод 5'!C149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103">
        <f t="shared" si="9"/>
        <v>4973184</v>
      </c>
      <c r="F40" s="103">
        <f>4794100+70000+25000+30000+25300+28784</f>
        <v>4973184</v>
      </c>
      <c r="G40" s="103">
        <v>2987400</v>
      </c>
      <c r="H40" s="103">
        <f>288100+2155+28784</f>
        <v>319039</v>
      </c>
      <c r="I40" s="103"/>
      <c r="J40" s="103">
        <f t="shared" si="12"/>
        <v>1742994</v>
      </c>
      <c r="K40" s="103">
        <f>1530000+30000-30000</f>
        <v>1530000</v>
      </c>
      <c r="L40" s="103">
        <v>212994</v>
      </c>
      <c r="M40" s="103">
        <v>119291</v>
      </c>
      <c r="N40" s="103">
        <v>50432</v>
      </c>
      <c r="O40" s="103">
        <f>1530000+30000-30000</f>
        <v>1530000</v>
      </c>
      <c r="P40" s="103">
        <f t="shared" si="10"/>
        <v>6716178</v>
      </c>
      <c r="Q40" s="188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</row>
    <row r="41" spans="1:527" s="22" customFormat="1" ht="47.25" x14ac:dyDescent="0.25">
      <c r="A41" s="107" t="s">
        <v>351</v>
      </c>
      <c r="B41" s="42" t="str">
        <f>'дод 5'!A150</f>
        <v>5062</v>
      </c>
      <c r="C41" s="42" t="str">
        <f>'дод 5'!B150</f>
        <v>0810</v>
      </c>
      <c r="D41" s="36" t="str">
        <f>'дод 5'!C150</f>
        <v>Підтримка спорту вищих досягнень та організацій, які здійснюють фізкультурно-спортивну діяльність в регіоні</v>
      </c>
      <c r="E41" s="103">
        <f t="shared" si="9"/>
        <v>14968695</v>
      </c>
      <c r="F41" s="103">
        <f>11230300+136000+76000+1300000+10000+53800+100000+500000+1500000+62595</f>
        <v>14968695</v>
      </c>
      <c r="G41" s="103"/>
      <c r="H41" s="103"/>
      <c r="I41" s="103"/>
      <c r="J41" s="103">
        <f t="shared" si="12"/>
        <v>0</v>
      </c>
      <c r="K41" s="103"/>
      <c r="L41" s="103"/>
      <c r="M41" s="103"/>
      <c r="N41" s="103"/>
      <c r="O41" s="103"/>
      <c r="P41" s="103">
        <f t="shared" si="10"/>
        <v>14968695</v>
      </c>
      <c r="Q41" s="188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</row>
    <row r="42" spans="1:527" s="22" customFormat="1" ht="39" customHeight="1" x14ac:dyDescent="0.25">
      <c r="A42" s="107" t="s">
        <v>416</v>
      </c>
      <c r="B42" s="42">
        <v>7325</v>
      </c>
      <c r="C42" s="77" t="s">
        <v>113</v>
      </c>
      <c r="D42" s="6" t="s">
        <v>560</v>
      </c>
      <c r="E42" s="103">
        <f t="shared" si="9"/>
        <v>0</v>
      </c>
      <c r="F42" s="103"/>
      <c r="G42" s="103"/>
      <c r="H42" s="103"/>
      <c r="I42" s="103"/>
      <c r="J42" s="103">
        <f t="shared" si="12"/>
        <v>9790000</v>
      </c>
      <c r="K42" s="103">
        <v>9790000</v>
      </c>
      <c r="L42" s="103"/>
      <c r="M42" s="103"/>
      <c r="N42" s="103"/>
      <c r="O42" s="103">
        <v>9790000</v>
      </c>
      <c r="P42" s="103">
        <f t="shared" si="10"/>
        <v>9790000</v>
      </c>
      <c r="Q42" s="188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</row>
    <row r="43" spans="1:527" s="22" customFormat="1" ht="18.75" x14ac:dyDescent="0.25">
      <c r="A43" s="107" t="s">
        <v>417</v>
      </c>
      <c r="B43" s="42">
        <v>7330</v>
      </c>
      <c r="C43" s="77" t="s">
        <v>113</v>
      </c>
      <c r="D43" s="6" t="s">
        <v>561</v>
      </c>
      <c r="E43" s="103">
        <f t="shared" si="9"/>
        <v>0</v>
      </c>
      <c r="F43" s="103"/>
      <c r="G43" s="103"/>
      <c r="H43" s="103"/>
      <c r="I43" s="103"/>
      <c r="J43" s="103">
        <f t="shared" si="12"/>
        <v>400000</v>
      </c>
      <c r="K43" s="103">
        <v>400000</v>
      </c>
      <c r="L43" s="103"/>
      <c r="M43" s="103"/>
      <c r="N43" s="103"/>
      <c r="O43" s="103">
        <v>400000</v>
      </c>
      <c r="P43" s="103">
        <f t="shared" si="10"/>
        <v>400000</v>
      </c>
      <c r="Q43" s="188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</row>
    <row r="44" spans="1:527" s="22" customFormat="1" ht="31.5" x14ac:dyDescent="0.25">
      <c r="A44" s="107" t="s">
        <v>162</v>
      </c>
      <c r="B44" s="42" t="str">
        <f>'дод 5'!A188</f>
        <v>7412</v>
      </c>
      <c r="C44" s="42" t="str">
        <f>'дод 5'!B188</f>
        <v>0451</v>
      </c>
      <c r="D44" s="36" t="str">
        <f>'дод 5'!C188</f>
        <v>Регулювання цін на послуги місцевого автотранспорту</v>
      </c>
      <c r="E44" s="103">
        <f t="shared" si="9"/>
        <v>6542500</v>
      </c>
      <c r="F44" s="103"/>
      <c r="G44" s="103"/>
      <c r="H44" s="103"/>
      <c r="I44" s="103">
        <f>7417200-874700</f>
        <v>6542500</v>
      </c>
      <c r="J44" s="103">
        <f t="shared" si="12"/>
        <v>0</v>
      </c>
      <c r="K44" s="103"/>
      <c r="L44" s="103"/>
      <c r="M44" s="103"/>
      <c r="N44" s="103"/>
      <c r="O44" s="103"/>
      <c r="P44" s="103">
        <f t="shared" si="10"/>
        <v>6542500</v>
      </c>
      <c r="Q44" s="188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</row>
    <row r="45" spans="1:527" s="22" customFormat="1" ht="24" customHeight="1" x14ac:dyDescent="0.25">
      <c r="A45" s="107" t="s">
        <v>379</v>
      </c>
      <c r="B45" s="42">
        <f>'дод 5'!A189</f>
        <v>7413</v>
      </c>
      <c r="C45" s="42" t="str">
        <f>'дод 5'!B189</f>
        <v>0451</v>
      </c>
      <c r="D45" s="108" t="str">
        <f>'дод 5'!C189</f>
        <v>Інші заходи у сфері автотранспорту</v>
      </c>
      <c r="E45" s="103">
        <f t="shared" si="9"/>
        <v>11000000</v>
      </c>
      <c r="F45" s="103"/>
      <c r="G45" s="103"/>
      <c r="H45" s="103"/>
      <c r="I45" s="103">
        <v>11000000</v>
      </c>
      <c r="J45" s="103">
        <f t="shared" si="12"/>
        <v>0</v>
      </c>
      <c r="K45" s="103"/>
      <c r="L45" s="103"/>
      <c r="M45" s="103"/>
      <c r="N45" s="103"/>
      <c r="O45" s="103"/>
      <c r="P45" s="103">
        <f t="shared" si="10"/>
        <v>11000000</v>
      </c>
      <c r="Q45" s="188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</row>
    <row r="46" spans="1:527" s="22" customFormat="1" ht="31.5" x14ac:dyDescent="0.25">
      <c r="A46" s="107" t="s">
        <v>583</v>
      </c>
      <c r="B46" s="42">
        <v>7422</v>
      </c>
      <c r="C46" s="107" t="s">
        <v>415</v>
      </c>
      <c r="D46" s="108" t="s">
        <v>584</v>
      </c>
      <c r="E46" s="103">
        <f t="shared" si="9"/>
        <v>4314400</v>
      </c>
      <c r="F46" s="103"/>
      <c r="G46" s="103"/>
      <c r="H46" s="103"/>
      <c r="I46" s="103">
        <v>4314400</v>
      </c>
      <c r="J46" s="103">
        <f t="shared" si="12"/>
        <v>0</v>
      </c>
      <c r="K46" s="103"/>
      <c r="L46" s="103"/>
      <c r="M46" s="103"/>
      <c r="N46" s="103"/>
      <c r="O46" s="103"/>
      <c r="P46" s="103">
        <f t="shared" si="10"/>
        <v>4314400</v>
      </c>
      <c r="Q46" s="188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</row>
    <row r="47" spans="1:527" s="22" customFormat="1" ht="24" customHeight="1" x14ac:dyDescent="0.25">
      <c r="A47" s="107" t="s">
        <v>380</v>
      </c>
      <c r="B47" s="42">
        <f>'дод 5'!A191</f>
        <v>7426</v>
      </c>
      <c r="C47" s="107" t="s">
        <v>415</v>
      </c>
      <c r="D47" s="108" t="str">
        <f>'дод 5'!C191</f>
        <v>Інші заходи у сфері електротранспорту</v>
      </c>
      <c r="E47" s="103">
        <f t="shared" si="9"/>
        <v>30742296</v>
      </c>
      <c r="F47" s="103"/>
      <c r="G47" s="103"/>
      <c r="H47" s="103"/>
      <c r="I47" s="103">
        <v>30742296</v>
      </c>
      <c r="J47" s="103">
        <f t="shared" si="12"/>
        <v>0</v>
      </c>
      <c r="K47" s="103"/>
      <c r="L47" s="103"/>
      <c r="M47" s="103"/>
      <c r="N47" s="103"/>
      <c r="O47" s="103"/>
      <c r="P47" s="103">
        <f t="shared" si="10"/>
        <v>30742296</v>
      </c>
      <c r="Q47" s="188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</row>
    <row r="48" spans="1:527" s="22" customFormat="1" ht="24" customHeight="1" x14ac:dyDescent="0.25">
      <c r="A48" s="107" t="s">
        <v>457</v>
      </c>
      <c r="B48" s="107" t="s">
        <v>458</v>
      </c>
      <c r="C48" s="107" t="s">
        <v>402</v>
      </c>
      <c r="D48" s="108" t="s">
        <v>464</v>
      </c>
      <c r="E48" s="103">
        <f t="shared" si="9"/>
        <v>2725480</v>
      </c>
      <c r="F48" s="103">
        <v>2725480</v>
      </c>
      <c r="G48" s="103"/>
      <c r="H48" s="103"/>
      <c r="I48" s="103"/>
      <c r="J48" s="103">
        <f t="shared" si="12"/>
        <v>0</v>
      </c>
      <c r="K48" s="103"/>
      <c r="L48" s="103"/>
      <c r="M48" s="103"/>
      <c r="N48" s="103"/>
      <c r="O48" s="103"/>
      <c r="P48" s="103">
        <f t="shared" si="10"/>
        <v>2725480</v>
      </c>
      <c r="Q48" s="188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</row>
    <row r="49" spans="1:527" s="22" customFormat="1" ht="30.75" customHeight="1" x14ac:dyDescent="0.25">
      <c r="A49" s="107" t="s">
        <v>235</v>
      </c>
      <c r="B49" s="42" t="str">
        <f>'дод 5'!A199</f>
        <v>7530</v>
      </c>
      <c r="C49" s="42" t="str">
        <f>'дод 5'!B199</f>
        <v>0460</v>
      </c>
      <c r="D49" s="36" t="s">
        <v>236</v>
      </c>
      <c r="E49" s="103">
        <f t="shared" si="9"/>
        <v>7250000</v>
      </c>
      <c r="F49" s="103">
        <f>10400000-3150000</f>
        <v>7250000</v>
      </c>
      <c r="G49" s="103"/>
      <c r="H49" s="103"/>
      <c r="I49" s="103"/>
      <c r="J49" s="103">
        <f t="shared" si="12"/>
        <v>3150000</v>
      </c>
      <c r="K49" s="103">
        <v>3150000</v>
      </c>
      <c r="L49" s="103"/>
      <c r="M49" s="103"/>
      <c r="N49" s="103"/>
      <c r="O49" s="103">
        <v>3150000</v>
      </c>
      <c r="P49" s="103">
        <f t="shared" si="10"/>
        <v>10400000</v>
      </c>
      <c r="Q49" s="188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</row>
    <row r="50" spans="1:527" s="22" customFormat="1" ht="31.5" customHeight="1" x14ac:dyDescent="0.25">
      <c r="A50" s="107" t="s">
        <v>163</v>
      </c>
      <c r="B50" s="42" t="str">
        <f>'дод 5'!A202</f>
        <v>7610</v>
      </c>
      <c r="C50" s="42" t="str">
        <f>'дод 5'!B202</f>
        <v>0411</v>
      </c>
      <c r="D50" s="36" t="str">
        <f>'дод 5'!C202</f>
        <v>Сприяння розвитку малого та середнього підприємництва</v>
      </c>
      <c r="E50" s="103">
        <f t="shared" si="9"/>
        <v>60000</v>
      </c>
      <c r="F50" s="103">
        <v>60000</v>
      </c>
      <c r="G50" s="103"/>
      <c r="H50" s="103"/>
      <c r="I50" s="103"/>
      <c r="J50" s="103">
        <f t="shared" si="12"/>
        <v>0</v>
      </c>
      <c r="K50" s="103"/>
      <c r="L50" s="103"/>
      <c r="M50" s="103"/>
      <c r="N50" s="103"/>
      <c r="O50" s="103"/>
      <c r="P50" s="103">
        <f t="shared" si="10"/>
        <v>60000</v>
      </c>
      <c r="Q50" s="188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</row>
    <row r="51" spans="1:527" s="22" customFormat="1" ht="33.75" customHeight="1" x14ac:dyDescent="0.25">
      <c r="A51" s="107" t="s">
        <v>164</v>
      </c>
      <c r="B51" s="42" t="str">
        <f>'дод 5'!A207</f>
        <v>7670</v>
      </c>
      <c r="C51" s="42" t="str">
        <f>'дод 5'!B207</f>
        <v>0490</v>
      </c>
      <c r="D51" s="36" t="s">
        <v>25</v>
      </c>
      <c r="E51" s="103">
        <f t="shared" si="9"/>
        <v>0</v>
      </c>
      <c r="F51" s="103"/>
      <c r="G51" s="103"/>
      <c r="H51" s="103"/>
      <c r="I51" s="103"/>
      <c r="J51" s="103">
        <f t="shared" si="12"/>
        <v>18997900</v>
      </c>
      <c r="K51" s="103">
        <v>18997900</v>
      </c>
      <c r="L51" s="103"/>
      <c r="M51" s="103"/>
      <c r="N51" s="103"/>
      <c r="O51" s="103">
        <v>18997900</v>
      </c>
      <c r="P51" s="103">
        <f t="shared" si="10"/>
        <v>18997900</v>
      </c>
      <c r="Q51" s="188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</row>
    <row r="52" spans="1:527" s="22" customFormat="1" ht="36.75" customHeight="1" x14ac:dyDescent="0.25">
      <c r="A52" s="107" t="s">
        <v>249</v>
      </c>
      <c r="B52" s="42" t="str">
        <f>'дод 5'!A209</f>
        <v>7680</v>
      </c>
      <c r="C52" s="42" t="str">
        <f>'дод 5'!B209</f>
        <v>0490</v>
      </c>
      <c r="D52" s="36" t="str">
        <f>'дод 5'!C209</f>
        <v>Членські внески до асоціацій органів місцевого самоврядування</v>
      </c>
      <c r="E52" s="103">
        <f t="shared" si="9"/>
        <v>356337</v>
      </c>
      <c r="F52" s="103">
        <v>356337</v>
      </c>
      <c r="G52" s="103"/>
      <c r="H52" s="103"/>
      <c r="I52" s="103"/>
      <c r="J52" s="103">
        <f t="shared" si="12"/>
        <v>0</v>
      </c>
      <c r="K52" s="103"/>
      <c r="L52" s="103"/>
      <c r="M52" s="103"/>
      <c r="N52" s="103"/>
      <c r="O52" s="103"/>
      <c r="P52" s="103">
        <f t="shared" si="10"/>
        <v>356337</v>
      </c>
      <c r="Q52" s="188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</row>
    <row r="53" spans="1:527" s="22" customFormat="1" ht="120.75" customHeight="1" x14ac:dyDescent="0.25">
      <c r="A53" s="107" t="s">
        <v>303</v>
      </c>
      <c r="B53" s="42" t="str">
        <f>'дод 5'!A210</f>
        <v>7691</v>
      </c>
      <c r="C53" s="42" t="str">
        <f>'дод 5'!B210</f>
        <v>0490</v>
      </c>
      <c r="D53" s="36" t="str">
        <f>'дод 5'!C210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3" s="103">
        <f t="shared" si="9"/>
        <v>0</v>
      </c>
      <c r="F53" s="103"/>
      <c r="G53" s="103"/>
      <c r="H53" s="103"/>
      <c r="I53" s="103"/>
      <c r="J53" s="103">
        <f t="shared" si="12"/>
        <v>54101</v>
      </c>
      <c r="K53" s="103"/>
      <c r="L53" s="103">
        <v>54101</v>
      </c>
      <c r="M53" s="103"/>
      <c r="N53" s="103"/>
      <c r="O53" s="103"/>
      <c r="P53" s="103">
        <f t="shared" si="10"/>
        <v>54101</v>
      </c>
      <c r="Q53" s="188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</row>
    <row r="54" spans="1:527" s="22" customFormat="1" ht="23.25" customHeight="1" x14ac:dyDescent="0.25">
      <c r="A54" s="107" t="s">
        <v>242</v>
      </c>
      <c r="B54" s="42" t="str">
        <f>'дод 5'!A211</f>
        <v>7693</v>
      </c>
      <c r="C54" s="42" t="str">
        <f>'дод 5'!B211</f>
        <v>0490</v>
      </c>
      <c r="D54" s="36" t="str">
        <f>'дод 5'!C211</f>
        <v>Інші заходи, пов'язані з економічною діяльністю</v>
      </c>
      <c r="E54" s="103">
        <f t="shared" si="9"/>
        <v>668626</v>
      </c>
      <c r="F54" s="103">
        <f>1129332-69100-97000-246116-48490</f>
        <v>668626</v>
      </c>
      <c r="G54" s="103"/>
      <c r="H54" s="103"/>
      <c r="I54" s="103"/>
      <c r="J54" s="103">
        <f t="shared" si="12"/>
        <v>0</v>
      </c>
      <c r="K54" s="103"/>
      <c r="L54" s="103"/>
      <c r="M54" s="103"/>
      <c r="N54" s="103"/>
      <c r="O54" s="103"/>
      <c r="P54" s="103">
        <f t="shared" si="10"/>
        <v>668626</v>
      </c>
      <c r="Q54" s="188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</row>
    <row r="55" spans="1:527" s="22" customFormat="1" ht="34.5" customHeight="1" x14ac:dyDescent="0.25">
      <c r="A55" s="107" t="s">
        <v>165</v>
      </c>
      <c r="B55" s="42" t="str">
        <f>'дод 5'!A218</f>
        <v>8110</v>
      </c>
      <c r="C55" s="42" t="str">
        <f>'дод 5'!B218</f>
        <v>0320</v>
      </c>
      <c r="D55" s="36" t="str">
        <f>'дод 5'!C218</f>
        <v>Заходи із запобігання та ліквідації надзвичайних ситуацій та наслідків стихійного лиха</v>
      </c>
      <c r="E55" s="103">
        <f t="shared" si="9"/>
        <v>283487.34000000003</v>
      </c>
      <c r="F55" s="103">
        <f>251700+31787.34</f>
        <v>283487.34000000003</v>
      </c>
      <c r="G55" s="103"/>
      <c r="H55" s="103">
        <v>6500</v>
      </c>
      <c r="I55" s="103"/>
      <c r="J55" s="103">
        <f t="shared" si="12"/>
        <v>1398264.66</v>
      </c>
      <c r="K55" s="103">
        <f>1430052-31787.34</f>
        <v>1398264.66</v>
      </c>
      <c r="L55" s="103"/>
      <c r="M55" s="103"/>
      <c r="N55" s="103"/>
      <c r="O55" s="103">
        <f>1430052-31787.34</f>
        <v>1398264.66</v>
      </c>
      <c r="P55" s="103">
        <f t="shared" si="10"/>
        <v>1681752</v>
      </c>
      <c r="Q55" s="188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</row>
    <row r="56" spans="1:527" s="22" customFormat="1" ht="30.75" customHeight="1" x14ac:dyDescent="0.25">
      <c r="A56" s="107" t="s">
        <v>225</v>
      </c>
      <c r="B56" s="42" t="str">
        <f>'дод 5'!A219</f>
        <v>8120</v>
      </c>
      <c r="C56" s="42" t="str">
        <f>'дод 5'!B219</f>
        <v>0320</v>
      </c>
      <c r="D56" s="36" t="str">
        <f>'дод 5'!C219</f>
        <v>Заходи з організації рятування на водах, у т.ч. за рахунок:</v>
      </c>
      <c r="E56" s="103">
        <f t="shared" si="9"/>
        <v>2449105</v>
      </c>
      <c r="F56" s="103">
        <f>2454660-5555</f>
        <v>2449105</v>
      </c>
      <c r="G56" s="103">
        <f>1906900</f>
        <v>1906900</v>
      </c>
      <c r="H56" s="103">
        <f>79260-5555</f>
        <v>73705</v>
      </c>
      <c r="I56" s="103"/>
      <c r="J56" s="103">
        <f t="shared" si="12"/>
        <v>5700</v>
      </c>
      <c r="K56" s="103"/>
      <c r="L56" s="103">
        <v>5700</v>
      </c>
      <c r="M56" s="103"/>
      <c r="N56" s="103">
        <v>1400</v>
      </c>
      <c r="O56" s="103"/>
      <c r="P56" s="103">
        <f t="shared" si="10"/>
        <v>2454805</v>
      </c>
      <c r="Q56" s="188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</row>
    <row r="57" spans="1:527" s="24" customFormat="1" ht="63" x14ac:dyDescent="0.25">
      <c r="A57" s="109"/>
      <c r="B57" s="92"/>
      <c r="C57" s="92"/>
      <c r="D57" s="91" t="str">
        <f>'дод 5'!C220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7" s="105">
        <f t="shared" si="9"/>
        <v>588815</v>
      </c>
      <c r="F57" s="105">
        <f>359315+30260+81980+117260</f>
        <v>588815</v>
      </c>
      <c r="G57" s="105">
        <f>294520+24805+67195+96115</f>
        <v>482635</v>
      </c>
      <c r="H57" s="105"/>
      <c r="I57" s="105"/>
      <c r="J57" s="105">
        <f t="shared" si="12"/>
        <v>0</v>
      </c>
      <c r="K57" s="105"/>
      <c r="L57" s="105"/>
      <c r="M57" s="105"/>
      <c r="N57" s="105"/>
      <c r="O57" s="105"/>
      <c r="P57" s="105">
        <f t="shared" si="10"/>
        <v>588815</v>
      </c>
      <c r="Q57" s="188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</row>
    <row r="58" spans="1:527" s="22" customFormat="1" ht="21.75" customHeight="1" x14ac:dyDescent="0.25">
      <c r="A58" s="107" t="s">
        <v>245</v>
      </c>
      <c r="B58" s="42" t="str">
        <f>'дод 5'!A222</f>
        <v>8230</v>
      </c>
      <c r="C58" s="42" t="str">
        <f>'дод 5'!B222</f>
        <v>0380</v>
      </c>
      <c r="D58" s="36" t="str">
        <f>'дод 5'!C222</f>
        <v>Інші заходи громадського порядку та безпеки</v>
      </c>
      <c r="E58" s="103">
        <f t="shared" si="9"/>
        <v>416692</v>
      </c>
      <c r="F58" s="103">
        <f>351800+550+64342</f>
        <v>416692</v>
      </c>
      <c r="G58" s="103"/>
      <c r="H58" s="103">
        <f>193600+64342</f>
        <v>257942</v>
      </c>
      <c r="I58" s="103"/>
      <c r="J58" s="103">
        <f t="shared" si="12"/>
        <v>0</v>
      </c>
      <c r="K58" s="103"/>
      <c r="L58" s="103"/>
      <c r="M58" s="103"/>
      <c r="N58" s="103"/>
      <c r="O58" s="103"/>
      <c r="P58" s="103">
        <f t="shared" si="10"/>
        <v>416692</v>
      </c>
      <c r="Q58" s="188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</row>
    <row r="59" spans="1:527" s="22" customFormat="1" ht="36" customHeight="1" x14ac:dyDescent="0.25">
      <c r="A59" s="60" t="s">
        <v>166</v>
      </c>
      <c r="B59" s="97" t="str">
        <f>'дод 5'!A225</f>
        <v>8340</v>
      </c>
      <c r="C59" s="97" t="str">
        <f>'дод 5'!B225</f>
        <v>0540</v>
      </c>
      <c r="D59" s="61" t="str">
        <f>'дод 5'!C225</f>
        <v>Природоохоронні заходи за рахунок цільових фондів</v>
      </c>
      <c r="E59" s="103">
        <f t="shared" si="9"/>
        <v>0</v>
      </c>
      <c r="F59" s="103"/>
      <c r="G59" s="103"/>
      <c r="H59" s="103"/>
      <c r="I59" s="103"/>
      <c r="J59" s="103">
        <f t="shared" si="12"/>
        <v>250000</v>
      </c>
      <c r="K59" s="103"/>
      <c r="L59" s="103">
        <v>250000</v>
      </c>
      <c r="M59" s="103"/>
      <c r="N59" s="103"/>
      <c r="O59" s="103"/>
      <c r="P59" s="103">
        <f t="shared" si="10"/>
        <v>250000</v>
      </c>
      <c r="Q59" s="188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</row>
    <row r="60" spans="1:527" s="22" customFormat="1" ht="26.25" customHeight="1" x14ac:dyDescent="0.25">
      <c r="A60" s="107" t="s">
        <v>256</v>
      </c>
      <c r="B60" s="42" t="str">
        <f>'дод 5'!A227</f>
        <v>8420</v>
      </c>
      <c r="C60" s="42" t="str">
        <f>'дод 5'!B227</f>
        <v>0830</v>
      </c>
      <c r="D60" s="36" t="str">
        <f>'дод 5'!C227</f>
        <v>Інші заходи у сфері засобів масової інформації</v>
      </c>
      <c r="E60" s="103">
        <f t="shared" si="9"/>
        <v>30000</v>
      </c>
      <c r="F60" s="103">
        <v>30000</v>
      </c>
      <c r="G60" s="103"/>
      <c r="H60" s="103"/>
      <c r="I60" s="103"/>
      <c r="J60" s="103">
        <f t="shared" si="12"/>
        <v>0</v>
      </c>
      <c r="K60" s="103"/>
      <c r="L60" s="103"/>
      <c r="M60" s="103"/>
      <c r="N60" s="103"/>
      <c r="O60" s="103"/>
      <c r="P60" s="103">
        <f t="shared" si="10"/>
        <v>30000</v>
      </c>
      <c r="Q60" s="188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</row>
    <row r="61" spans="1:527" s="22" customFormat="1" ht="47.25" x14ac:dyDescent="0.25">
      <c r="A61" s="107" t="s">
        <v>383</v>
      </c>
      <c r="B61" s="42">
        <v>9800</v>
      </c>
      <c r="C61" s="107" t="s">
        <v>46</v>
      </c>
      <c r="D61" s="36" t="s">
        <v>369</v>
      </c>
      <c r="E61" s="103">
        <f t="shared" si="9"/>
        <v>1993799</v>
      </c>
      <c r="F61" s="103">
        <f>407799-134000+1720000</f>
        <v>1993799</v>
      </c>
      <c r="G61" s="103"/>
      <c r="H61" s="103"/>
      <c r="I61" s="103"/>
      <c r="J61" s="103">
        <f t="shared" si="12"/>
        <v>1483000</v>
      </c>
      <c r="K61" s="103">
        <f>134000+1349000</f>
        <v>1483000</v>
      </c>
      <c r="L61" s="103"/>
      <c r="M61" s="103"/>
      <c r="N61" s="103"/>
      <c r="O61" s="103">
        <f>134000+1349000</f>
        <v>1483000</v>
      </c>
      <c r="P61" s="103">
        <f t="shared" si="10"/>
        <v>3476799</v>
      </c>
      <c r="Q61" s="188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</row>
    <row r="62" spans="1:527" s="27" customFormat="1" ht="36" customHeight="1" x14ac:dyDescent="0.25">
      <c r="A62" s="110" t="s">
        <v>167</v>
      </c>
      <c r="B62" s="39"/>
      <c r="C62" s="39"/>
      <c r="D62" s="111" t="s">
        <v>26</v>
      </c>
      <c r="E62" s="99">
        <f>E63</f>
        <v>1151000186.23</v>
      </c>
      <c r="F62" s="99">
        <f t="shared" ref="F62:J62" si="13">F63</f>
        <v>1151000186.23</v>
      </c>
      <c r="G62" s="99">
        <f t="shared" si="13"/>
        <v>779065830</v>
      </c>
      <c r="H62" s="99">
        <f t="shared" si="13"/>
        <v>61951847</v>
      </c>
      <c r="I62" s="99">
        <f t="shared" si="13"/>
        <v>0</v>
      </c>
      <c r="J62" s="99">
        <f t="shared" si="13"/>
        <v>99551314.180000007</v>
      </c>
      <c r="K62" s="99">
        <f t="shared" ref="K62" si="14">K63</f>
        <v>61405814.18</v>
      </c>
      <c r="L62" s="99">
        <f t="shared" ref="L62" si="15">L63</f>
        <v>37465600</v>
      </c>
      <c r="M62" s="99">
        <f t="shared" ref="M62" si="16">M63</f>
        <v>2268060</v>
      </c>
      <c r="N62" s="99">
        <f t="shared" ref="N62" si="17">N63</f>
        <v>139890</v>
      </c>
      <c r="O62" s="99">
        <f t="shared" ref="O62:P62" si="18">O63</f>
        <v>62085714.18</v>
      </c>
      <c r="P62" s="99">
        <f t="shared" si="18"/>
        <v>1250551500.4099998</v>
      </c>
      <c r="Q62" s="188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32"/>
      <c r="JX62" s="32"/>
      <c r="JY62" s="32"/>
      <c r="JZ62" s="32"/>
      <c r="KA62" s="32"/>
      <c r="KB62" s="32"/>
      <c r="KC62" s="32"/>
      <c r="KD62" s="32"/>
      <c r="KE62" s="32"/>
      <c r="KF62" s="32"/>
      <c r="KG62" s="32"/>
      <c r="KH62" s="32"/>
      <c r="KI62" s="32"/>
      <c r="KJ62" s="32"/>
      <c r="KK62" s="32"/>
      <c r="KL62" s="32"/>
      <c r="KM62" s="32"/>
      <c r="KN62" s="32"/>
      <c r="KO62" s="32"/>
      <c r="KP62" s="32"/>
      <c r="KQ62" s="32"/>
      <c r="KR62" s="32"/>
      <c r="KS62" s="32"/>
      <c r="KT62" s="32"/>
      <c r="KU62" s="32"/>
      <c r="KV62" s="32"/>
      <c r="KW62" s="32"/>
      <c r="KX62" s="32"/>
      <c r="KY62" s="32"/>
      <c r="KZ62" s="32"/>
      <c r="LA62" s="32"/>
      <c r="LB62" s="32"/>
      <c r="LC62" s="32"/>
      <c r="LD62" s="32"/>
      <c r="LE62" s="32"/>
      <c r="LF62" s="32"/>
      <c r="LG62" s="32"/>
      <c r="LH62" s="32"/>
      <c r="LI62" s="32"/>
      <c r="LJ62" s="32"/>
      <c r="LK62" s="32"/>
      <c r="LL62" s="32"/>
      <c r="LM62" s="32"/>
      <c r="LN62" s="32"/>
      <c r="LO62" s="32"/>
      <c r="LP62" s="32"/>
      <c r="LQ62" s="32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32"/>
      <c r="MD62" s="32"/>
      <c r="ME62" s="32"/>
      <c r="MF62" s="32"/>
      <c r="MG62" s="32"/>
      <c r="MH62" s="32"/>
      <c r="MI62" s="32"/>
      <c r="MJ62" s="32"/>
      <c r="MK62" s="32"/>
      <c r="ML62" s="32"/>
      <c r="MM62" s="32"/>
      <c r="MN62" s="32"/>
      <c r="MO62" s="32"/>
      <c r="MP62" s="32"/>
      <c r="MQ62" s="32"/>
      <c r="MR62" s="32"/>
      <c r="MS62" s="32"/>
      <c r="MT62" s="32"/>
      <c r="MU62" s="32"/>
      <c r="MV62" s="32"/>
      <c r="MW62" s="32"/>
      <c r="MX62" s="32"/>
      <c r="MY62" s="32"/>
      <c r="MZ62" s="32"/>
      <c r="NA62" s="32"/>
      <c r="NB62" s="32"/>
      <c r="NC62" s="32"/>
      <c r="ND62" s="32"/>
      <c r="NE62" s="32"/>
      <c r="NF62" s="32"/>
      <c r="NG62" s="32"/>
      <c r="NH62" s="32"/>
      <c r="NI62" s="32"/>
      <c r="NJ62" s="32"/>
      <c r="NK62" s="32"/>
      <c r="NL62" s="32"/>
      <c r="NM62" s="32"/>
      <c r="NN62" s="32"/>
      <c r="NO62" s="32"/>
      <c r="NP62" s="32"/>
      <c r="NQ62" s="32"/>
      <c r="NR62" s="32"/>
      <c r="NS62" s="32"/>
      <c r="NT62" s="32"/>
      <c r="NU62" s="32"/>
      <c r="NV62" s="32"/>
      <c r="NW62" s="32"/>
      <c r="NX62" s="32"/>
      <c r="NY62" s="32"/>
      <c r="NZ62" s="32"/>
      <c r="OA62" s="32"/>
      <c r="OB62" s="32"/>
      <c r="OC62" s="32"/>
      <c r="OD62" s="32"/>
      <c r="OE62" s="32"/>
      <c r="OF62" s="32"/>
      <c r="OG62" s="32"/>
      <c r="OH62" s="32"/>
      <c r="OI62" s="32"/>
      <c r="OJ62" s="32"/>
      <c r="OK62" s="32"/>
      <c r="OL62" s="32"/>
      <c r="OM62" s="32"/>
      <c r="ON62" s="32"/>
      <c r="OO62" s="32"/>
      <c r="OP62" s="32"/>
      <c r="OQ62" s="32"/>
      <c r="OR62" s="32"/>
      <c r="OS62" s="32"/>
      <c r="OT62" s="32"/>
      <c r="OU62" s="32"/>
      <c r="OV62" s="32"/>
      <c r="OW62" s="32"/>
      <c r="OX62" s="32"/>
      <c r="OY62" s="32"/>
      <c r="OZ62" s="32"/>
      <c r="PA62" s="32"/>
      <c r="PB62" s="32"/>
      <c r="PC62" s="32"/>
      <c r="PD62" s="32"/>
      <c r="PE62" s="32"/>
      <c r="PF62" s="32"/>
      <c r="PG62" s="32"/>
      <c r="PH62" s="32"/>
      <c r="PI62" s="32"/>
      <c r="PJ62" s="32"/>
      <c r="PK62" s="32"/>
      <c r="PL62" s="32"/>
      <c r="PM62" s="32"/>
      <c r="PN62" s="32"/>
      <c r="PO62" s="32"/>
      <c r="PP62" s="32"/>
      <c r="PQ62" s="32"/>
      <c r="PR62" s="32"/>
      <c r="PS62" s="32"/>
      <c r="PT62" s="32"/>
      <c r="PU62" s="32"/>
      <c r="PV62" s="32"/>
      <c r="PW62" s="32"/>
      <c r="PX62" s="32"/>
      <c r="PY62" s="32"/>
      <c r="PZ62" s="32"/>
      <c r="QA62" s="32"/>
      <c r="QB62" s="32"/>
      <c r="QC62" s="32"/>
      <c r="QD62" s="32"/>
      <c r="QE62" s="32"/>
      <c r="QF62" s="32"/>
      <c r="QG62" s="32"/>
      <c r="QH62" s="32"/>
      <c r="QI62" s="32"/>
      <c r="QJ62" s="32"/>
      <c r="QK62" s="32"/>
      <c r="QL62" s="32"/>
      <c r="QM62" s="32"/>
      <c r="QN62" s="32"/>
      <c r="QO62" s="32"/>
      <c r="QP62" s="32"/>
      <c r="QQ62" s="32"/>
      <c r="QR62" s="32"/>
      <c r="QS62" s="32"/>
      <c r="QT62" s="32"/>
      <c r="QU62" s="32"/>
      <c r="QV62" s="32"/>
      <c r="QW62" s="32"/>
      <c r="QX62" s="32"/>
      <c r="QY62" s="32"/>
      <c r="QZ62" s="32"/>
      <c r="RA62" s="32"/>
      <c r="RB62" s="32"/>
      <c r="RC62" s="32"/>
      <c r="RD62" s="32"/>
      <c r="RE62" s="32"/>
      <c r="RF62" s="32"/>
      <c r="RG62" s="32"/>
      <c r="RH62" s="32"/>
      <c r="RI62" s="32"/>
      <c r="RJ62" s="32"/>
      <c r="RK62" s="32"/>
      <c r="RL62" s="32"/>
      <c r="RM62" s="32"/>
      <c r="RN62" s="32"/>
      <c r="RO62" s="32"/>
      <c r="RP62" s="32"/>
      <c r="RQ62" s="32"/>
      <c r="RR62" s="32"/>
      <c r="RS62" s="32"/>
      <c r="RT62" s="32"/>
      <c r="RU62" s="32"/>
      <c r="RV62" s="32"/>
      <c r="RW62" s="32"/>
      <c r="RX62" s="32"/>
      <c r="RY62" s="32"/>
      <c r="RZ62" s="32"/>
      <c r="SA62" s="32"/>
      <c r="SB62" s="32"/>
      <c r="SC62" s="32"/>
      <c r="SD62" s="32"/>
      <c r="SE62" s="32"/>
      <c r="SF62" s="32"/>
      <c r="SG62" s="32"/>
      <c r="SH62" s="32"/>
      <c r="SI62" s="32"/>
      <c r="SJ62" s="32"/>
      <c r="SK62" s="32"/>
      <c r="SL62" s="32"/>
      <c r="SM62" s="32"/>
      <c r="SN62" s="32"/>
      <c r="SO62" s="32"/>
      <c r="SP62" s="32"/>
      <c r="SQ62" s="32"/>
      <c r="SR62" s="32"/>
      <c r="SS62" s="32"/>
      <c r="ST62" s="32"/>
      <c r="SU62" s="32"/>
      <c r="SV62" s="32"/>
      <c r="SW62" s="32"/>
      <c r="SX62" s="32"/>
      <c r="SY62" s="32"/>
      <c r="SZ62" s="32"/>
      <c r="TA62" s="32"/>
      <c r="TB62" s="32"/>
      <c r="TC62" s="32"/>
      <c r="TD62" s="32"/>
      <c r="TE62" s="32"/>
      <c r="TF62" s="32"/>
      <c r="TG62" s="32"/>
    </row>
    <row r="63" spans="1:527" s="34" customFormat="1" ht="38.25" customHeight="1" x14ac:dyDescent="0.25">
      <c r="A63" s="112" t="s">
        <v>168</v>
      </c>
      <c r="B63" s="78"/>
      <c r="C63" s="78"/>
      <c r="D63" s="81" t="s">
        <v>517</v>
      </c>
      <c r="E63" s="102">
        <f>E76+E77+E78+E79+E80+E83+E85+E88+E90+E91+E92+E93+E94+E96+E97+E98+E100+E101+E103+E105+E107+E108+E109+E111+E112+E114+E115+E116+E117+E119+E120</f>
        <v>1151000186.23</v>
      </c>
      <c r="F63" s="102">
        <f t="shared" ref="F63:P63" si="19">F76+F77+F78+F79+F80+F83+F85+F88+F90+F91+F92+F93+F94+F96+F97+F98+F100+F101+F103+F105+F107+F108+F109+F111+F112+F114+F115+F116+F117+F119+F120</f>
        <v>1151000186.23</v>
      </c>
      <c r="G63" s="102">
        <f t="shared" si="19"/>
        <v>779065830</v>
      </c>
      <c r="H63" s="102">
        <f t="shared" si="19"/>
        <v>61951847</v>
      </c>
      <c r="I63" s="102">
        <f t="shared" si="19"/>
        <v>0</v>
      </c>
      <c r="J63" s="102">
        <f t="shared" si="19"/>
        <v>99551314.180000007</v>
      </c>
      <c r="K63" s="102">
        <f t="shared" si="19"/>
        <v>61405814.18</v>
      </c>
      <c r="L63" s="102">
        <f t="shared" si="19"/>
        <v>37465600</v>
      </c>
      <c r="M63" s="102">
        <f t="shared" si="19"/>
        <v>2268060</v>
      </c>
      <c r="N63" s="102">
        <f t="shared" si="19"/>
        <v>139890</v>
      </c>
      <c r="O63" s="102">
        <f t="shared" si="19"/>
        <v>62085714.18</v>
      </c>
      <c r="P63" s="102">
        <f t="shared" si="19"/>
        <v>1250551500.4099998</v>
      </c>
      <c r="Q63" s="188">
        <v>7</v>
      </c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</row>
    <row r="64" spans="1:527" s="34" customFormat="1" ht="31.5" x14ac:dyDescent="0.25">
      <c r="A64" s="112"/>
      <c r="B64" s="78"/>
      <c r="C64" s="78"/>
      <c r="D64" s="81" t="s">
        <v>391</v>
      </c>
      <c r="E64" s="102">
        <f>E81+E84</f>
        <v>482448000</v>
      </c>
      <c r="F64" s="102">
        <f>F81+F84</f>
        <v>482448000</v>
      </c>
      <c r="G64" s="102">
        <f t="shared" ref="G64:P64" si="20">G81+G84</f>
        <v>396066000</v>
      </c>
      <c r="H64" s="102">
        <f t="shared" si="20"/>
        <v>0</v>
      </c>
      <c r="I64" s="102">
        <f t="shared" si="20"/>
        <v>0</v>
      </c>
      <c r="J64" s="102">
        <f t="shared" si="20"/>
        <v>0</v>
      </c>
      <c r="K64" s="102">
        <f t="shared" si="20"/>
        <v>0</v>
      </c>
      <c r="L64" s="102">
        <f t="shared" si="20"/>
        <v>0</v>
      </c>
      <c r="M64" s="102">
        <f t="shared" si="20"/>
        <v>0</v>
      </c>
      <c r="N64" s="102">
        <f t="shared" si="20"/>
        <v>0</v>
      </c>
      <c r="O64" s="102">
        <f t="shared" si="20"/>
        <v>0</v>
      </c>
      <c r="P64" s="102">
        <f t="shared" si="20"/>
        <v>482448000</v>
      </c>
      <c r="Q64" s="188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</row>
    <row r="65" spans="1:527" s="34" customFormat="1" ht="63" hidden="1" customHeight="1" x14ac:dyDescent="0.25">
      <c r="A65" s="112"/>
      <c r="B65" s="78"/>
      <c r="C65" s="78"/>
      <c r="D65" s="81" t="s">
        <v>390</v>
      </c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88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</row>
    <row r="66" spans="1:527" s="34" customFormat="1" ht="47.25" x14ac:dyDescent="0.25">
      <c r="A66" s="112"/>
      <c r="B66" s="78"/>
      <c r="C66" s="78"/>
      <c r="D66" s="81" t="s">
        <v>558</v>
      </c>
      <c r="E66" s="102">
        <f>E86</f>
        <v>246000</v>
      </c>
      <c r="F66" s="102">
        <f t="shared" ref="F66:P66" si="21">F86</f>
        <v>246000</v>
      </c>
      <c r="G66" s="102">
        <f t="shared" si="21"/>
        <v>0</v>
      </c>
      <c r="H66" s="102">
        <f t="shared" si="21"/>
        <v>0</v>
      </c>
      <c r="I66" s="102">
        <f t="shared" si="21"/>
        <v>0</v>
      </c>
      <c r="J66" s="102">
        <f t="shared" si="21"/>
        <v>1754000</v>
      </c>
      <c r="K66" s="102">
        <f t="shared" si="21"/>
        <v>1754000</v>
      </c>
      <c r="L66" s="102">
        <f t="shared" si="21"/>
        <v>0</v>
      </c>
      <c r="M66" s="102">
        <f t="shared" si="21"/>
        <v>0</v>
      </c>
      <c r="N66" s="102">
        <f t="shared" si="21"/>
        <v>0</v>
      </c>
      <c r="O66" s="102">
        <f t="shared" si="21"/>
        <v>1754000</v>
      </c>
      <c r="P66" s="102">
        <f t="shared" si="21"/>
        <v>2000000</v>
      </c>
      <c r="Q66" s="188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</row>
    <row r="67" spans="1:527" s="34" customFormat="1" ht="47.25" x14ac:dyDescent="0.25">
      <c r="A67" s="112"/>
      <c r="B67" s="78"/>
      <c r="C67" s="78"/>
      <c r="D67" s="81" t="s">
        <v>386</v>
      </c>
      <c r="E67" s="102">
        <f t="shared" ref="E67:P67" si="22">E82+E95</f>
        <v>3578416</v>
      </c>
      <c r="F67" s="102">
        <f t="shared" si="22"/>
        <v>3578416</v>
      </c>
      <c r="G67" s="102">
        <f t="shared" si="22"/>
        <v>1228720</v>
      </c>
      <c r="H67" s="102">
        <f t="shared" si="22"/>
        <v>0</v>
      </c>
      <c r="I67" s="102">
        <f t="shared" si="22"/>
        <v>0</v>
      </c>
      <c r="J67" s="102">
        <f t="shared" si="22"/>
        <v>0</v>
      </c>
      <c r="K67" s="102">
        <f t="shared" si="22"/>
        <v>0</v>
      </c>
      <c r="L67" s="102">
        <f t="shared" si="22"/>
        <v>0</v>
      </c>
      <c r="M67" s="102">
        <f t="shared" si="22"/>
        <v>0</v>
      </c>
      <c r="N67" s="102">
        <f t="shared" si="22"/>
        <v>0</v>
      </c>
      <c r="O67" s="102">
        <f t="shared" si="22"/>
        <v>0</v>
      </c>
      <c r="P67" s="102">
        <f t="shared" si="22"/>
        <v>3578416</v>
      </c>
      <c r="Q67" s="188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</row>
    <row r="68" spans="1:527" s="34" customFormat="1" ht="45" hidden="1" customHeight="1" x14ac:dyDescent="0.25">
      <c r="A68" s="112"/>
      <c r="B68" s="78"/>
      <c r="C68" s="78"/>
      <c r="D68" s="81" t="s">
        <v>388</v>
      </c>
      <c r="E68" s="102" t="e">
        <f>#REF!+E92</f>
        <v>#REF!</v>
      </c>
      <c r="F68" s="102" t="e">
        <f>#REF!+F92</f>
        <v>#REF!</v>
      </c>
      <c r="G68" s="102" t="e">
        <f>#REF!+G92</f>
        <v>#REF!</v>
      </c>
      <c r="H68" s="102" t="e">
        <f>#REF!+H92</f>
        <v>#REF!</v>
      </c>
      <c r="I68" s="102" t="e">
        <f>#REF!+I92</f>
        <v>#REF!</v>
      </c>
      <c r="J68" s="102" t="e">
        <f>#REF!+J92</f>
        <v>#REF!</v>
      </c>
      <c r="K68" s="102" t="e">
        <f>#REF!+K92</f>
        <v>#REF!</v>
      </c>
      <c r="L68" s="102" t="e">
        <f>#REF!+L92</f>
        <v>#REF!</v>
      </c>
      <c r="M68" s="102" t="e">
        <f>#REF!+M92</f>
        <v>#REF!</v>
      </c>
      <c r="N68" s="102" t="e">
        <f>#REF!+N92</f>
        <v>#REF!</v>
      </c>
      <c r="O68" s="102" t="e">
        <f>#REF!+O92</f>
        <v>#REF!</v>
      </c>
      <c r="P68" s="102" t="e">
        <f>#REF!+P92</f>
        <v>#REF!</v>
      </c>
      <c r="Q68" s="188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</row>
    <row r="69" spans="1:527" s="34" customFormat="1" ht="63" x14ac:dyDescent="0.25">
      <c r="A69" s="112"/>
      <c r="B69" s="78"/>
      <c r="C69" s="78"/>
      <c r="D69" s="81" t="s">
        <v>385</v>
      </c>
      <c r="E69" s="102">
        <f>E104</f>
        <v>2612700</v>
      </c>
      <c r="F69" s="102">
        <f t="shared" ref="F69:P69" si="23">F104</f>
        <v>2612700</v>
      </c>
      <c r="G69" s="102">
        <f t="shared" si="23"/>
        <v>1459720</v>
      </c>
      <c r="H69" s="102">
        <f t="shared" si="23"/>
        <v>0</v>
      </c>
      <c r="I69" s="102">
        <f t="shared" si="23"/>
        <v>0</v>
      </c>
      <c r="J69" s="102">
        <f t="shared" si="23"/>
        <v>72000</v>
      </c>
      <c r="K69" s="102">
        <f t="shared" si="23"/>
        <v>72000</v>
      </c>
      <c r="L69" s="102">
        <f t="shared" si="23"/>
        <v>0</v>
      </c>
      <c r="M69" s="102">
        <f t="shared" si="23"/>
        <v>0</v>
      </c>
      <c r="N69" s="102">
        <f t="shared" si="23"/>
        <v>0</v>
      </c>
      <c r="O69" s="102">
        <f t="shared" si="23"/>
        <v>72000</v>
      </c>
      <c r="P69" s="102">
        <f t="shared" si="23"/>
        <v>2684700</v>
      </c>
      <c r="Q69" s="188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</row>
    <row r="70" spans="1:527" s="34" customFormat="1" ht="80.25" customHeight="1" x14ac:dyDescent="0.25">
      <c r="A70" s="112"/>
      <c r="B70" s="163"/>
      <c r="C70" s="78"/>
      <c r="D70" s="81" t="s">
        <v>537</v>
      </c>
      <c r="E70" s="102">
        <f>E106</f>
        <v>1174231</v>
      </c>
      <c r="F70" s="102">
        <f t="shared" ref="F70:P70" si="24">F106</f>
        <v>1174231</v>
      </c>
      <c r="G70" s="102">
        <f t="shared" si="24"/>
        <v>962484</v>
      </c>
      <c r="H70" s="102">
        <f t="shared" si="24"/>
        <v>0</v>
      </c>
      <c r="I70" s="102">
        <f t="shared" si="24"/>
        <v>0</v>
      </c>
      <c r="J70" s="102">
        <f t="shared" si="24"/>
        <v>0</v>
      </c>
      <c r="K70" s="102">
        <f t="shared" si="24"/>
        <v>0</v>
      </c>
      <c r="L70" s="102">
        <f t="shared" si="24"/>
        <v>0</v>
      </c>
      <c r="M70" s="102">
        <f t="shared" si="24"/>
        <v>0</v>
      </c>
      <c r="N70" s="102">
        <f t="shared" si="24"/>
        <v>0</v>
      </c>
      <c r="O70" s="102">
        <f t="shared" si="24"/>
        <v>0</v>
      </c>
      <c r="P70" s="102">
        <f t="shared" si="24"/>
        <v>1174231</v>
      </c>
      <c r="Q70" s="188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</row>
    <row r="71" spans="1:527" s="34" customFormat="1" ht="31.5" x14ac:dyDescent="0.25">
      <c r="A71" s="112"/>
      <c r="B71" s="78"/>
      <c r="C71" s="78"/>
      <c r="D71" s="81" t="s">
        <v>555</v>
      </c>
      <c r="E71" s="102">
        <f t="shared" ref="E71:P71" si="25">E87+E89+E118</f>
        <v>1402009.6000000001</v>
      </c>
      <c r="F71" s="102">
        <f t="shared" si="25"/>
        <v>1402009.6000000001</v>
      </c>
      <c r="G71" s="102">
        <f t="shared" si="25"/>
        <v>0</v>
      </c>
      <c r="H71" s="102">
        <f t="shared" si="25"/>
        <v>0</v>
      </c>
      <c r="I71" s="102">
        <f t="shared" si="25"/>
        <v>0</v>
      </c>
      <c r="J71" s="102">
        <f t="shared" si="25"/>
        <v>7695733.1799999997</v>
      </c>
      <c r="K71" s="102">
        <f t="shared" si="25"/>
        <v>7695733.1799999997</v>
      </c>
      <c r="L71" s="102">
        <f t="shared" si="25"/>
        <v>0</v>
      </c>
      <c r="M71" s="102">
        <f t="shared" si="25"/>
        <v>0</v>
      </c>
      <c r="N71" s="102">
        <f t="shared" si="25"/>
        <v>0</v>
      </c>
      <c r="O71" s="102">
        <f t="shared" si="25"/>
        <v>7695733.1799999997</v>
      </c>
      <c r="P71" s="102">
        <f t="shared" si="25"/>
        <v>9097742.7799999993</v>
      </c>
      <c r="Q71" s="188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</row>
    <row r="72" spans="1:527" s="34" customFormat="1" ht="78.75" x14ac:dyDescent="0.25">
      <c r="A72" s="112"/>
      <c r="B72" s="78"/>
      <c r="C72" s="78"/>
      <c r="D72" s="81" t="s">
        <v>578</v>
      </c>
      <c r="E72" s="102">
        <f>E102</f>
        <v>5811208</v>
      </c>
      <c r="F72" s="102">
        <f t="shared" ref="F72:P72" si="26">F102</f>
        <v>5811208</v>
      </c>
      <c r="G72" s="102">
        <f t="shared" si="26"/>
        <v>0</v>
      </c>
      <c r="H72" s="102">
        <f t="shared" si="26"/>
        <v>0</v>
      </c>
      <c r="I72" s="102">
        <f t="shared" si="26"/>
        <v>0</v>
      </c>
      <c r="J72" s="102">
        <f t="shared" si="26"/>
        <v>1095855</v>
      </c>
      <c r="K72" s="102">
        <f t="shared" si="26"/>
        <v>1095855</v>
      </c>
      <c r="L72" s="102">
        <f t="shared" si="26"/>
        <v>0</v>
      </c>
      <c r="M72" s="102">
        <f t="shared" si="26"/>
        <v>0</v>
      </c>
      <c r="N72" s="102">
        <f t="shared" si="26"/>
        <v>0</v>
      </c>
      <c r="O72" s="102">
        <f t="shared" si="26"/>
        <v>1095855</v>
      </c>
      <c r="P72" s="102">
        <f t="shared" si="26"/>
        <v>6907063</v>
      </c>
      <c r="Q72" s="188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</row>
    <row r="73" spans="1:527" s="34" customFormat="1" ht="63" x14ac:dyDescent="0.25">
      <c r="A73" s="100"/>
      <c r="B73" s="113"/>
      <c r="C73" s="114"/>
      <c r="D73" s="79" t="s">
        <v>432</v>
      </c>
      <c r="E73" s="102">
        <f>E99</f>
        <v>287772</v>
      </c>
      <c r="F73" s="102">
        <f t="shared" ref="F73:P73" si="27">F99</f>
        <v>287772</v>
      </c>
      <c r="G73" s="102">
        <f t="shared" si="27"/>
        <v>0</v>
      </c>
      <c r="H73" s="102">
        <f t="shared" si="27"/>
        <v>0</v>
      </c>
      <c r="I73" s="102">
        <f t="shared" si="27"/>
        <v>0</v>
      </c>
      <c r="J73" s="102">
        <f t="shared" si="27"/>
        <v>2859726</v>
      </c>
      <c r="K73" s="102">
        <f t="shared" si="27"/>
        <v>2859726</v>
      </c>
      <c r="L73" s="102">
        <f t="shared" si="27"/>
        <v>0</v>
      </c>
      <c r="M73" s="102">
        <f t="shared" si="27"/>
        <v>0</v>
      </c>
      <c r="N73" s="102">
        <f t="shared" si="27"/>
        <v>0</v>
      </c>
      <c r="O73" s="102">
        <f t="shared" si="27"/>
        <v>2859726</v>
      </c>
      <c r="P73" s="102">
        <f t="shared" si="27"/>
        <v>3147498</v>
      </c>
      <c r="Q73" s="188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</row>
    <row r="74" spans="1:527" s="34" customFormat="1" ht="51" customHeight="1" x14ac:dyDescent="0.25">
      <c r="A74" s="112"/>
      <c r="B74" s="78"/>
      <c r="C74" s="78"/>
      <c r="D74" s="154" t="s">
        <v>569</v>
      </c>
      <c r="E74" s="102">
        <f>E113</f>
        <v>0</v>
      </c>
      <c r="F74" s="102">
        <f t="shared" ref="F74:P74" si="28">F113</f>
        <v>0</v>
      </c>
      <c r="G74" s="102">
        <f t="shared" si="28"/>
        <v>0</v>
      </c>
      <c r="H74" s="102">
        <f t="shared" si="28"/>
        <v>0</v>
      </c>
      <c r="I74" s="102">
        <f t="shared" si="28"/>
        <v>0</v>
      </c>
      <c r="J74" s="102">
        <f t="shared" si="28"/>
        <v>1224916</v>
      </c>
      <c r="K74" s="102">
        <f t="shared" si="28"/>
        <v>1224916</v>
      </c>
      <c r="L74" s="102">
        <f t="shared" si="28"/>
        <v>0</v>
      </c>
      <c r="M74" s="102">
        <f t="shared" si="28"/>
        <v>0</v>
      </c>
      <c r="N74" s="102">
        <f t="shared" si="28"/>
        <v>0</v>
      </c>
      <c r="O74" s="102">
        <f t="shared" si="28"/>
        <v>1224916</v>
      </c>
      <c r="P74" s="102">
        <f t="shared" si="28"/>
        <v>1224916</v>
      </c>
      <c r="Q74" s="188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</row>
    <row r="75" spans="1:527" s="34" customFormat="1" ht="22.5" customHeight="1" x14ac:dyDescent="0.25">
      <c r="A75" s="112"/>
      <c r="B75" s="78"/>
      <c r="C75" s="78"/>
      <c r="D75" s="81" t="s">
        <v>397</v>
      </c>
      <c r="E75" s="102">
        <f>E110</f>
        <v>134064</v>
      </c>
      <c r="F75" s="102">
        <f t="shared" ref="F75:P75" si="29">F110</f>
        <v>134064</v>
      </c>
      <c r="G75" s="102">
        <f t="shared" si="29"/>
        <v>0</v>
      </c>
      <c r="H75" s="102">
        <f t="shared" si="29"/>
        <v>0</v>
      </c>
      <c r="I75" s="102">
        <f t="shared" si="29"/>
        <v>0</v>
      </c>
      <c r="J75" s="102">
        <f t="shared" si="29"/>
        <v>0</v>
      </c>
      <c r="K75" s="102">
        <f t="shared" si="29"/>
        <v>0</v>
      </c>
      <c r="L75" s="102">
        <f t="shared" si="29"/>
        <v>0</v>
      </c>
      <c r="M75" s="102">
        <f t="shared" si="29"/>
        <v>0</v>
      </c>
      <c r="N75" s="102">
        <f t="shared" si="29"/>
        <v>0</v>
      </c>
      <c r="O75" s="102">
        <f t="shared" si="29"/>
        <v>0</v>
      </c>
      <c r="P75" s="102">
        <f t="shared" si="29"/>
        <v>134064</v>
      </c>
      <c r="Q75" s="188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</row>
    <row r="76" spans="1:527" s="22" customFormat="1" ht="45.75" customHeight="1" x14ac:dyDescent="0.25">
      <c r="A76" s="60" t="s">
        <v>169</v>
      </c>
      <c r="B76" s="97" t="str">
        <f>'дод 5'!A20</f>
        <v>0160</v>
      </c>
      <c r="C76" s="97" t="str">
        <f>'дод 5'!B20</f>
        <v>0111</v>
      </c>
      <c r="D76" s="36" t="s">
        <v>503</v>
      </c>
      <c r="E76" s="103">
        <f t="shared" ref="E76:E120" si="30">F76+I76</f>
        <v>3864285</v>
      </c>
      <c r="F76" s="103">
        <f>3843500+20000+785</f>
        <v>3864285</v>
      </c>
      <c r="G76" s="103">
        <v>2976200</v>
      </c>
      <c r="H76" s="103">
        <f>42800+785</f>
        <v>43585</v>
      </c>
      <c r="I76" s="103"/>
      <c r="J76" s="103">
        <f>L76+O76</f>
        <v>0</v>
      </c>
      <c r="K76" s="103">
        <f>20000-20000</f>
        <v>0</v>
      </c>
      <c r="L76" s="103"/>
      <c r="M76" s="103"/>
      <c r="N76" s="103"/>
      <c r="O76" s="103">
        <f>20000-20000</f>
        <v>0</v>
      </c>
      <c r="P76" s="103">
        <f t="shared" ref="P76:P120" si="31">E76+J76</f>
        <v>3864285</v>
      </c>
      <c r="Q76" s="188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  <c r="TF76" s="23"/>
      <c r="TG76" s="23"/>
    </row>
    <row r="77" spans="1:527" s="22" customFormat="1" ht="21.75" customHeight="1" x14ac:dyDescent="0.25">
      <c r="A77" s="60" t="s">
        <v>170</v>
      </c>
      <c r="B77" s="97" t="str">
        <f>'дод 5'!A36</f>
        <v>1010</v>
      </c>
      <c r="C77" s="97" t="str">
        <f>'дод 5'!B36</f>
        <v>0910</v>
      </c>
      <c r="D77" s="61" t="s">
        <v>512</v>
      </c>
      <c r="E77" s="103">
        <f t="shared" si="30"/>
        <v>295981344.63</v>
      </c>
      <c r="F77" s="103">
        <f>290084900+377000+133998.63+378900+619000+103450+204596+100000+22020-24778+60000+20200+170000+156751+100000+1000000+2448507+10800+16000</f>
        <v>295981344.63</v>
      </c>
      <c r="G77" s="103">
        <f>205054200</f>
        <v>205054200</v>
      </c>
      <c r="H77" s="103">
        <f>21914800+2448507</f>
        <v>24363307</v>
      </c>
      <c r="I77" s="103"/>
      <c r="J77" s="103">
        <f>L77+O77</f>
        <v>12331180</v>
      </c>
      <c r="K77" s="103">
        <f>218000+50000+102000+86000+38500+27980+29800+30000-10800</f>
        <v>571480</v>
      </c>
      <c r="L77" s="103">
        <v>11759700</v>
      </c>
      <c r="M77" s="103"/>
      <c r="N77" s="103"/>
      <c r="O77" s="103">
        <f>218000+50000+102000+86000+38500+27980+29800+30000-10800</f>
        <v>571480</v>
      </c>
      <c r="P77" s="103">
        <f t="shared" si="31"/>
        <v>308312524.63</v>
      </c>
      <c r="Q77" s="188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</row>
    <row r="78" spans="1:527" s="22" customFormat="1" ht="37.5" customHeight="1" x14ac:dyDescent="0.25">
      <c r="A78" s="60" t="s">
        <v>479</v>
      </c>
      <c r="B78" s="60">
        <f>'дод 5'!A38</f>
        <v>1021</v>
      </c>
      <c r="C78" s="97" t="str">
        <f>'дод 5'!B38</f>
        <v>0921</v>
      </c>
      <c r="D78" s="61" t="s">
        <v>606</v>
      </c>
      <c r="E78" s="103">
        <f t="shared" si="30"/>
        <v>213253921</v>
      </c>
      <c r="F78" s="103">
        <f>207798800+170000+256650+380600+220200+130000+330000+525700+173300+23800+34000+200000+19200+10000+50000+357463+280000+79900+25000+163800+1938076+49500-40068+78000</f>
        <v>213253921</v>
      </c>
      <c r="G78" s="103">
        <f>119643500+19206</f>
        <v>119662706</v>
      </c>
      <c r="H78" s="103">
        <f>30342200+1938076</f>
        <v>32280276</v>
      </c>
      <c r="I78" s="103"/>
      <c r="J78" s="103">
        <f t="shared" ref="J78:J120" si="32">L78+O78</f>
        <v>26170904</v>
      </c>
      <c r="K78" s="103">
        <f>118000+77400+130000+50000+60650+30000+15000+80800+160000+17000+199186+40068+62000</f>
        <v>1040104</v>
      </c>
      <c r="L78" s="103">
        <v>25130800</v>
      </c>
      <c r="M78" s="103">
        <v>2268060</v>
      </c>
      <c r="N78" s="103">
        <v>139890</v>
      </c>
      <c r="O78" s="103">
        <f>118000+77400+130000+50000+60650+30000+15000+80800+160000+17000+199186+40068+62000</f>
        <v>1040104</v>
      </c>
      <c r="P78" s="103">
        <f t="shared" si="31"/>
        <v>239424825</v>
      </c>
      <c r="Q78" s="188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</row>
    <row r="79" spans="1:527" s="22" customFormat="1" ht="63" x14ac:dyDescent="0.25">
      <c r="A79" s="60" t="s">
        <v>481</v>
      </c>
      <c r="B79" s="97">
        <v>1022</v>
      </c>
      <c r="C79" s="60" t="s">
        <v>56</v>
      </c>
      <c r="D79" s="36" t="s">
        <v>482</v>
      </c>
      <c r="E79" s="103">
        <f t="shared" si="30"/>
        <v>14338277</v>
      </c>
      <c r="F79" s="103">
        <f>13632600+50000+159800+100000+17000+49800+26970+302107</f>
        <v>14338277</v>
      </c>
      <c r="G79" s="103">
        <v>8830500</v>
      </c>
      <c r="H79" s="103">
        <f>1210000+302107</f>
        <v>1512107</v>
      </c>
      <c r="I79" s="103"/>
      <c r="J79" s="103">
        <f t="shared" si="32"/>
        <v>153030</v>
      </c>
      <c r="K79" s="103">
        <f>250000-100000+30000-26970</f>
        <v>153030</v>
      </c>
      <c r="L79" s="103"/>
      <c r="M79" s="103"/>
      <c r="N79" s="103"/>
      <c r="O79" s="103">
        <f>250000-100000+30000-26970</f>
        <v>153030</v>
      </c>
      <c r="P79" s="103">
        <f t="shared" si="31"/>
        <v>14491307</v>
      </c>
      <c r="Q79" s="188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</row>
    <row r="80" spans="1:527" s="22" customFormat="1" ht="31.5" x14ac:dyDescent="0.25">
      <c r="A80" s="60" t="s">
        <v>483</v>
      </c>
      <c r="B80" s="97">
        <v>1031</v>
      </c>
      <c r="C80" s="60" t="s">
        <v>52</v>
      </c>
      <c r="D80" s="61" t="s">
        <v>513</v>
      </c>
      <c r="E80" s="103">
        <f t="shared" si="30"/>
        <v>468962880</v>
      </c>
      <c r="F80" s="103">
        <v>468962880</v>
      </c>
      <c r="G80" s="103">
        <v>383296900</v>
      </c>
      <c r="H80" s="103"/>
      <c r="I80" s="103"/>
      <c r="J80" s="103">
        <f t="shared" si="32"/>
        <v>0</v>
      </c>
      <c r="K80" s="103"/>
      <c r="L80" s="103"/>
      <c r="M80" s="103"/>
      <c r="N80" s="103"/>
      <c r="O80" s="103"/>
      <c r="P80" s="103">
        <f t="shared" si="31"/>
        <v>468962880</v>
      </c>
      <c r="Q80" s="188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</row>
    <row r="81" spans="1:527" s="24" customFormat="1" ht="31.5" x14ac:dyDescent="0.25">
      <c r="A81" s="88"/>
      <c r="B81" s="115"/>
      <c r="C81" s="115"/>
      <c r="D81" s="91" t="s">
        <v>391</v>
      </c>
      <c r="E81" s="105">
        <f t="shared" si="30"/>
        <v>466883500</v>
      </c>
      <c r="F81" s="105">
        <v>466883500</v>
      </c>
      <c r="G81" s="105">
        <v>383296900</v>
      </c>
      <c r="H81" s="105"/>
      <c r="I81" s="105"/>
      <c r="J81" s="105">
        <f t="shared" si="32"/>
        <v>0</v>
      </c>
      <c r="K81" s="105"/>
      <c r="L81" s="105"/>
      <c r="M81" s="105"/>
      <c r="N81" s="105"/>
      <c r="O81" s="105"/>
      <c r="P81" s="105">
        <f t="shared" si="31"/>
        <v>466883500</v>
      </c>
      <c r="Q81" s="188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  <c r="SO81" s="30"/>
      <c r="SP81" s="30"/>
      <c r="SQ81" s="30"/>
      <c r="SR81" s="30"/>
      <c r="SS81" s="30"/>
      <c r="ST81" s="30"/>
      <c r="SU81" s="30"/>
      <c r="SV81" s="30"/>
      <c r="SW81" s="30"/>
      <c r="SX81" s="30"/>
      <c r="SY81" s="30"/>
      <c r="SZ81" s="30"/>
      <c r="TA81" s="30"/>
      <c r="TB81" s="30"/>
      <c r="TC81" s="30"/>
      <c r="TD81" s="30"/>
      <c r="TE81" s="30"/>
      <c r="TF81" s="30"/>
      <c r="TG81" s="30"/>
    </row>
    <row r="82" spans="1:527" s="24" customFormat="1" ht="47.25" x14ac:dyDescent="0.25">
      <c r="A82" s="88"/>
      <c r="B82" s="115"/>
      <c r="C82" s="115"/>
      <c r="D82" s="91" t="s">
        <v>386</v>
      </c>
      <c r="E82" s="105">
        <f t="shared" si="30"/>
        <v>2079380</v>
      </c>
      <c r="F82" s="105">
        <v>2079380</v>
      </c>
      <c r="G82" s="105"/>
      <c r="H82" s="105"/>
      <c r="I82" s="105"/>
      <c r="J82" s="105">
        <f t="shared" si="32"/>
        <v>0</v>
      </c>
      <c r="K82" s="105"/>
      <c r="L82" s="105"/>
      <c r="M82" s="105"/>
      <c r="N82" s="105"/>
      <c r="O82" s="105"/>
      <c r="P82" s="105">
        <f t="shared" si="31"/>
        <v>2079380</v>
      </c>
      <c r="Q82" s="188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  <c r="TF82" s="30"/>
      <c r="TG82" s="30"/>
    </row>
    <row r="83" spans="1:527" s="22" customFormat="1" ht="65.25" customHeight="1" x14ac:dyDescent="0.25">
      <c r="A83" s="60" t="s">
        <v>484</v>
      </c>
      <c r="B83" s="60" t="s">
        <v>485</v>
      </c>
      <c r="C83" s="60" t="s">
        <v>56</v>
      </c>
      <c r="D83" s="61" t="s">
        <v>514</v>
      </c>
      <c r="E83" s="103">
        <f t="shared" si="30"/>
        <v>15564500</v>
      </c>
      <c r="F83" s="103">
        <v>15564500</v>
      </c>
      <c r="G83" s="103">
        <v>12769100</v>
      </c>
      <c r="H83" s="103"/>
      <c r="I83" s="103"/>
      <c r="J83" s="103">
        <f t="shared" si="32"/>
        <v>0</v>
      </c>
      <c r="K83" s="103"/>
      <c r="L83" s="103"/>
      <c r="M83" s="103"/>
      <c r="N83" s="103"/>
      <c r="O83" s="103"/>
      <c r="P83" s="103">
        <f t="shared" si="31"/>
        <v>15564500</v>
      </c>
      <c r="Q83" s="188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  <c r="TF83" s="23"/>
      <c r="TG83" s="23"/>
    </row>
    <row r="84" spans="1:527" s="24" customFormat="1" ht="31.5" x14ac:dyDescent="0.25">
      <c r="A84" s="88"/>
      <c r="B84" s="115"/>
      <c r="C84" s="115"/>
      <c r="D84" s="91" t="s">
        <v>391</v>
      </c>
      <c r="E84" s="105">
        <f t="shared" ref="E84:E88" si="33">F84+I84</f>
        <v>15564500</v>
      </c>
      <c r="F84" s="105">
        <v>15564500</v>
      </c>
      <c r="G84" s="105">
        <v>12769100</v>
      </c>
      <c r="H84" s="105"/>
      <c r="I84" s="105"/>
      <c r="J84" s="105">
        <f t="shared" ref="J84" si="34">L84+O84</f>
        <v>0</v>
      </c>
      <c r="K84" s="105"/>
      <c r="L84" s="105"/>
      <c r="M84" s="105"/>
      <c r="N84" s="105"/>
      <c r="O84" s="105"/>
      <c r="P84" s="105">
        <f t="shared" ref="P84" si="35">E84+J84</f>
        <v>15564500</v>
      </c>
      <c r="Q84" s="188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</row>
    <row r="85" spans="1:527" s="24" customFormat="1" ht="31.5" x14ac:dyDescent="0.25">
      <c r="A85" s="60" t="s">
        <v>543</v>
      </c>
      <c r="B85" s="97">
        <v>1061</v>
      </c>
      <c r="C85" s="60" t="s">
        <v>52</v>
      </c>
      <c r="D85" s="36" t="s">
        <v>513</v>
      </c>
      <c r="E85" s="103">
        <f t="shared" si="33"/>
        <v>915009.6</v>
      </c>
      <c r="F85" s="103">
        <f>664981.6+246000+9700-45200+39528</f>
        <v>915009.6</v>
      </c>
      <c r="G85" s="105"/>
      <c r="H85" s="105"/>
      <c r="I85" s="105"/>
      <c r="J85" s="103">
        <f t="shared" si="32"/>
        <v>6142733.1799999997</v>
      </c>
      <c r="K85" s="103">
        <f>377160+3253691+1754000+761910.18-9700+45200-39528</f>
        <v>6142733.1799999997</v>
      </c>
      <c r="L85" s="103"/>
      <c r="M85" s="103"/>
      <c r="N85" s="103"/>
      <c r="O85" s="103">
        <f>377160+3253691+1754000+761910.18-9700+45200-39528</f>
        <v>6142733.1799999997</v>
      </c>
      <c r="P85" s="103">
        <f t="shared" si="31"/>
        <v>7057742.7799999993</v>
      </c>
      <c r="Q85" s="188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</row>
    <row r="86" spans="1:527" s="24" customFormat="1" ht="46.5" customHeight="1" x14ac:dyDescent="0.25">
      <c r="A86" s="88"/>
      <c r="B86" s="115"/>
      <c r="C86" s="88"/>
      <c r="D86" s="91" t="s">
        <v>558</v>
      </c>
      <c r="E86" s="105">
        <f>F86+I86</f>
        <v>246000</v>
      </c>
      <c r="F86" s="105">
        <v>246000</v>
      </c>
      <c r="G86" s="105"/>
      <c r="H86" s="105"/>
      <c r="I86" s="105"/>
      <c r="J86" s="105">
        <f>L86+O86</f>
        <v>1754000</v>
      </c>
      <c r="K86" s="105">
        <v>1754000</v>
      </c>
      <c r="L86" s="105"/>
      <c r="M86" s="105"/>
      <c r="N86" s="105"/>
      <c r="O86" s="105">
        <v>1754000</v>
      </c>
      <c r="P86" s="105">
        <f t="shared" si="31"/>
        <v>2000000</v>
      </c>
      <c r="Q86" s="188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</row>
    <row r="87" spans="1:527" s="24" customFormat="1" ht="31.5" x14ac:dyDescent="0.25">
      <c r="A87" s="88"/>
      <c r="B87" s="115"/>
      <c r="C87" s="88"/>
      <c r="D87" s="91" t="s">
        <v>555</v>
      </c>
      <c r="E87" s="105">
        <f t="shared" ref="E87:E89" si="36">F87+I87</f>
        <v>669009.6</v>
      </c>
      <c r="F87" s="105">
        <f>664981.6+9700-45200+39528</f>
        <v>669009.6</v>
      </c>
      <c r="G87" s="105"/>
      <c r="H87" s="105"/>
      <c r="I87" s="105"/>
      <c r="J87" s="105">
        <f t="shared" ref="J87" si="37">L87+O87</f>
        <v>4388733.18</v>
      </c>
      <c r="K87" s="105">
        <f>377160+3253691+761910.18-9700+45200-39528</f>
        <v>4388733.18</v>
      </c>
      <c r="L87" s="105"/>
      <c r="M87" s="105"/>
      <c r="N87" s="105"/>
      <c r="O87" s="105">
        <f>377160+3253691+761910.18-9700+45200-39528</f>
        <v>4388733.18</v>
      </c>
      <c r="P87" s="105">
        <f t="shared" si="31"/>
        <v>5057742.7799999993</v>
      </c>
      <c r="Q87" s="188">
        <v>8</v>
      </c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</row>
    <row r="88" spans="1:527" s="24" customFormat="1" ht="63" x14ac:dyDescent="0.25">
      <c r="A88" s="60" t="s">
        <v>549</v>
      </c>
      <c r="B88" s="97">
        <v>1062</v>
      </c>
      <c r="C88" s="60" t="s">
        <v>56</v>
      </c>
      <c r="D88" s="61" t="s">
        <v>514</v>
      </c>
      <c r="E88" s="103">
        <f t="shared" si="33"/>
        <v>40000</v>
      </c>
      <c r="F88" s="103">
        <v>40000</v>
      </c>
      <c r="G88" s="105"/>
      <c r="H88" s="105"/>
      <c r="I88" s="105"/>
      <c r="J88" s="103">
        <f>L88+O88</f>
        <v>0</v>
      </c>
      <c r="K88" s="105"/>
      <c r="L88" s="105"/>
      <c r="M88" s="105"/>
      <c r="N88" s="105"/>
      <c r="O88" s="105"/>
      <c r="P88" s="103">
        <f t="shared" si="31"/>
        <v>40000</v>
      </c>
      <c r="Q88" s="188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</row>
    <row r="89" spans="1:527" s="24" customFormat="1" ht="31.5" x14ac:dyDescent="0.25">
      <c r="A89" s="88"/>
      <c r="B89" s="115"/>
      <c r="C89" s="88"/>
      <c r="D89" s="91" t="s">
        <v>555</v>
      </c>
      <c r="E89" s="105">
        <f t="shared" si="36"/>
        <v>40000</v>
      </c>
      <c r="F89" s="105">
        <v>40000</v>
      </c>
      <c r="G89" s="105"/>
      <c r="H89" s="105"/>
      <c r="I89" s="105"/>
      <c r="J89" s="105">
        <f>L89+O89</f>
        <v>0</v>
      </c>
      <c r="K89" s="105"/>
      <c r="L89" s="105"/>
      <c r="M89" s="105"/>
      <c r="N89" s="105"/>
      <c r="O89" s="105"/>
      <c r="P89" s="105">
        <f t="shared" si="31"/>
        <v>40000</v>
      </c>
      <c r="Q89" s="188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</row>
    <row r="90" spans="1:527" s="22" customFormat="1" ht="47.25" x14ac:dyDescent="0.25">
      <c r="A90" s="60" t="s">
        <v>486</v>
      </c>
      <c r="B90" s="60" t="s">
        <v>55</v>
      </c>
      <c r="C90" s="60" t="s">
        <v>58</v>
      </c>
      <c r="D90" s="61" t="s">
        <v>367</v>
      </c>
      <c r="E90" s="103">
        <f t="shared" si="30"/>
        <v>35044945</v>
      </c>
      <c r="F90" s="103">
        <f>34328200+64500+200000+452245</f>
        <v>35044945</v>
      </c>
      <c r="G90" s="103">
        <v>25836800</v>
      </c>
      <c r="H90" s="103">
        <f>2353200+452245</f>
        <v>2805445</v>
      </c>
      <c r="I90" s="103"/>
      <c r="J90" s="103">
        <f t="shared" si="32"/>
        <v>112500</v>
      </c>
      <c r="K90" s="103">
        <v>112500</v>
      </c>
      <c r="L90" s="103"/>
      <c r="M90" s="103"/>
      <c r="N90" s="103"/>
      <c r="O90" s="103">
        <v>112500</v>
      </c>
      <c r="P90" s="103">
        <f t="shared" si="31"/>
        <v>35157445</v>
      </c>
      <c r="Q90" s="188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  <c r="SQ90" s="23"/>
      <c r="SR90" s="23"/>
      <c r="SS90" s="23"/>
      <c r="ST90" s="23"/>
      <c r="SU90" s="23"/>
      <c r="SV90" s="23"/>
      <c r="SW90" s="23"/>
      <c r="SX90" s="23"/>
      <c r="SY90" s="23"/>
      <c r="SZ90" s="23"/>
      <c r="TA90" s="23"/>
      <c r="TB90" s="23"/>
      <c r="TC90" s="23"/>
      <c r="TD90" s="23"/>
      <c r="TE90" s="23"/>
      <c r="TF90" s="23"/>
      <c r="TG90" s="23"/>
    </row>
    <row r="91" spans="1:527" s="22" customFormat="1" ht="31.5" x14ac:dyDescent="0.25">
      <c r="A91" s="60" t="s">
        <v>487</v>
      </c>
      <c r="B91" s="60" t="s">
        <v>488</v>
      </c>
      <c r="C91" s="60" t="s">
        <v>59</v>
      </c>
      <c r="D91" s="36" t="s">
        <v>520</v>
      </c>
      <c r="E91" s="103">
        <f t="shared" si="30"/>
        <v>11387250</v>
      </c>
      <c r="F91" s="103">
        <f>11229130+100000+58120</f>
        <v>11387250</v>
      </c>
      <c r="G91" s="103">
        <v>8331500</v>
      </c>
      <c r="H91" s="103">
        <f>527130+58120</f>
        <v>585250</v>
      </c>
      <c r="I91" s="103"/>
      <c r="J91" s="103">
        <f t="shared" si="32"/>
        <v>0</v>
      </c>
      <c r="K91" s="103">
        <f>100000-100000</f>
        <v>0</v>
      </c>
      <c r="L91" s="103"/>
      <c r="M91" s="103"/>
      <c r="N91" s="103"/>
      <c r="O91" s="103">
        <f>100000-100000</f>
        <v>0</v>
      </c>
      <c r="P91" s="103">
        <f t="shared" si="31"/>
        <v>11387250</v>
      </c>
      <c r="Q91" s="188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F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  <c r="LQ91" s="23"/>
      <c r="LR91" s="23"/>
      <c r="LS91" s="23"/>
      <c r="LT91" s="23"/>
      <c r="LU91" s="23"/>
      <c r="LV91" s="23"/>
      <c r="LW91" s="23"/>
      <c r="LX91" s="23"/>
      <c r="LY91" s="23"/>
      <c r="LZ91" s="23"/>
      <c r="MA91" s="23"/>
      <c r="MB91" s="23"/>
      <c r="MC91" s="23"/>
      <c r="MD91" s="23"/>
      <c r="ME91" s="23"/>
      <c r="MF91" s="23"/>
      <c r="MG91" s="23"/>
      <c r="MH91" s="23"/>
      <c r="MI91" s="23"/>
      <c r="MJ91" s="23"/>
      <c r="MK91" s="23"/>
      <c r="ML91" s="23"/>
      <c r="MM91" s="23"/>
      <c r="MN91" s="23"/>
      <c r="MO91" s="23"/>
      <c r="MP91" s="23"/>
      <c r="MQ91" s="23"/>
      <c r="MR91" s="23"/>
      <c r="MS91" s="23"/>
      <c r="MT91" s="23"/>
      <c r="MU91" s="23"/>
      <c r="MV91" s="23"/>
      <c r="MW91" s="23"/>
      <c r="MX91" s="23"/>
      <c r="MY91" s="23"/>
      <c r="MZ91" s="23"/>
      <c r="NA91" s="23"/>
      <c r="NB91" s="23"/>
      <c r="NC91" s="23"/>
      <c r="ND91" s="23"/>
      <c r="NE91" s="23"/>
      <c r="NF91" s="23"/>
      <c r="NG91" s="23"/>
      <c r="NH91" s="23"/>
      <c r="NI91" s="23"/>
      <c r="NJ91" s="23"/>
      <c r="NK91" s="23"/>
      <c r="NL91" s="23"/>
      <c r="NM91" s="23"/>
      <c r="NN91" s="23"/>
      <c r="NO91" s="23"/>
      <c r="NP91" s="23"/>
      <c r="NQ91" s="23"/>
      <c r="NR91" s="23"/>
      <c r="NS91" s="23"/>
      <c r="NT91" s="23"/>
      <c r="NU91" s="23"/>
      <c r="NV91" s="23"/>
      <c r="NW91" s="23"/>
      <c r="NX91" s="23"/>
      <c r="NY91" s="23"/>
      <c r="NZ91" s="23"/>
      <c r="OA91" s="23"/>
      <c r="OB91" s="23"/>
      <c r="OC91" s="23"/>
      <c r="OD91" s="23"/>
      <c r="OE91" s="23"/>
      <c r="OF91" s="23"/>
      <c r="OG91" s="23"/>
      <c r="OH91" s="23"/>
      <c r="OI91" s="23"/>
      <c r="OJ91" s="23"/>
      <c r="OK91" s="23"/>
      <c r="OL91" s="23"/>
      <c r="OM91" s="23"/>
      <c r="ON91" s="23"/>
      <c r="OO91" s="23"/>
      <c r="OP91" s="23"/>
      <c r="OQ91" s="23"/>
      <c r="OR91" s="23"/>
      <c r="OS91" s="23"/>
      <c r="OT91" s="23"/>
      <c r="OU91" s="23"/>
      <c r="OV91" s="23"/>
      <c r="OW91" s="23"/>
      <c r="OX91" s="23"/>
      <c r="OY91" s="23"/>
      <c r="OZ91" s="23"/>
      <c r="PA91" s="23"/>
      <c r="PB91" s="23"/>
      <c r="PC91" s="23"/>
      <c r="PD91" s="23"/>
      <c r="PE91" s="23"/>
      <c r="PF91" s="23"/>
      <c r="PG91" s="23"/>
      <c r="PH91" s="23"/>
      <c r="PI91" s="23"/>
      <c r="PJ91" s="23"/>
      <c r="PK91" s="23"/>
      <c r="PL91" s="23"/>
      <c r="PM91" s="23"/>
      <c r="PN91" s="23"/>
      <c r="PO91" s="23"/>
      <c r="PP91" s="23"/>
      <c r="PQ91" s="23"/>
      <c r="PR91" s="23"/>
      <c r="PS91" s="23"/>
      <c r="PT91" s="23"/>
      <c r="PU91" s="23"/>
      <c r="PV91" s="23"/>
      <c r="PW91" s="23"/>
      <c r="PX91" s="23"/>
      <c r="PY91" s="23"/>
      <c r="PZ91" s="23"/>
      <c r="QA91" s="23"/>
      <c r="QB91" s="23"/>
      <c r="QC91" s="23"/>
      <c r="QD91" s="23"/>
      <c r="QE91" s="23"/>
      <c r="QF91" s="23"/>
      <c r="QG91" s="23"/>
      <c r="QH91" s="23"/>
      <c r="QI91" s="23"/>
      <c r="QJ91" s="23"/>
      <c r="QK91" s="23"/>
      <c r="QL91" s="23"/>
      <c r="QM91" s="23"/>
      <c r="QN91" s="23"/>
      <c r="QO91" s="23"/>
      <c r="QP91" s="23"/>
      <c r="QQ91" s="23"/>
      <c r="QR91" s="23"/>
      <c r="QS91" s="23"/>
      <c r="QT91" s="23"/>
      <c r="QU91" s="23"/>
      <c r="QV91" s="23"/>
      <c r="QW91" s="23"/>
      <c r="QX91" s="23"/>
      <c r="QY91" s="23"/>
      <c r="QZ91" s="23"/>
      <c r="RA91" s="23"/>
      <c r="RB91" s="23"/>
      <c r="RC91" s="23"/>
      <c r="RD91" s="23"/>
      <c r="RE91" s="23"/>
      <c r="RF91" s="23"/>
      <c r="RG91" s="23"/>
      <c r="RH91" s="23"/>
      <c r="RI91" s="23"/>
      <c r="RJ91" s="23"/>
      <c r="RK91" s="23"/>
      <c r="RL91" s="23"/>
      <c r="RM91" s="23"/>
      <c r="RN91" s="23"/>
      <c r="RO91" s="23"/>
      <c r="RP91" s="23"/>
      <c r="RQ91" s="23"/>
      <c r="RR91" s="23"/>
      <c r="RS91" s="23"/>
      <c r="RT91" s="23"/>
      <c r="RU91" s="23"/>
      <c r="RV91" s="23"/>
      <c r="RW91" s="23"/>
      <c r="RX91" s="23"/>
      <c r="RY91" s="23"/>
      <c r="RZ91" s="23"/>
      <c r="SA91" s="23"/>
      <c r="SB91" s="23"/>
      <c r="SC91" s="23"/>
      <c r="SD91" s="23"/>
      <c r="SE91" s="23"/>
      <c r="SF91" s="23"/>
      <c r="SG91" s="23"/>
      <c r="SH91" s="23"/>
      <c r="SI91" s="23"/>
      <c r="SJ91" s="23"/>
      <c r="SK91" s="23"/>
      <c r="SL91" s="23"/>
      <c r="SM91" s="23"/>
      <c r="SN91" s="23"/>
      <c r="SO91" s="23"/>
      <c r="SP91" s="23"/>
      <c r="SQ91" s="23"/>
      <c r="SR91" s="23"/>
      <c r="SS91" s="23"/>
      <c r="ST91" s="23"/>
      <c r="SU91" s="23"/>
      <c r="SV91" s="23"/>
      <c r="SW91" s="23"/>
      <c r="SX91" s="23"/>
      <c r="SY91" s="23"/>
      <c r="SZ91" s="23"/>
      <c r="TA91" s="23"/>
      <c r="TB91" s="23"/>
      <c r="TC91" s="23"/>
      <c r="TD91" s="23"/>
      <c r="TE91" s="23"/>
      <c r="TF91" s="23"/>
      <c r="TG91" s="23"/>
    </row>
    <row r="92" spans="1:527" s="22" customFormat="1" ht="18" customHeight="1" x14ac:dyDescent="0.25">
      <c r="A92" s="60" t="s">
        <v>489</v>
      </c>
      <c r="B92" s="60" t="s">
        <v>490</v>
      </c>
      <c r="C92" s="60" t="s">
        <v>59</v>
      </c>
      <c r="D92" s="36" t="s">
        <v>283</v>
      </c>
      <c r="E92" s="103">
        <f t="shared" si="30"/>
        <v>113000</v>
      </c>
      <c r="F92" s="103">
        <v>113000</v>
      </c>
      <c r="G92" s="103"/>
      <c r="H92" s="103"/>
      <c r="I92" s="103"/>
      <c r="J92" s="103">
        <f t="shared" ref="J92" si="38">L92+O92</f>
        <v>0</v>
      </c>
      <c r="K92" s="103"/>
      <c r="L92" s="103"/>
      <c r="M92" s="103"/>
      <c r="N92" s="103"/>
      <c r="O92" s="103"/>
      <c r="P92" s="103">
        <f t="shared" ref="P92" si="39">E92+J92</f>
        <v>113000</v>
      </c>
      <c r="Q92" s="188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  <c r="IV92" s="23"/>
      <c r="IW92" s="23"/>
      <c r="IX92" s="23"/>
      <c r="IY92" s="23"/>
      <c r="IZ92" s="23"/>
      <c r="JA92" s="23"/>
      <c r="JB92" s="23"/>
      <c r="JC92" s="23"/>
      <c r="JD92" s="23"/>
      <c r="JE92" s="23"/>
      <c r="JF92" s="23"/>
      <c r="JG92" s="23"/>
      <c r="JH92" s="23"/>
      <c r="JI92" s="23"/>
      <c r="JJ92" s="23"/>
      <c r="JK92" s="23"/>
      <c r="JL92" s="23"/>
      <c r="JM92" s="23"/>
      <c r="JN92" s="23"/>
      <c r="JO92" s="23"/>
      <c r="JP92" s="23"/>
      <c r="JQ92" s="23"/>
      <c r="JR92" s="23"/>
      <c r="JS92" s="23"/>
      <c r="JT92" s="23"/>
      <c r="JU92" s="23"/>
      <c r="JV92" s="23"/>
      <c r="JW92" s="23"/>
      <c r="JX92" s="23"/>
      <c r="JY92" s="23"/>
      <c r="JZ92" s="23"/>
      <c r="KA92" s="23"/>
      <c r="KB92" s="23"/>
      <c r="KC92" s="23"/>
      <c r="KD92" s="23"/>
      <c r="KE92" s="23"/>
      <c r="KF92" s="23"/>
      <c r="KG92" s="23"/>
      <c r="KH92" s="23"/>
      <c r="KI92" s="23"/>
      <c r="KJ92" s="23"/>
      <c r="KK92" s="23"/>
      <c r="KL92" s="23"/>
      <c r="KM92" s="23"/>
      <c r="KN92" s="23"/>
      <c r="KO92" s="23"/>
      <c r="KP92" s="23"/>
      <c r="KQ92" s="23"/>
      <c r="KR92" s="23"/>
      <c r="KS92" s="23"/>
      <c r="KT92" s="23"/>
      <c r="KU92" s="23"/>
      <c r="KV92" s="23"/>
      <c r="KW92" s="23"/>
      <c r="KX92" s="23"/>
      <c r="KY92" s="23"/>
      <c r="KZ92" s="23"/>
      <c r="LA92" s="23"/>
      <c r="LB92" s="23"/>
      <c r="LC92" s="23"/>
      <c r="LD92" s="23"/>
      <c r="LE92" s="23"/>
      <c r="LF92" s="23"/>
      <c r="LG92" s="23"/>
      <c r="LH92" s="23"/>
      <c r="LI92" s="23"/>
      <c r="LJ92" s="23"/>
      <c r="LK92" s="23"/>
      <c r="LL92" s="23"/>
      <c r="LM92" s="23"/>
      <c r="LN92" s="23"/>
      <c r="LO92" s="23"/>
      <c r="LP92" s="23"/>
      <c r="LQ92" s="23"/>
      <c r="LR92" s="23"/>
      <c r="LS92" s="23"/>
      <c r="LT92" s="23"/>
      <c r="LU92" s="23"/>
      <c r="LV92" s="23"/>
      <c r="LW92" s="23"/>
      <c r="LX92" s="23"/>
      <c r="LY92" s="23"/>
      <c r="LZ92" s="23"/>
      <c r="MA92" s="23"/>
      <c r="MB92" s="23"/>
      <c r="MC92" s="23"/>
      <c r="MD92" s="23"/>
      <c r="ME92" s="23"/>
      <c r="MF92" s="23"/>
      <c r="MG92" s="23"/>
      <c r="MH92" s="23"/>
      <c r="MI92" s="23"/>
      <c r="MJ92" s="23"/>
      <c r="MK92" s="23"/>
      <c r="ML92" s="23"/>
      <c r="MM92" s="23"/>
      <c r="MN92" s="23"/>
      <c r="MO92" s="23"/>
      <c r="MP92" s="23"/>
      <c r="MQ92" s="23"/>
      <c r="MR92" s="23"/>
      <c r="MS92" s="23"/>
      <c r="MT92" s="23"/>
      <c r="MU92" s="23"/>
      <c r="MV92" s="23"/>
      <c r="MW92" s="23"/>
      <c r="MX92" s="23"/>
      <c r="MY92" s="23"/>
      <c r="MZ92" s="23"/>
      <c r="NA92" s="23"/>
      <c r="NB92" s="23"/>
      <c r="NC92" s="23"/>
      <c r="ND92" s="23"/>
      <c r="NE92" s="23"/>
      <c r="NF92" s="23"/>
      <c r="NG92" s="23"/>
      <c r="NH92" s="23"/>
      <c r="NI92" s="23"/>
      <c r="NJ92" s="23"/>
      <c r="NK92" s="23"/>
      <c r="NL92" s="23"/>
      <c r="NM92" s="23"/>
      <c r="NN92" s="23"/>
      <c r="NO92" s="23"/>
      <c r="NP92" s="23"/>
      <c r="NQ92" s="23"/>
      <c r="NR92" s="23"/>
      <c r="NS92" s="23"/>
      <c r="NT92" s="23"/>
      <c r="NU92" s="23"/>
      <c r="NV92" s="23"/>
      <c r="NW92" s="23"/>
      <c r="NX92" s="23"/>
      <c r="NY92" s="23"/>
      <c r="NZ92" s="23"/>
      <c r="OA92" s="23"/>
      <c r="OB92" s="23"/>
      <c r="OC92" s="23"/>
      <c r="OD92" s="23"/>
      <c r="OE92" s="23"/>
      <c r="OF92" s="23"/>
      <c r="OG92" s="23"/>
      <c r="OH92" s="23"/>
      <c r="OI92" s="23"/>
      <c r="OJ92" s="23"/>
      <c r="OK92" s="23"/>
      <c r="OL92" s="23"/>
      <c r="OM92" s="23"/>
      <c r="ON92" s="23"/>
      <c r="OO92" s="23"/>
      <c r="OP92" s="23"/>
      <c r="OQ92" s="23"/>
      <c r="OR92" s="23"/>
      <c r="OS92" s="23"/>
      <c r="OT92" s="23"/>
      <c r="OU92" s="23"/>
      <c r="OV92" s="23"/>
      <c r="OW92" s="23"/>
      <c r="OX92" s="23"/>
      <c r="OY92" s="23"/>
      <c r="OZ92" s="23"/>
      <c r="PA92" s="23"/>
      <c r="PB92" s="23"/>
      <c r="PC92" s="23"/>
      <c r="PD92" s="23"/>
      <c r="PE92" s="23"/>
      <c r="PF92" s="23"/>
      <c r="PG92" s="23"/>
      <c r="PH92" s="23"/>
      <c r="PI92" s="23"/>
      <c r="PJ92" s="23"/>
      <c r="PK92" s="23"/>
      <c r="PL92" s="23"/>
      <c r="PM92" s="23"/>
      <c r="PN92" s="23"/>
      <c r="PO92" s="23"/>
      <c r="PP92" s="23"/>
      <c r="PQ92" s="23"/>
      <c r="PR92" s="23"/>
      <c r="PS92" s="23"/>
      <c r="PT92" s="23"/>
      <c r="PU92" s="23"/>
      <c r="PV92" s="23"/>
      <c r="PW92" s="23"/>
      <c r="PX92" s="23"/>
      <c r="PY92" s="23"/>
      <c r="PZ92" s="23"/>
      <c r="QA92" s="23"/>
      <c r="QB92" s="23"/>
      <c r="QC92" s="23"/>
      <c r="QD92" s="23"/>
      <c r="QE92" s="23"/>
      <c r="QF92" s="23"/>
      <c r="QG92" s="23"/>
      <c r="QH92" s="23"/>
      <c r="QI92" s="23"/>
      <c r="QJ92" s="23"/>
      <c r="QK92" s="23"/>
      <c r="QL92" s="23"/>
      <c r="QM92" s="23"/>
      <c r="QN92" s="23"/>
      <c r="QO92" s="23"/>
      <c r="QP92" s="23"/>
      <c r="QQ92" s="23"/>
      <c r="QR92" s="23"/>
      <c r="QS92" s="23"/>
      <c r="QT92" s="23"/>
      <c r="QU92" s="23"/>
      <c r="QV92" s="23"/>
      <c r="QW92" s="23"/>
      <c r="QX92" s="23"/>
      <c r="QY92" s="23"/>
      <c r="QZ92" s="23"/>
      <c r="RA92" s="23"/>
      <c r="RB92" s="23"/>
      <c r="RC92" s="23"/>
      <c r="RD92" s="23"/>
      <c r="RE92" s="23"/>
      <c r="RF92" s="23"/>
      <c r="RG92" s="23"/>
      <c r="RH92" s="23"/>
      <c r="RI92" s="23"/>
      <c r="RJ92" s="23"/>
      <c r="RK92" s="23"/>
      <c r="RL92" s="23"/>
      <c r="RM92" s="23"/>
      <c r="RN92" s="23"/>
      <c r="RO92" s="23"/>
      <c r="RP92" s="23"/>
      <c r="RQ92" s="23"/>
      <c r="RR92" s="23"/>
      <c r="RS92" s="23"/>
      <c r="RT92" s="23"/>
      <c r="RU92" s="23"/>
      <c r="RV92" s="23"/>
      <c r="RW92" s="23"/>
      <c r="RX92" s="23"/>
      <c r="RY92" s="23"/>
      <c r="RZ92" s="23"/>
      <c r="SA92" s="23"/>
      <c r="SB92" s="23"/>
      <c r="SC92" s="23"/>
      <c r="SD92" s="23"/>
      <c r="SE92" s="23"/>
      <c r="SF92" s="23"/>
      <c r="SG92" s="23"/>
      <c r="SH92" s="23"/>
      <c r="SI92" s="23"/>
      <c r="SJ92" s="23"/>
      <c r="SK92" s="23"/>
      <c r="SL92" s="23"/>
      <c r="SM92" s="23"/>
      <c r="SN92" s="23"/>
      <c r="SO92" s="23"/>
      <c r="SP92" s="23"/>
      <c r="SQ92" s="23"/>
      <c r="SR92" s="23"/>
      <c r="SS92" s="23"/>
      <c r="ST92" s="23"/>
      <c r="SU92" s="23"/>
      <c r="SV92" s="23"/>
      <c r="SW92" s="23"/>
      <c r="SX92" s="23"/>
      <c r="SY92" s="23"/>
      <c r="SZ92" s="23"/>
      <c r="TA92" s="23"/>
      <c r="TB92" s="23"/>
      <c r="TC92" s="23"/>
      <c r="TD92" s="23"/>
      <c r="TE92" s="23"/>
      <c r="TF92" s="23"/>
      <c r="TG92" s="23"/>
    </row>
    <row r="93" spans="1:527" s="22" customFormat="1" ht="31.5" x14ac:dyDescent="0.25">
      <c r="A93" s="60" t="s">
        <v>491</v>
      </c>
      <c r="B93" s="60" t="s">
        <v>492</v>
      </c>
      <c r="C93" s="60" t="s">
        <v>59</v>
      </c>
      <c r="D93" s="61" t="s">
        <v>493</v>
      </c>
      <c r="E93" s="103">
        <f t="shared" si="30"/>
        <v>445933</v>
      </c>
      <c r="F93" s="103">
        <f>431850+14083</f>
        <v>445933</v>
      </c>
      <c r="G93" s="103">
        <v>266200</v>
      </c>
      <c r="H93" s="103">
        <f>52650+14083</f>
        <v>66733</v>
      </c>
      <c r="I93" s="103"/>
      <c r="J93" s="103">
        <f t="shared" si="32"/>
        <v>0</v>
      </c>
      <c r="K93" s="103"/>
      <c r="L93" s="103"/>
      <c r="M93" s="103"/>
      <c r="N93" s="103"/>
      <c r="O93" s="103"/>
      <c r="P93" s="103">
        <f t="shared" si="31"/>
        <v>445933</v>
      </c>
      <c r="Q93" s="188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  <c r="SQ93" s="23"/>
      <c r="SR93" s="23"/>
      <c r="SS93" s="23"/>
      <c r="ST93" s="23"/>
      <c r="SU93" s="23"/>
      <c r="SV93" s="23"/>
      <c r="SW93" s="23"/>
      <c r="SX93" s="23"/>
      <c r="SY93" s="23"/>
      <c r="SZ93" s="23"/>
      <c r="TA93" s="23"/>
      <c r="TB93" s="23"/>
      <c r="TC93" s="23"/>
      <c r="TD93" s="23"/>
      <c r="TE93" s="23"/>
      <c r="TF93" s="23"/>
      <c r="TG93" s="23"/>
    </row>
    <row r="94" spans="1:527" s="22" customFormat="1" ht="45.75" customHeight="1" x14ac:dyDescent="0.25">
      <c r="A94" s="60" t="s">
        <v>494</v>
      </c>
      <c r="B94" s="60" t="s">
        <v>495</v>
      </c>
      <c r="C94" s="60" t="str">
        <f>'дод 5'!B61</f>
        <v>0990</v>
      </c>
      <c r="D94" s="61" t="s">
        <v>515</v>
      </c>
      <c r="E94" s="103">
        <f t="shared" si="30"/>
        <v>1499036</v>
      </c>
      <c r="F94" s="103">
        <v>1499036</v>
      </c>
      <c r="G94" s="103">
        <v>1228720</v>
      </c>
      <c r="H94" s="103"/>
      <c r="I94" s="103"/>
      <c r="J94" s="103">
        <f t="shared" si="32"/>
        <v>0</v>
      </c>
      <c r="K94" s="103"/>
      <c r="L94" s="103"/>
      <c r="M94" s="103"/>
      <c r="N94" s="103"/>
      <c r="O94" s="103"/>
      <c r="P94" s="103">
        <f t="shared" si="31"/>
        <v>1499036</v>
      </c>
      <c r="Q94" s="188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</row>
    <row r="95" spans="1:527" s="24" customFormat="1" ht="45.75" customHeight="1" x14ac:dyDescent="0.25">
      <c r="A95" s="88"/>
      <c r="B95" s="88"/>
      <c r="C95" s="88"/>
      <c r="D95" s="91" t="s">
        <v>386</v>
      </c>
      <c r="E95" s="105">
        <f t="shared" si="30"/>
        <v>1499036</v>
      </c>
      <c r="F95" s="105">
        <v>1499036</v>
      </c>
      <c r="G95" s="105">
        <v>1228720</v>
      </c>
      <c r="H95" s="105"/>
      <c r="I95" s="105"/>
      <c r="J95" s="105">
        <f t="shared" si="32"/>
        <v>0</v>
      </c>
      <c r="K95" s="105"/>
      <c r="L95" s="105"/>
      <c r="M95" s="105"/>
      <c r="N95" s="105"/>
      <c r="O95" s="105"/>
      <c r="P95" s="105">
        <f t="shared" si="31"/>
        <v>1499036</v>
      </c>
      <c r="Q95" s="188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0"/>
      <c r="NR95" s="30"/>
      <c r="NS95" s="30"/>
      <c r="NT95" s="30"/>
      <c r="NU95" s="30"/>
      <c r="NV95" s="30"/>
      <c r="NW95" s="30"/>
      <c r="NX95" s="30"/>
      <c r="NY95" s="30"/>
      <c r="NZ95" s="30"/>
      <c r="OA95" s="30"/>
      <c r="OB95" s="30"/>
      <c r="OC95" s="30"/>
      <c r="OD95" s="30"/>
      <c r="OE95" s="30"/>
      <c r="OF95" s="30"/>
      <c r="OG95" s="30"/>
      <c r="OH95" s="30"/>
      <c r="OI95" s="30"/>
      <c r="OJ95" s="30"/>
      <c r="OK95" s="30"/>
      <c r="OL95" s="30"/>
      <c r="OM95" s="30"/>
      <c r="ON95" s="30"/>
      <c r="OO95" s="30"/>
      <c r="OP95" s="30"/>
      <c r="OQ95" s="30"/>
      <c r="OR95" s="30"/>
      <c r="OS95" s="30"/>
      <c r="OT95" s="30"/>
      <c r="OU95" s="30"/>
      <c r="OV95" s="30"/>
      <c r="OW95" s="30"/>
      <c r="OX95" s="30"/>
      <c r="OY95" s="30"/>
      <c r="OZ95" s="30"/>
      <c r="PA95" s="30"/>
      <c r="PB95" s="30"/>
      <c r="PC95" s="30"/>
      <c r="PD95" s="30"/>
      <c r="PE95" s="30"/>
      <c r="PF95" s="30"/>
      <c r="PG95" s="30"/>
      <c r="PH95" s="30"/>
      <c r="PI95" s="30"/>
      <c r="PJ95" s="30"/>
      <c r="PK95" s="30"/>
      <c r="PL95" s="30"/>
      <c r="PM95" s="30"/>
      <c r="PN95" s="30"/>
      <c r="PO95" s="30"/>
      <c r="PP95" s="30"/>
      <c r="PQ95" s="30"/>
      <c r="PR95" s="30"/>
      <c r="PS95" s="30"/>
      <c r="PT95" s="30"/>
      <c r="PU95" s="30"/>
      <c r="PV95" s="30"/>
      <c r="PW95" s="30"/>
      <c r="PX95" s="30"/>
      <c r="PY95" s="30"/>
      <c r="PZ95" s="30"/>
      <c r="QA95" s="30"/>
      <c r="QB95" s="30"/>
      <c r="QC95" s="30"/>
      <c r="QD95" s="30"/>
      <c r="QE95" s="30"/>
      <c r="QF95" s="30"/>
      <c r="QG95" s="30"/>
      <c r="QH95" s="30"/>
      <c r="QI95" s="30"/>
      <c r="QJ95" s="30"/>
      <c r="QK95" s="30"/>
      <c r="QL95" s="30"/>
      <c r="QM95" s="30"/>
      <c r="QN95" s="30"/>
      <c r="QO95" s="30"/>
      <c r="QP95" s="30"/>
      <c r="QQ95" s="30"/>
      <c r="QR95" s="30"/>
      <c r="QS95" s="30"/>
      <c r="QT95" s="30"/>
      <c r="QU95" s="30"/>
      <c r="QV95" s="30"/>
      <c r="QW95" s="30"/>
      <c r="QX95" s="30"/>
      <c r="QY95" s="30"/>
      <c r="QZ95" s="30"/>
      <c r="RA95" s="30"/>
      <c r="RB95" s="30"/>
      <c r="RC95" s="30"/>
      <c r="RD95" s="30"/>
      <c r="RE95" s="30"/>
      <c r="RF95" s="30"/>
      <c r="RG95" s="30"/>
      <c r="RH95" s="30"/>
      <c r="RI95" s="30"/>
      <c r="RJ95" s="30"/>
      <c r="RK95" s="30"/>
      <c r="RL95" s="30"/>
      <c r="RM95" s="30"/>
      <c r="RN95" s="30"/>
      <c r="RO95" s="30"/>
      <c r="RP95" s="30"/>
      <c r="RQ95" s="30"/>
      <c r="RR95" s="30"/>
      <c r="RS95" s="30"/>
      <c r="RT95" s="30"/>
      <c r="RU95" s="30"/>
      <c r="RV95" s="30"/>
      <c r="RW95" s="30"/>
      <c r="RX95" s="30"/>
      <c r="RY95" s="30"/>
      <c r="RZ95" s="30"/>
      <c r="SA95" s="30"/>
      <c r="SB95" s="30"/>
      <c r="SC95" s="30"/>
      <c r="SD95" s="30"/>
      <c r="SE95" s="30"/>
      <c r="SF95" s="30"/>
      <c r="SG95" s="30"/>
      <c r="SH95" s="30"/>
      <c r="SI95" s="30"/>
      <c r="SJ95" s="30"/>
      <c r="SK95" s="30"/>
      <c r="SL95" s="30"/>
      <c r="SM95" s="30"/>
      <c r="SN95" s="30"/>
      <c r="SO95" s="30"/>
      <c r="SP95" s="30"/>
      <c r="SQ95" s="30"/>
      <c r="SR95" s="30"/>
      <c r="SS95" s="30"/>
      <c r="ST95" s="30"/>
      <c r="SU95" s="30"/>
      <c r="SV95" s="30"/>
      <c r="SW95" s="30"/>
      <c r="SX95" s="30"/>
      <c r="SY95" s="30"/>
      <c r="SZ95" s="30"/>
      <c r="TA95" s="30"/>
      <c r="TB95" s="30"/>
      <c r="TC95" s="30"/>
      <c r="TD95" s="30"/>
      <c r="TE95" s="30"/>
      <c r="TF95" s="30"/>
      <c r="TG95" s="30"/>
    </row>
    <row r="96" spans="1:527" s="22" customFormat="1" ht="36" customHeight="1" x14ac:dyDescent="0.25">
      <c r="A96" s="60" t="s">
        <v>496</v>
      </c>
      <c r="B96" s="60" t="s">
        <v>497</v>
      </c>
      <c r="C96" s="60" t="str">
        <f>'дод 5'!B62</f>
        <v>0990</v>
      </c>
      <c r="D96" s="61" t="s">
        <v>498</v>
      </c>
      <c r="E96" s="103">
        <f t="shared" si="30"/>
        <v>2521377</v>
      </c>
      <c r="F96" s="103">
        <f>2412770+100000+8607</f>
        <v>2521377</v>
      </c>
      <c r="G96" s="103">
        <v>1880000</v>
      </c>
      <c r="H96" s="103">
        <f>84370+8607</f>
        <v>92977</v>
      </c>
      <c r="I96" s="103"/>
      <c r="J96" s="103">
        <f t="shared" si="32"/>
        <v>50000</v>
      </c>
      <c r="K96" s="103">
        <v>50000</v>
      </c>
      <c r="L96" s="103"/>
      <c r="M96" s="103"/>
      <c r="N96" s="103"/>
      <c r="O96" s="103">
        <v>50000</v>
      </c>
      <c r="P96" s="103">
        <f t="shared" si="31"/>
        <v>2571377</v>
      </c>
      <c r="Q96" s="188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  <c r="TF96" s="23"/>
      <c r="TG96" s="23"/>
    </row>
    <row r="97" spans="1:527" s="22" customFormat="1" ht="66" customHeight="1" x14ac:dyDescent="0.25">
      <c r="A97" s="60" t="s">
        <v>585</v>
      </c>
      <c r="B97" s="60" t="s">
        <v>586</v>
      </c>
      <c r="C97" s="60" t="s">
        <v>59</v>
      </c>
      <c r="D97" s="61" t="s">
        <v>590</v>
      </c>
      <c r="E97" s="103">
        <f t="shared" si="30"/>
        <v>0</v>
      </c>
      <c r="F97" s="103"/>
      <c r="G97" s="103"/>
      <c r="H97" s="103"/>
      <c r="I97" s="103"/>
      <c r="J97" s="103">
        <f t="shared" si="32"/>
        <v>1610670</v>
      </c>
      <c r="K97" s="103">
        <f>1049030+561640</f>
        <v>1610670</v>
      </c>
      <c r="L97" s="103"/>
      <c r="M97" s="103"/>
      <c r="N97" s="103"/>
      <c r="O97" s="103">
        <f>1049030+561640</f>
        <v>1610670</v>
      </c>
      <c r="P97" s="103">
        <f t="shared" si="31"/>
        <v>1610670</v>
      </c>
      <c r="Q97" s="188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  <c r="TF97" s="23"/>
      <c r="TG97" s="23"/>
    </row>
    <row r="98" spans="1:527" s="22" customFormat="1" ht="47.25" x14ac:dyDescent="0.25">
      <c r="A98" s="60" t="s">
        <v>572</v>
      </c>
      <c r="B98" s="60" t="s">
        <v>574</v>
      </c>
      <c r="C98" s="60" t="s">
        <v>59</v>
      </c>
      <c r="D98" s="61" t="s">
        <v>576</v>
      </c>
      <c r="E98" s="103">
        <f t="shared" si="30"/>
        <v>287772</v>
      </c>
      <c r="F98" s="103">
        <v>287772</v>
      </c>
      <c r="G98" s="103"/>
      <c r="H98" s="103"/>
      <c r="I98" s="103"/>
      <c r="J98" s="103">
        <f t="shared" si="32"/>
        <v>2859726</v>
      </c>
      <c r="K98" s="103">
        <v>2859726</v>
      </c>
      <c r="L98" s="103"/>
      <c r="M98" s="103"/>
      <c r="N98" s="103"/>
      <c r="O98" s="103">
        <v>2859726</v>
      </c>
      <c r="P98" s="103">
        <f t="shared" si="31"/>
        <v>3147498</v>
      </c>
      <c r="Q98" s="188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  <c r="SQ98" s="23"/>
      <c r="SR98" s="23"/>
      <c r="SS98" s="23"/>
      <c r="ST98" s="23"/>
      <c r="SU98" s="23"/>
      <c r="SV98" s="23"/>
      <c r="SW98" s="23"/>
      <c r="SX98" s="23"/>
      <c r="SY98" s="23"/>
      <c r="SZ98" s="23"/>
      <c r="TA98" s="23"/>
      <c r="TB98" s="23"/>
      <c r="TC98" s="23"/>
      <c r="TD98" s="23"/>
      <c r="TE98" s="23"/>
      <c r="TF98" s="23"/>
      <c r="TG98" s="23"/>
    </row>
    <row r="99" spans="1:527" s="24" customFormat="1" ht="67.5" customHeight="1" x14ac:dyDescent="0.25">
      <c r="A99" s="88"/>
      <c r="B99" s="88"/>
      <c r="C99" s="88"/>
      <c r="D99" s="91" t="s">
        <v>432</v>
      </c>
      <c r="E99" s="105">
        <f t="shared" si="30"/>
        <v>287772</v>
      </c>
      <c r="F99" s="105">
        <v>287772</v>
      </c>
      <c r="G99" s="105"/>
      <c r="H99" s="105"/>
      <c r="I99" s="105"/>
      <c r="J99" s="105">
        <f t="shared" si="32"/>
        <v>2859726</v>
      </c>
      <c r="K99" s="105">
        <v>2859726</v>
      </c>
      <c r="L99" s="105"/>
      <c r="M99" s="105"/>
      <c r="N99" s="105"/>
      <c r="O99" s="105">
        <v>2859726</v>
      </c>
      <c r="P99" s="105">
        <f t="shared" si="31"/>
        <v>3147498</v>
      </c>
      <c r="Q99" s="188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</row>
    <row r="100" spans="1:527" s="22" customFormat="1" ht="78.75" x14ac:dyDescent="0.25">
      <c r="A100" s="60" t="s">
        <v>587</v>
      </c>
      <c r="B100" s="60" t="s">
        <v>588</v>
      </c>
      <c r="C100" s="60" t="s">
        <v>59</v>
      </c>
      <c r="D100" s="61" t="s">
        <v>589</v>
      </c>
      <c r="E100" s="103">
        <f t="shared" si="30"/>
        <v>1800286</v>
      </c>
      <c r="F100" s="103">
        <v>1800286</v>
      </c>
      <c r="G100" s="103"/>
      <c r="H100" s="103"/>
      <c r="I100" s="103"/>
      <c r="J100" s="103">
        <f t="shared" si="32"/>
        <v>417966</v>
      </c>
      <c r="K100" s="103">
        <v>417966</v>
      </c>
      <c r="L100" s="103"/>
      <c r="M100" s="103"/>
      <c r="N100" s="103"/>
      <c r="O100" s="103">
        <v>417966</v>
      </c>
      <c r="P100" s="103">
        <f t="shared" si="31"/>
        <v>2218252</v>
      </c>
      <c r="Q100" s="188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  <c r="TF100" s="23"/>
      <c r="TG100" s="23"/>
    </row>
    <row r="101" spans="1:527" s="22" customFormat="1" ht="47.25" x14ac:dyDescent="0.25">
      <c r="A101" s="60" t="s">
        <v>573</v>
      </c>
      <c r="B101" s="60" t="s">
        <v>575</v>
      </c>
      <c r="C101" s="60" t="s">
        <v>59</v>
      </c>
      <c r="D101" s="61" t="s">
        <v>577</v>
      </c>
      <c r="E101" s="103">
        <f t="shared" si="30"/>
        <v>5811208</v>
      </c>
      <c r="F101" s="103">
        <v>5811208</v>
      </c>
      <c r="G101" s="103"/>
      <c r="H101" s="103"/>
      <c r="I101" s="103"/>
      <c r="J101" s="103">
        <f t="shared" si="32"/>
        <v>1095855</v>
      </c>
      <c r="K101" s="103">
        <v>1095855</v>
      </c>
      <c r="L101" s="103"/>
      <c r="M101" s="103"/>
      <c r="N101" s="103"/>
      <c r="O101" s="103">
        <v>1095855</v>
      </c>
      <c r="P101" s="103">
        <f t="shared" si="31"/>
        <v>6907063</v>
      </c>
      <c r="Q101" s="188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  <c r="TF101" s="23"/>
      <c r="TG101" s="23"/>
    </row>
    <row r="102" spans="1:527" s="24" customFormat="1" ht="63" x14ac:dyDescent="0.25">
      <c r="A102" s="88"/>
      <c r="B102" s="88"/>
      <c r="C102" s="88"/>
      <c r="D102" s="91" t="s">
        <v>578</v>
      </c>
      <c r="E102" s="105">
        <f t="shared" si="30"/>
        <v>5811208</v>
      </c>
      <c r="F102" s="105">
        <v>5811208</v>
      </c>
      <c r="G102" s="105"/>
      <c r="H102" s="105"/>
      <c r="I102" s="105"/>
      <c r="J102" s="105">
        <f t="shared" si="32"/>
        <v>1095855</v>
      </c>
      <c r="K102" s="105">
        <v>1095855</v>
      </c>
      <c r="L102" s="105"/>
      <c r="M102" s="105"/>
      <c r="N102" s="105"/>
      <c r="O102" s="105">
        <v>1095855</v>
      </c>
      <c r="P102" s="105">
        <f t="shared" si="31"/>
        <v>6907063</v>
      </c>
      <c r="Q102" s="188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0"/>
      <c r="NR102" s="30"/>
      <c r="NS102" s="30"/>
      <c r="NT102" s="30"/>
      <c r="NU102" s="30"/>
      <c r="NV102" s="30"/>
      <c r="NW102" s="30"/>
      <c r="NX102" s="30"/>
      <c r="NY102" s="30"/>
      <c r="NZ102" s="30"/>
      <c r="OA102" s="30"/>
      <c r="OB102" s="30"/>
      <c r="OC102" s="30"/>
      <c r="OD102" s="30"/>
      <c r="OE102" s="30"/>
      <c r="OF102" s="30"/>
      <c r="OG102" s="30"/>
      <c r="OH102" s="30"/>
      <c r="OI102" s="30"/>
      <c r="OJ102" s="30"/>
      <c r="OK102" s="30"/>
      <c r="OL102" s="30"/>
      <c r="OM102" s="30"/>
      <c r="ON102" s="30"/>
      <c r="OO102" s="30"/>
      <c r="OP102" s="30"/>
      <c r="OQ102" s="30"/>
      <c r="OR102" s="30"/>
      <c r="OS102" s="30"/>
      <c r="OT102" s="30"/>
      <c r="OU102" s="30"/>
      <c r="OV102" s="30"/>
      <c r="OW102" s="30"/>
      <c r="OX102" s="30"/>
      <c r="OY102" s="30"/>
      <c r="OZ102" s="30"/>
      <c r="PA102" s="30"/>
      <c r="PB102" s="30"/>
      <c r="PC102" s="30"/>
      <c r="PD102" s="30"/>
      <c r="PE102" s="30"/>
      <c r="PF102" s="30"/>
      <c r="PG102" s="30"/>
      <c r="PH102" s="30"/>
      <c r="PI102" s="30"/>
      <c r="PJ102" s="30"/>
      <c r="PK102" s="30"/>
      <c r="PL102" s="30"/>
      <c r="PM102" s="30"/>
      <c r="PN102" s="30"/>
      <c r="PO102" s="30"/>
      <c r="PP102" s="30"/>
      <c r="PQ102" s="30"/>
      <c r="PR102" s="30"/>
      <c r="PS102" s="30"/>
      <c r="PT102" s="30"/>
      <c r="PU102" s="30"/>
      <c r="PV102" s="30"/>
      <c r="PW102" s="30"/>
      <c r="PX102" s="30"/>
      <c r="PY102" s="30"/>
      <c r="PZ102" s="30"/>
      <c r="QA102" s="30"/>
      <c r="QB102" s="30"/>
      <c r="QC102" s="30"/>
      <c r="QD102" s="30"/>
      <c r="QE102" s="30"/>
      <c r="QF102" s="30"/>
      <c r="QG102" s="30"/>
      <c r="QH102" s="30"/>
      <c r="QI102" s="30"/>
      <c r="QJ102" s="30"/>
      <c r="QK102" s="30"/>
      <c r="QL102" s="30"/>
      <c r="QM102" s="30"/>
      <c r="QN102" s="30"/>
      <c r="QO102" s="30"/>
      <c r="QP102" s="30"/>
      <c r="QQ102" s="30"/>
      <c r="QR102" s="30"/>
      <c r="QS102" s="30"/>
      <c r="QT102" s="30"/>
      <c r="QU102" s="30"/>
      <c r="QV102" s="30"/>
      <c r="QW102" s="30"/>
      <c r="QX102" s="30"/>
      <c r="QY102" s="30"/>
      <c r="QZ102" s="30"/>
      <c r="RA102" s="30"/>
      <c r="RB102" s="30"/>
      <c r="RC102" s="30"/>
      <c r="RD102" s="30"/>
      <c r="RE102" s="30"/>
      <c r="RF102" s="30"/>
      <c r="RG102" s="30"/>
      <c r="RH102" s="30"/>
      <c r="RI102" s="30"/>
      <c r="RJ102" s="30"/>
      <c r="RK102" s="30"/>
      <c r="RL102" s="30"/>
      <c r="RM102" s="30"/>
      <c r="RN102" s="30"/>
      <c r="RO102" s="30"/>
      <c r="RP102" s="30"/>
      <c r="RQ102" s="30"/>
      <c r="RR102" s="30"/>
      <c r="RS102" s="30"/>
      <c r="RT102" s="30"/>
      <c r="RU102" s="30"/>
      <c r="RV102" s="30"/>
      <c r="RW102" s="30"/>
      <c r="RX102" s="30"/>
      <c r="RY102" s="30"/>
      <c r="RZ102" s="30"/>
      <c r="SA102" s="30"/>
      <c r="SB102" s="30"/>
      <c r="SC102" s="30"/>
      <c r="SD102" s="30"/>
      <c r="SE102" s="30"/>
      <c r="SF102" s="30"/>
      <c r="SG102" s="30"/>
      <c r="SH102" s="30"/>
      <c r="SI102" s="30"/>
      <c r="SJ102" s="30"/>
      <c r="SK102" s="30"/>
      <c r="SL102" s="30"/>
      <c r="SM102" s="30"/>
      <c r="SN102" s="30"/>
      <c r="SO102" s="30"/>
      <c r="SP102" s="30"/>
      <c r="SQ102" s="30"/>
      <c r="SR102" s="30"/>
      <c r="SS102" s="30"/>
      <c r="ST102" s="30"/>
      <c r="SU102" s="30"/>
      <c r="SV102" s="30"/>
      <c r="SW102" s="30"/>
      <c r="SX102" s="30"/>
      <c r="SY102" s="30"/>
      <c r="SZ102" s="30"/>
      <c r="TA102" s="30"/>
      <c r="TB102" s="30"/>
      <c r="TC102" s="30"/>
      <c r="TD102" s="30"/>
      <c r="TE102" s="30"/>
      <c r="TF102" s="30"/>
      <c r="TG102" s="30"/>
    </row>
    <row r="103" spans="1:527" s="22" customFormat="1" ht="65.25" customHeight="1" x14ac:dyDescent="0.25">
      <c r="A103" s="60" t="s">
        <v>499</v>
      </c>
      <c r="B103" s="60" t="s">
        <v>500</v>
      </c>
      <c r="C103" s="60" t="s">
        <v>59</v>
      </c>
      <c r="D103" s="98" t="s">
        <v>516</v>
      </c>
      <c r="E103" s="103">
        <f t="shared" si="30"/>
        <v>2612700</v>
      </c>
      <c r="F103" s="103">
        <f>1780860+805257+26583</f>
        <v>2612700</v>
      </c>
      <c r="G103" s="103">
        <v>1459720</v>
      </c>
      <c r="H103" s="103"/>
      <c r="I103" s="103"/>
      <c r="J103" s="103">
        <f t="shared" si="32"/>
        <v>72000</v>
      </c>
      <c r="K103" s="103">
        <f>903840-805257-26583</f>
        <v>72000</v>
      </c>
      <c r="L103" s="103"/>
      <c r="M103" s="103"/>
      <c r="N103" s="103"/>
      <c r="O103" s="103">
        <f>903840-805257-26583</f>
        <v>72000</v>
      </c>
      <c r="P103" s="103">
        <f t="shared" si="31"/>
        <v>2684700</v>
      </c>
      <c r="Q103" s="188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  <c r="SQ103" s="23"/>
      <c r="SR103" s="23"/>
      <c r="SS103" s="23"/>
      <c r="ST103" s="23"/>
      <c r="SU103" s="23"/>
      <c r="SV103" s="23"/>
      <c r="SW103" s="23"/>
      <c r="SX103" s="23"/>
      <c r="SY103" s="23"/>
      <c r="SZ103" s="23"/>
      <c r="TA103" s="23"/>
      <c r="TB103" s="23"/>
      <c r="TC103" s="23"/>
      <c r="TD103" s="23"/>
      <c r="TE103" s="23"/>
      <c r="TF103" s="23"/>
      <c r="TG103" s="23"/>
    </row>
    <row r="104" spans="1:527" s="24" customFormat="1" ht="63" x14ac:dyDescent="0.25">
      <c r="A104" s="88"/>
      <c r="B104" s="115"/>
      <c r="C104" s="115"/>
      <c r="D104" s="91" t="s">
        <v>385</v>
      </c>
      <c r="E104" s="105">
        <f t="shared" si="30"/>
        <v>2612700</v>
      </c>
      <c r="F104" s="105">
        <f>1780860+805257+26583</f>
        <v>2612700</v>
      </c>
      <c r="G104" s="105">
        <v>1459720</v>
      </c>
      <c r="H104" s="105"/>
      <c r="I104" s="105"/>
      <c r="J104" s="105">
        <f t="shared" si="32"/>
        <v>72000</v>
      </c>
      <c r="K104" s="105">
        <f>903840-805257-26583</f>
        <v>72000</v>
      </c>
      <c r="L104" s="105"/>
      <c r="M104" s="105"/>
      <c r="N104" s="105"/>
      <c r="O104" s="105">
        <f>903840-805257-26583</f>
        <v>72000</v>
      </c>
      <c r="P104" s="105">
        <f t="shared" si="31"/>
        <v>2684700</v>
      </c>
      <c r="Q104" s="188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  <c r="TF104" s="30"/>
      <c r="TG104" s="30"/>
    </row>
    <row r="105" spans="1:527" s="24" customFormat="1" ht="78.75" x14ac:dyDescent="0.25">
      <c r="A105" s="60" t="s">
        <v>535</v>
      </c>
      <c r="B105" s="97">
        <v>1210</v>
      </c>
      <c r="C105" s="60" t="s">
        <v>59</v>
      </c>
      <c r="D105" s="36" t="s">
        <v>536</v>
      </c>
      <c r="E105" s="103">
        <f t="shared" si="30"/>
        <v>1174231</v>
      </c>
      <c r="F105" s="103">
        <v>1174231</v>
      </c>
      <c r="G105" s="103">
        <v>962484</v>
      </c>
      <c r="H105" s="105"/>
      <c r="I105" s="105"/>
      <c r="J105" s="103">
        <f t="shared" si="32"/>
        <v>0</v>
      </c>
      <c r="K105" s="105"/>
      <c r="L105" s="105"/>
      <c r="M105" s="105"/>
      <c r="N105" s="105"/>
      <c r="O105" s="105"/>
      <c r="P105" s="103">
        <f t="shared" si="31"/>
        <v>1174231</v>
      </c>
      <c r="Q105" s="188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  <c r="TF105" s="30"/>
      <c r="TG105" s="30"/>
    </row>
    <row r="106" spans="1:527" s="24" customFormat="1" ht="75.75" customHeight="1" x14ac:dyDescent="0.25">
      <c r="A106" s="88"/>
      <c r="B106" s="115"/>
      <c r="C106" s="115"/>
      <c r="D106" s="91" t="s">
        <v>537</v>
      </c>
      <c r="E106" s="105">
        <f t="shared" si="30"/>
        <v>1174231</v>
      </c>
      <c r="F106" s="105">
        <v>1174231</v>
      </c>
      <c r="G106" s="105">
        <v>962484</v>
      </c>
      <c r="H106" s="105"/>
      <c r="I106" s="105"/>
      <c r="J106" s="105">
        <f t="shared" si="32"/>
        <v>0</v>
      </c>
      <c r="K106" s="105"/>
      <c r="L106" s="105"/>
      <c r="M106" s="105"/>
      <c r="N106" s="105"/>
      <c r="O106" s="105"/>
      <c r="P106" s="105">
        <f t="shared" si="31"/>
        <v>1174231</v>
      </c>
      <c r="Q106" s="188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</row>
    <row r="107" spans="1:527" s="24" customFormat="1" ht="64.5" customHeight="1" x14ac:dyDescent="0.25">
      <c r="A107" s="60" t="s">
        <v>501</v>
      </c>
      <c r="B107" s="97">
        <v>3140</v>
      </c>
      <c r="C107" s="97">
        <v>1040</v>
      </c>
      <c r="D107" s="6" t="s">
        <v>20</v>
      </c>
      <c r="E107" s="103">
        <f t="shared" si="30"/>
        <v>5500000</v>
      </c>
      <c r="F107" s="103">
        <f>3500000+2000000</f>
        <v>5500000</v>
      </c>
      <c r="G107" s="103"/>
      <c r="H107" s="103"/>
      <c r="I107" s="103"/>
      <c r="J107" s="103">
        <f t="shared" si="32"/>
        <v>0</v>
      </c>
      <c r="K107" s="105"/>
      <c r="L107" s="105"/>
      <c r="M107" s="105"/>
      <c r="N107" s="105"/>
      <c r="O107" s="105"/>
      <c r="P107" s="103">
        <f t="shared" si="31"/>
        <v>5500000</v>
      </c>
      <c r="Q107" s="188">
        <v>9</v>
      </c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</row>
    <row r="108" spans="1:527" s="24" customFormat="1" ht="31.5" x14ac:dyDescent="0.25">
      <c r="A108" s="60" t="s">
        <v>502</v>
      </c>
      <c r="B108" s="97">
        <v>3242</v>
      </c>
      <c r="C108" s="97">
        <v>1090</v>
      </c>
      <c r="D108" s="36" t="s">
        <v>414</v>
      </c>
      <c r="E108" s="103">
        <f t="shared" si="30"/>
        <v>54300</v>
      </c>
      <c r="F108" s="103">
        <v>54300</v>
      </c>
      <c r="G108" s="103"/>
      <c r="H108" s="103"/>
      <c r="I108" s="103"/>
      <c r="J108" s="103">
        <f t="shared" si="32"/>
        <v>0</v>
      </c>
      <c r="K108" s="105"/>
      <c r="L108" s="105"/>
      <c r="M108" s="105"/>
      <c r="N108" s="105"/>
      <c r="O108" s="105"/>
      <c r="P108" s="103">
        <f t="shared" si="31"/>
        <v>54300</v>
      </c>
      <c r="Q108" s="188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  <c r="TF108" s="30"/>
      <c r="TG108" s="30"/>
    </row>
    <row r="109" spans="1:527" s="24" customFormat="1" ht="47.25" x14ac:dyDescent="0.25">
      <c r="A109" s="60" t="s">
        <v>504</v>
      </c>
      <c r="B109" s="97">
        <v>5031</v>
      </c>
      <c r="C109" s="60" t="s">
        <v>82</v>
      </c>
      <c r="D109" s="3" t="s">
        <v>581</v>
      </c>
      <c r="E109" s="103">
        <f t="shared" si="30"/>
        <v>8734331</v>
      </c>
      <c r="F109" s="103">
        <f>8590600+134064+9667</f>
        <v>8734331</v>
      </c>
      <c r="G109" s="103">
        <v>6510800</v>
      </c>
      <c r="H109" s="103">
        <f>192500+9667</f>
        <v>202167</v>
      </c>
      <c r="I109" s="103"/>
      <c r="J109" s="103">
        <f t="shared" si="32"/>
        <v>0</v>
      </c>
      <c r="K109" s="105"/>
      <c r="L109" s="105"/>
      <c r="M109" s="105"/>
      <c r="N109" s="105"/>
      <c r="O109" s="105"/>
      <c r="P109" s="103">
        <f t="shared" si="31"/>
        <v>8734331</v>
      </c>
      <c r="Q109" s="188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</row>
    <row r="110" spans="1:527" s="24" customFormat="1" ht="23.25" customHeight="1" x14ac:dyDescent="0.25">
      <c r="A110" s="88"/>
      <c r="B110" s="115"/>
      <c r="C110" s="88"/>
      <c r="D110" s="91" t="s">
        <v>397</v>
      </c>
      <c r="E110" s="105">
        <f t="shared" si="30"/>
        <v>134064</v>
      </c>
      <c r="F110" s="105">
        <v>134064</v>
      </c>
      <c r="G110" s="105"/>
      <c r="H110" s="105"/>
      <c r="I110" s="105"/>
      <c r="J110" s="105">
        <f t="shared" si="32"/>
        <v>0</v>
      </c>
      <c r="K110" s="105"/>
      <c r="L110" s="105"/>
      <c r="M110" s="105"/>
      <c r="N110" s="105"/>
      <c r="O110" s="105"/>
      <c r="P110" s="105">
        <f t="shared" si="31"/>
        <v>134064</v>
      </c>
      <c r="Q110" s="188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</row>
    <row r="111" spans="1:527" s="24" customFormat="1" ht="18.75" x14ac:dyDescent="0.25">
      <c r="A111" s="60" t="s">
        <v>505</v>
      </c>
      <c r="B111" s="97">
        <v>7321</v>
      </c>
      <c r="C111" s="60" t="s">
        <v>113</v>
      </c>
      <c r="D111" s="6" t="s">
        <v>562</v>
      </c>
      <c r="E111" s="103">
        <f t="shared" si="30"/>
        <v>0</v>
      </c>
      <c r="F111" s="103"/>
      <c r="G111" s="103"/>
      <c r="H111" s="103"/>
      <c r="I111" s="103"/>
      <c r="J111" s="103">
        <f t="shared" si="32"/>
        <v>24200766</v>
      </c>
      <c r="K111" s="103">
        <f>21660000+2000000+139385+600000+584918+112177+193520-969650+15000+146760+300000-380000-905000+49950-300000+517880+24778-160000-280000+50000-200000+230045+2472793+618634+1500000+1524229+60000-5188653-216000</f>
        <v>24200766</v>
      </c>
      <c r="L111" s="103"/>
      <c r="M111" s="103"/>
      <c r="N111" s="103"/>
      <c r="O111" s="103">
        <f>21660000+2000000+139385+600000+584918+112177+193520-969650+15000+146760+300000-380000-905000+49950-300000+517880+24778-160000-280000+50000-200000+230045+2472793+618634+1500000+1524229+60000-5188653-216000</f>
        <v>24200766</v>
      </c>
      <c r="P111" s="103">
        <f t="shared" si="31"/>
        <v>24200766</v>
      </c>
      <c r="Q111" s="188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</row>
    <row r="112" spans="1:527" s="24" customFormat="1" ht="51" customHeight="1" x14ac:dyDescent="0.25">
      <c r="A112" s="60" t="s">
        <v>568</v>
      </c>
      <c r="B112" s="97">
        <v>7363</v>
      </c>
      <c r="C112" s="60" t="s">
        <v>84</v>
      </c>
      <c r="D112" s="6" t="s">
        <v>400</v>
      </c>
      <c r="E112" s="103">
        <f t="shared" si="30"/>
        <v>0</v>
      </c>
      <c r="F112" s="103"/>
      <c r="G112" s="103"/>
      <c r="H112" s="103"/>
      <c r="I112" s="103"/>
      <c r="J112" s="103">
        <f t="shared" si="32"/>
        <v>7010680</v>
      </c>
      <c r="K112" s="103">
        <f>2629959-1405043+1158751+4627013</f>
        <v>7010680</v>
      </c>
      <c r="L112" s="103"/>
      <c r="M112" s="103"/>
      <c r="N112" s="103"/>
      <c r="O112" s="103">
        <f>2629959-1405043+1158751+4627013</f>
        <v>7010680</v>
      </c>
      <c r="P112" s="103">
        <f t="shared" si="31"/>
        <v>7010680</v>
      </c>
      <c r="Q112" s="188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  <c r="TF112" s="30"/>
      <c r="TG112" s="30"/>
    </row>
    <row r="113" spans="1:527" s="24" customFormat="1" ht="47.25" x14ac:dyDescent="0.25">
      <c r="A113" s="88"/>
      <c r="B113" s="115"/>
      <c r="C113" s="88"/>
      <c r="D113" s="85" t="s">
        <v>582</v>
      </c>
      <c r="E113" s="105">
        <f t="shared" si="30"/>
        <v>0</v>
      </c>
      <c r="F113" s="105"/>
      <c r="G113" s="105"/>
      <c r="H113" s="105"/>
      <c r="I113" s="105"/>
      <c r="J113" s="105">
        <f t="shared" si="32"/>
        <v>1224916</v>
      </c>
      <c r="K113" s="105">
        <f>2629959-1405043</f>
        <v>1224916</v>
      </c>
      <c r="L113" s="105"/>
      <c r="M113" s="105"/>
      <c r="N113" s="105"/>
      <c r="O113" s="105">
        <f>2629959-1405043</f>
        <v>1224916</v>
      </c>
      <c r="P113" s="105">
        <f t="shared" si="31"/>
        <v>1224916</v>
      </c>
      <c r="Q113" s="188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  <c r="TG113" s="30"/>
    </row>
    <row r="114" spans="1:527" s="24" customFormat="1" ht="15.75" x14ac:dyDescent="0.25">
      <c r="A114" s="60" t="s">
        <v>506</v>
      </c>
      <c r="B114" s="97">
        <v>7640</v>
      </c>
      <c r="C114" s="60" t="s">
        <v>88</v>
      </c>
      <c r="D114" s="3" t="s">
        <v>424</v>
      </c>
      <c r="E114" s="103">
        <f t="shared" si="30"/>
        <v>691000</v>
      </c>
      <c r="F114" s="103">
        <f>551000+140000</f>
        <v>691000</v>
      </c>
      <c r="G114" s="103"/>
      <c r="H114" s="103"/>
      <c r="I114" s="103"/>
      <c r="J114" s="103">
        <f t="shared" si="32"/>
        <v>11504796</v>
      </c>
      <c r="K114" s="103">
        <f>13040000-139385-1660615-140000+53880+45000+305916</f>
        <v>11504796</v>
      </c>
      <c r="L114" s="103"/>
      <c r="M114" s="103"/>
      <c r="N114" s="103"/>
      <c r="O114" s="103">
        <f>13040000-139385-1660615-140000+53880+45000+305916</f>
        <v>11504796</v>
      </c>
      <c r="P114" s="103">
        <f t="shared" si="31"/>
        <v>12195796</v>
      </c>
      <c r="Q114" s="188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  <c r="TF114" s="30"/>
      <c r="TG114" s="30"/>
    </row>
    <row r="115" spans="1:527" s="24" customFormat="1" ht="47.25" x14ac:dyDescent="0.25">
      <c r="A115" s="60" t="s">
        <v>509</v>
      </c>
      <c r="B115" s="97">
        <v>7700</v>
      </c>
      <c r="C115" s="60" t="s">
        <v>95</v>
      </c>
      <c r="D115" s="3" t="s">
        <v>364</v>
      </c>
      <c r="E115" s="103">
        <f t="shared" si="30"/>
        <v>0</v>
      </c>
      <c r="F115" s="103"/>
      <c r="G115" s="103"/>
      <c r="H115" s="103"/>
      <c r="I115" s="103"/>
      <c r="J115" s="103">
        <f t="shared" si="32"/>
        <v>630000</v>
      </c>
      <c r="K115" s="103"/>
      <c r="L115" s="103"/>
      <c r="M115" s="103"/>
      <c r="N115" s="103"/>
      <c r="O115" s="103">
        <v>630000</v>
      </c>
      <c r="P115" s="103">
        <f t="shared" si="31"/>
        <v>630000</v>
      </c>
      <c r="Q115" s="188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  <c r="TG115" s="30"/>
    </row>
    <row r="116" spans="1:527" s="24" customFormat="1" ht="37.5" customHeight="1" x14ac:dyDescent="0.25">
      <c r="A116" s="60" t="s">
        <v>507</v>
      </c>
      <c r="B116" s="97">
        <v>8340</v>
      </c>
      <c r="C116" s="60" t="s">
        <v>94</v>
      </c>
      <c r="D116" s="3" t="s">
        <v>10</v>
      </c>
      <c r="E116" s="103">
        <f t="shared" si="30"/>
        <v>0</v>
      </c>
      <c r="F116" s="103"/>
      <c r="G116" s="103"/>
      <c r="H116" s="103"/>
      <c r="I116" s="103"/>
      <c r="J116" s="103">
        <f t="shared" si="32"/>
        <v>625000</v>
      </c>
      <c r="K116" s="103"/>
      <c r="L116" s="103">
        <f>595000+30000-49900</f>
        <v>575100</v>
      </c>
      <c r="M116" s="103"/>
      <c r="N116" s="103"/>
      <c r="O116" s="103">
        <f>30000-30000+49900</f>
        <v>49900</v>
      </c>
      <c r="P116" s="103">
        <f t="shared" si="31"/>
        <v>625000</v>
      </c>
      <c r="Q116" s="188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  <c r="TF116" s="30"/>
      <c r="TG116" s="30"/>
    </row>
    <row r="117" spans="1:527" s="24" customFormat="1" ht="47.25" x14ac:dyDescent="0.25">
      <c r="A117" s="60" t="s">
        <v>550</v>
      </c>
      <c r="B117" s="97">
        <v>9320</v>
      </c>
      <c r="C117" s="60" t="s">
        <v>46</v>
      </c>
      <c r="D117" s="6" t="s">
        <v>551</v>
      </c>
      <c r="E117" s="103">
        <f t="shared" si="30"/>
        <v>693000</v>
      </c>
      <c r="F117" s="103">
        <v>693000</v>
      </c>
      <c r="G117" s="103"/>
      <c r="H117" s="103"/>
      <c r="I117" s="103"/>
      <c r="J117" s="103">
        <f t="shared" si="32"/>
        <v>3307000</v>
      </c>
      <c r="K117" s="103">
        <v>3307000</v>
      </c>
      <c r="L117" s="103"/>
      <c r="M117" s="103"/>
      <c r="N117" s="103"/>
      <c r="O117" s="103">
        <v>3307000</v>
      </c>
      <c r="P117" s="103">
        <f t="shared" si="31"/>
        <v>4000000</v>
      </c>
      <c r="Q117" s="188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  <c r="TF117" s="30"/>
      <c r="TG117" s="30"/>
    </row>
    <row r="118" spans="1:527" s="24" customFormat="1" ht="31.5" x14ac:dyDescent="0.25">
      <c r="A118" s="88"/>
      <c r="B118" s="115"/>
      <c r="C118" s="88"/>
      <c r="D118" s="91" t="s">
        <v>545</v>
      </c>
      <c r="E118" s="105">
        <f t="shared" si="30"/>
        <v>693000</v>
      </c>
      <c r="F118" s="105">
        <v>693000</v>
      </c>
      <c r="G118" s="105"/>
      <c r="H118" s="105"/>
      <c r="I118" s="105"/>
      <c r="J118" s="105">
        <f t="shared" si="32"/>
        <v>3307000</v>
      </c>
      <c r="K118" s="105">
        <v>3307000</v>
      </c>
      <c r="L118" s="105"/>
      <c r="M118" s="105"/>
      <c r="N118" s="105"/>
      <c r="O118" s="105">
        <v>3307000</v>
      </c>
      <c r="P118" s="105">
        <f t="shared" si="31"/>
        <v>4000000</v>
      </c>
      <c r="Q118" s="188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  <c r="TF118" s="30"/>
      <c r="TG118" s="30"/>
    </row>
    <row r="119" spans="1:527" s="24" customFormat="1" ht="22.5" customHeight="1" x14ac:dyDescent="0.25">
      <c r="A119" s="60" t="s">
        <v>508</v>
      </c>
      <c r="B119" s="97">
        <v>9770</v>
      </c>
      <c r="C119" s="60" t="s">
        <v>46</v>
      </c>
      <c r="D119" s="6" t="s">
        <v>358</v>
      </c>
      <c r="E119" s="103">
        <f t="shared" ref="E119" si="40">F119+I119</f>
        <v>59660000</v>
      </c>
      <c r="F119" s="103">
        <f>59300000+10000+350000</f>
        <v>59660000</v>
      </c>
      <c r="G119" s="103"/>
      <c r="H119" s="103"/>
      <c r="I119" s="103"/>
      <c r="J119" s="103">
        <f t="shared" ref="J119" si="41">L119+O119</f>
        <v>1256508</v>
      </c>
      <c r="K119" s="103">
        <v>1256508</v>
      </c>
      <c r="L119" s="103"/>
      <c r="M119" s="103"/>
      <c r="N119" s="103"/>
      <c r="O119" s="103">
        <v>1256508</v>
      </c>
      <c r="P119" s="103">
        <f t="shared" ref="P119" si="42">E119+J119</f>
        <v>60916508</v>
      </c>
      <c r="Q119" s="188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  <c r="TF119" s="30"/>
      <c r="TG119" s="30"/>
    </row>
    <row r="120" spans="1:527" s="24" customFormat="1" ht="48.75" customHeight="1" x14ac:dyDescent="0.25">
      <c r="A120" s="60" t="s">
        <v>540</v>
      </c>
      <c r="B120" s="97">
        <v>9800</v>
      </c>
      <c r="C120" s="60" t="s">
        <v>46</v>
      </c>
      <c r="D120" s="6" t="s">
        <v>369</v>
      </c>
      <c r="E120" s="103">
        <f t="shared" si="30"/>
        <v>49600</v>
      </c>
      <c r="F120" s="103">
        <v>49600</v>
      </c>
      <c r="G120" s="103"/>
      <c r="H120" s="103"/>
      <c r="I120" s="103"/>
      <c r="J120" s="103">
        <f t="shared" si="32"/>
        <v>0</v>
      </c>
      <c r="K120" s="103"/>
      <c r="L120" s="103"/>
      <c r="M120" s="103"/>
      <c r="N120" s="103"/>
      <c r="O120" s="103"/>
      <c r="P120" s="103">
        <f t="shared" si="31"/>
        <v>49600</v>
      </c>
      <c r="Q120" s="188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  <c r="TF120" s="30"/>
      <c r="TG120" s="30"/>
    </row>
    <row r="121" spans="1:527" s="27" customFormat="1" ht="33.75" customHeight="1" x14ac:dyDescent="0.25">
      <c r="A121" s="114" t="s">
        <v>171</v>
      </c>
      <c r="B121" s="116"/>
      <c r="C121" s="116"/>
      <c r="D121" s="111" t="s">
        <v>466</v>
      </c>
      <c r="E121" s="99">
        <f>E122</f>
        <v>90758175.400000006</v>
      </c>
      <c r="F121" s="99">
        <f t="shared" ref="F121:P121" si="43">F122</f>
        <v>90758175.400000006</v>
      </c>
      <c r="G121" s="99">
        <f t="shared" si="43"/>
        <v>4343800</v>
      </c>
      <c r="H121" s="99">
        <f t="shared" si="43"/>
        <v>97368</v>
      </c>
      <c r="I121" s="99">
        <f t="shared" si="43"/>
        <v>0</v>
      </c>
      <c r="J121" s="99">
        <f t="shared" si="43"/>
        <v>131468090.53999999</v>
      </c>
      <c r="K121" s="99">
        <f t="shared" si="43"/>
        <v>131468090.53999999</v>
      </c>
      <c r="L121" s="99">
        <f t="shared" si="43"/>
        <v>0</v>
      </c>
      <c r="M121" s="99">
        <f t="shared" si="43"/>
        <v>0</v>
      </c>
      <c r="N121" s="99">
        <f t="shared" si="43"/>
        <v>0</v>
      </c>
      <c r="O121" s="99">
        <f t="shared" si="43"/>
        <v>131468090.53999999</v>
      </c>
      <c r="P121" s="99">
        <f t="shared" si="43"/>
        <v>222226265.94</v>
      </c>
      <c r="Q121" s="188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2"/>
      <c r="IE121" s="32"/>
      <c r="IF121" s="32"/>
      <c r="IG121" s="32"/>
      <c r="IH121" s="32"/>
      <c r="II121" s="32"/>
      <c r="IJ121" s="32"/>
      <c r="IK121" s="32"/>
      <c r="IL121" s="32"/>
      <c r="IM121" s="32"/>
      <c r="IN121" s="32"/>
      <c r="IO121" s="32"/>
      <c r="IP121" s="32"/>
      <c r="IQ121" s="32"/>
      <c r="IR121" s="32"/>
      <c r="IS121" s="32"/>
      <c r="IT121" s="32"/>
      <c r="IU121" s="32"/>
      <c r="IV121" s="32"/>
      <c r="IW121" s="32"/>
      <c r="IX121" s="32"/>
      <c r="IY121" s="32"/>
      <c r="IZ121" s="32"/>
      <c r="JA121" s="32"/>
      <c r="JB121" s="32"/>
      <c r="JC121" s="32"/>
      <c r="JD121" s="32"/>
      <c r="JE121" s="32"/>
      <c r="JF121" s="32"/>
      <c r="JG121" s="32"/>
      <c r="JH121" s="32"/>
      <c r="JI121" s="32"/>
      <c r="JJ121" s="32"/>
      <c r="JK121" s="32"/>
      <c r="JL121" s="32"/>
      <c r="JM121" s="32"/>
      <c r="JN121" s="32"/>
      <c r="JO121" s="32"/>
      <c r="JP121" s="32"/>
      <c r="JQ121" s="32"/>
      <c r="JR121" s="32"/>
      <c r="JS121" s="32"/>
      <c r="JT121" s="32"/>
      <c r="JU121" s="32"/>
      <c r="JV121" s="32"/>
      <c r="JW121" s="32"/>
      <c r="JX121" s="32"/>
      <c r="JY121" s="32"/>
      <c r="JZ121" s="32"/>
      <c r="KA121" s="32"/>
      <c r="KB121" s="32"/>
      <c r="KC121" s="32"/>
      <c r="KD121" s="32"/>
      <c r="KE121" s="32"/>
      <c r="KF121" s="32"/>
      <c r="KG121" s="32"/>
      <c r="KH121" s="32"/>
      <c r="KI121" s="32"/>
      <c r="KJ121" s="32"/>
      <c r="KK121" s="32"/>
      <c r="KL121" s="32"/>
      <c r="KM121" s="32"/>
      <c r="KN121" s="32"/>
      <c r="KO121" s="32"/>
      <c r="KP121" s="32"/>
      <c r="KQ121" s="32"/>
      <c r="KR121" s="32"/>
      <c r="KS121" s="32"/>
      <c r="KT121" s="32"/>
      <c r="KU121" s="32"/>
      <c r="KV121" s="32"/>
      <c r="KW121" s="32"/>
      <c r="KX121" s="32"/>
      <c r="KY121" s="32"/>
      <c r="KZ121" s="32"/>
      <c r="LA121" s="32"/>
      <c r="LB121" s="32"/>
      <c r="LC121" s="32"/>
      <c r="LD121" s="32"/>
      <c r="LE121" s="32"/>
      <c r="LF121" s="32"/>
      <c r="LG121" s="32"/>
      <c r="LH121" s="32"/>
      <c r="LI121" s="32"/>
      <c r="LJ121" s="32"/>
      <c r="LK121" s="32"/>
      <c r="LL121" s="32"/>
      <c r="LM121" s="32"/>
      <c r="LN121" s="32"/>
      <c r="LO121" s="32"/>
      <c r="LP121" s="32"/>
      <c r="LQ121" s="32"/>
      <c r="LR121" s="32"/>
      <c r="LS121" s="32"/>
      <c r="LT121" s="32"/>
      <c r="LU121" s="32"/>
      <c r="LV121" s="32"/>
      <c r="LW121" s="32"/>
      <c r="LX121" s="32"/>
      <c r="LY121" s="32"/>
      <c r="LZ121" s="32"/>
      <c r="MA121" s="32"/>
      <c r="MB121" s="32"/>
      <c r="MC121" s="32"/>
      <c r="MD121" s="32"/>
      <c r="ME121" s="32"/>
      <c r="MF121" s="32"/>
      <c r="MG121" s="32"/>
      <c r="MH121" s="32"/>
      <c r="MI121" s="32"/>
      <c r="MJ121" s="32"/>
      <c r="MK121" s="32"/>
      <c r="ML121" s="32"/>
      <c r="MM121" s="32"/>
      <c r="MN121" s="32"/>
      <c r="MO121" s="32"/>
      <c r="MP121" s="32"/>
      <c r="MQ121" s="32"/>
      <c r="MR121" s="32"/>
      <c r="MS121" s="32"/>
      <c r="MT121" s="32"/>
      <c r="MU121" s="32"/>
      <c r="MV121" s="32"/>
      <c r="MW121" s="32"/>
      <c r="MX121" s="32"/>
      <c r="MY121" s="32"/>
      <c r="MZ121" s="32"/>
      <c r="NA121" s="32"/>
      <c r="NB121" s="32"/>
      <c r="NC121" s="32"/>
      <c r="ND121" s="32"/>
      <c r="NE121" s="32"/>
      <c r="NF121" s="32"/>
      <c r="NG121" s="32"/>
      <c r="NH121" s="32"/>
      <c r="NI121" s="32"/>
      <c r="NJ121" s="32"/>
      <c r="NK121" s="32"/>
      <c r="NL121" s="32"/>
      <c r="NM121" s="32"/>
      <c r="NN121" s="32"/>
      <c r="NO121" s="32"/>
      <c r="NP121" s="32"/>
      <c r="NQ121" s="32"/>
      <c r="NR121" s="32"/>
      <c r="NS121" s="32"/>
      <c r="NT121" s="32"/>
      <c r="NU121" s="32"/>
      <c r="NV121" s="32"/>
      <c r="NW121" s="32"/>
      <c r="NX121" s="32"/>
      <c r="NY121" s="32"/>
      <c r="NZ121" s="32"/>
      <c r="OA121" s="32"/>
      <c r="OB121" s="32"/>
      <c r="OC121" s="32"/>
      <c r="OD121" s="32"/>
      <c r="OE121" s="32"/>
      <c r="OF121" s="32"/>
      <c r="OG121" s="32"/>
      <c r="OH121" s="32"/>
      <c r="OI121" s="32"/>
      <c r="OJ121" s="32"/>
      <c r="OK121" s="32"/>
      <c r="OL121" s="32"/>
      <c r="OM121" s="32"/>
      <c r="ON121" s="32"/>
      <c r="OO121" s="32"/>
      <c r="OP121" s="32"/>
      <c r="OQ121" s="32"/>
      <c r="OR121" s="32"/>
      <c r="OS121" s="32"/>
      <c r="OT121" s="32"/>
      <c r="OU121" s="32"/>
      <c r="OV121" s="32"/>
      <c r="OW121" s="32"/>
      <c r="OX121" s="32"/>
      <c r="OY121" s="32"/>
      <c r="OZ121" s="32"/>
      <c r="PA121" s="32"/>
      <c r="PB121" s="32"/>
      <c r="PC121" s="32"/>
      <c r="PD121" s="32"/>
      <c r="PE121" s="32"/>
      <c r="PF121" s="32"/>
      <c r="PG121" s="32"/>
      <c r="PH121" s="32"/>
      <c r="PI121" s="32"/>
      <c r="PJ121" s="32"/>
      <c r="PK121" s="32"/>
      <c r="PL121" s="32"/>
      <c r="PM121" s="32"/>
      <c r="PN121" s="32"/>
      <c r="PO121" s="32"/>
      <c r="PP121" s="32"/>
      <c r="PQ121" s="32"/>
      <c r="PR121" s="32"/>
      <c r="PS121" s="32"/>
      <c r="PT121" s="32"/>
      <c r="PU121" s="32"/>
      <c r="PV121" s="32"/>
      <c r="PW121" s="32"/>
      <c r="PX121" s="32"/>
      <c r="PY121" s="32"/>
      <c r="PZ121" s="32"/>
      <c r="QA121" s="32"/>
      <c r="QB121" s="32"/>
      <c r="QC121" s="32"/>
      <c r="QD121" s="32"/>
      <c r="QE121" s="32"/>
      <c r="QF121" s="32"/>
      <c r="QG121" s="32"/>
      <c r="QH121" s="32"/>
      <c r="QI121" s="32"/>
      <c r="QJ121" s="32"/>
      <c r="QK121" s="32"/>
      <c r="QL121" s="32"/>
      <c r="QM121" s="32"/>
      <c r="QN121" s="32"/>
      <c r="QO121" s="32"/>
      <c r="QP121" s="32"/>
      <c r="QQ121" s="32"/>
      <c r="QR121" s="32"/>
      <c r="QS121" s="32"/>
      <c r="QT121" s="32"/>
      <c r="QU121" s="32"/>
      <c r="QV121" s="32"/>
      <c r="QW121" s="32"/>
      <c r="QX121" s="32"/>
      <c r="QY121" s="32"/>
      <c r="QZ121" s="32"/>
      <c r="RA121" s="32"/>
      <c r="RB121" s="32"/>
      <c r="RC121" s="32"/>
      <c r="RD121" s="32"/>
      <c r="RE121" s="32"/>
      <c r="RF121" s="32"/>
      <c r="RG121" s="32"/>
      <c r="RH121" s="32"/>
      <c r="RI121" s="32"/>
      <c r="RJ121" s="32"/>
      <c r="RK121" s="32"/>
      <c r="RL121" s="32"/>
      <c r="RM121" s="32"/>
      <c r="RN121" s="32"/>
      <c r="RO121" s="32"/>
      <c r="RP121" s="32"/>
      <c r="RQ121" s="32"/>
      <c r="RR121" s="32"/>
      <c r="RS121" s="32"/>
      <c r="RT121" s="32"/>
      <c r="RU121" s="32"/>
      <c r="RV121" s="32"/>
      <c r="RW121" s="32"/>
      <c r="RX121" s="32"/>
      <c r="RY121" s="32"/>
      <c r="RZ121" s="32"/>
      <c r="SA121" s="32"/>
      <c r="SB121" s="32"/>
      <c r="SC121" s="32"/>
      <c r="SD121" s="32"/>
      <c r="SE121" s="32"/>
      <c r="SF121" s="32"/>
      <c r="SG121" s="32"/>
      <c r="SH121" s="32"/>
      <c r="SI121" s="32"/>
      <c r="SJ121" s="32"/>
      <c r="SK121" s="32"/>
      <c r="SL121" s="32"/>
      <c r="SM121" s="32"/>
      <c r="SN121" s="32"/>
      <c r="SO121" s="32"/>
      <c r="SP121" s="32"/>
      <c r="SQ121" s="32"/>
      <c r="SR121" s="32"/>
      <c r="SS121" s="32"/>
      <c r="ST121" s="32"/>
      <c r="SU121" s="32"/>
      <c r="SV121" s="32"/>
      <c r="SW121" s="32"/>
      <c r="SX121" s="32"/>
      <c r="SY121" s="32"/>
      <c r="SZ121" s="32"/>
      <c r="TA121" s="32"/>
      <c r="TB121" s="32"/>
      <c r="TC121" s="32"/>
      <c r="TD121" s="32"/>
      <c r="TE121" s="32"/>
      <c r="TF121" s="32"/>
      <c r="TG121" s="32"/>
    </row>
    <row r="122" spans="1:527" s="34" customFormat="1" ht="30.75" customHeight="1" x14ac:dyDescent="0.25">
      <c r="A122" s="100" t="s">
        <v>172</v>
      </c>
      <c r="B122" s="113"/>
      <c r="C122" s="113"/>
      <c r="D122" s="81" t="s">
        <v>475</v>
      </c>
      <c r="E122" s="102">
        <f>E130+E131+E136+E138+E140+E142+E145+E146+E147+E148+E149+E151+E153+E154+E135</f>
        <v>90758175.400000006</v>
      </c>
      <c r="F122" s="102">
        <f t="shared" ref="F122:P122" si="44">F130+F131+F136+F138+F140+F142+F145+F146+F147+F148+F149+F151+F153+F154+F135</f>
        <v>90758175.400000006</v>
      </c>
      <c r="G122" s="102">
        <f t="shared" si="44"/>
        <v>4343800</v>
      </c>
      <c r="H122" s="102">
        <f t="shared" si="44"/>
        <v>97368</v>
      </c>
      <c r="I122" s="102">
        <f t="shared" si="44"/>
        <v>0</v>
      </c>
      <c r="J122" s="102">
        <f t="shared" si="44"/>
        <v>131468090.53999999</v>
      </c>
      <c r="K122" s="102">
        <f>K130+K131+K136+K138+K140+K142+K145+K146+K147+K148+K149+K151+K153+K154+K135</f>
        <v>131468090.53999999</v>
      </c>
      <c r="L122" s="102">
        <f t="shared" si="44"/>
        <v>0</v>
      </c>
      <c r="M122" s="102">
        <f t="shared" si="44"/>
        <v>0</v>
      </c>
      <c r="N122" s="102">
        <f t="shared" si="44"/>
        <v>0</v>
      </c>
      <c r="O122" s="102">
        <f t="shared" si="44"/>
        <v>131468090.53999999</v>
      </c>
      <c r="P122" s="102">
        <f t="shared" si="44"/>
        <v>222226265.94</v>
      </c>
      <c r="Q122" s="188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  <c r="IW122" s="33"/>
      <c r="IX122" s="33"/>
      <c r="IY122" s="33"/>
      <c r="IZ122" s="33"/>
      <c r="JA122" s="33"/>
      <c r="JB122" s="33"/>
      <c r="JC122" s="33"/>
      <c r="JD122" s="33"/>
      <c r="JE122" s="33"/>
      <c r="JF122" s="33"/>
      <c r="JG122" s="33"/>
      <c r="JH122" s="33"/>
      <c r="JI122" s="33"/>
      <c r="JJ122" s="33"/>
      <c r="JK122" s="33"/>
      <c r="JL122" s="33"/>
      <c r="JM122" s="33"/>
      <c r="JN122" s="33"/>
      <c r="JO122" s="33"/>
      <c r="JP122" s="33"/>
      <c r="JQ122" s="33"/>
      <c r="JR122" s="33"/>
      <c r="JS122" s="33"/>
      <c r="JT122" s="33"/>
      <c r="JU122" s="33"/>
      <c r="JV122" s="33"/>
      <c r="JW122" s="33"/>
      <c r="JX122" s="33"/>
      <c r="JY122" s="33"/>
      <c r="JZ122" s="33"/>
      <c r="KA122" s="33"/>
      <c r="KB122" s="33"/>
      <c r="KC122" s="33"/>
      <c r="KD122" s="33"/>
      <c r="KE122" s="33"/>
      <c r="KF122" s="33"/>
      <c r="KG122" s="33"/>
      <c r="KH122" s="33"/>
      <c r="KI122" s="33"/>
      <c r="KJ122" s="33"/>
      <c r="KK122" s="33"/>
      <c r="KL122" s="33"/>
      <c r="KM122" s="33"/>
      <c r="KN122" s="33"/>
      <c r="KO122" s="33"/>
      <c r="KP122" s="33"/>
      <c r="KQ122" s="33"/>
      <c r="KR122" s="33"/>
      <c r="KS122" s="33"/>
      <c r="KT122" s="33"/>
      <c r="KU122" s="33"/>
      <c r="KV122" s="33"/>
      <c r="KW122" s="33"/>
      <c r="KX122" s="33"/>
      <c r="KY122" s="33"/>
      <c r="KZ122" s="33"/>
      <c r="LA122" s="33"/>
      <c r="LB122" s="33"/>
      <c r="LC122" s="33"/>
      <c r="LD122" s="33"/>
      <c r="LE122" s="33"/>
      <c r="LF122" s="33"/>
      <c r="LG122" s="33"/>
      <c r="LH122" s="33"/>
      <c r="LI122" s="33"/>
      <c r="LJ122" s="33"/>
      <c r="LK122" s="33"/>
      <c r="LL122" s="33"/>
      <c r="LM122" s="33"/>
      <c r="LN122" s="33"/>
      <c r="LO122" s="33"/>
      <c r="LP122" s="33"/>
      <c r="LQ122" s="33"/>
      <c r="LR122" s="33"/>
      <c r="LS122" s="33"/>
      <c r="LT122" s="33"/>
      <c r="LU122" s="33"/>
      <c r="LV122" s="33"/>
      <c r="LW122" s="33"/>
      <c r="LX122" s="33"/>
      <c r="LY122" s="33"/>
      <c r="LZ122" s="33"/>
      <c r="MA122" s="33"/>
      <c r="MB122" s="33"/>
      <c r="MC122" s="33"/>
      <c r="MD122" s="33"/>
      <c r="ME122" s="33"/>
      <c r="MF122" s="33"/>
      <c r="MG122" s="33"/>
      <c r="MH122" s="33"/>
      <c r="MI122" s="33"/>
      <c r="MJ122" s="33"/>
      <c r="MK122" s="33"/>
      <c r="ML122" s="33"/>
      <c r="MM122" s="33"/>
      <c r="MN122" s="33"/>
      <c r="MO122" s="33"/>
      <c r="MP122" s="33"/>
      <c r="MQ122" s="33"/>
      <c r="MR122" s="33"/>
      <c r="MS122" s="33"/>
      <c r="MT122" s="33"/>
      <c r="MU122" s="33"/>
      <c r="MV122" s="33"/>
      <c r="MW122" s="33"/>
      <c r="MX122" s="33"/>
      <c r="MY122" s="33"/>
      <c r="MZ122" s="33"/>
      <c r="NA122" s="33"/>
      <c r="NB122" s="33"/>
      <c r="NC122" s="33"/>
      <c r="ND122" s="33"/>
      <c r="NE122" s="33"/>
      <c r="NF122" s="33"/>
      <c r="NG122" s="33"/>
      <c r="NH122" s="33"/>
      <c r="NI122" s="33"/>
      <c r="NJ122" s="33"/>
      <c r="NK122" s="33"/>
      <c r="NL122" s="33"/>
      <c r="NM122" s="33"/>
      <c r="NN122" s="33"/>
      <c r="NO122" s="33"/>
      <c r="NP122" s="33"/>
      <c r="NQ122" s="33"/>
      <c r="NR122" s="33"/>
      <c r="NS122" s="33"/>
      <c r="NT122" s="33"/>
      <c r="NU122" s="33"/>
      <c r="NV122" s="33"/>
      <c r="NW122" s="33"/>
      <c r="NX122" s="33"/>
      <c r="NY122" s="33"/>
      <c r="NZ122" s="33"/>
      <c r="OA122" s="33"/>
      <c r="OB122" s="33"/>
      <c r="OC122" s="33"/>
      <c r="OD122" s="33"/>
      <c r="OE122" s="33"/>
      <c r="OF122" s="33"/>
      <c r="OG122" s="33"/>
      <c r="OH122" s="33"/>
      <c r="OI122" s="33"/>
      <c r="OJ122" s="33"/>
      <c r="OK122" s="33"/>
      <c r="OL122" s="33"/>
      <c r="OM122" s="33"/>
      <c r="ON122" s="33"/>
      <c r="OO122" s="33"/>
      <c r="OP122" s="33"/>
      <c r="OQ122" s="33"/>
      <c r="OR122" s="33"/>
      <c r="OS122" s="33"/>
      <c r="OT122" s="33"/>
      <c r="OU122" s="33"/>
      <c r="OV122" s="33"/>
      <c r="OW122" s="33"/>
      <c r="OX122" s="33"/>
      <c r="OY122" s="33"/>
      <c r="OZ122" s="33"/>
      <c r="PA122" s="33"/>
      <c r="PB122" s="33"/>
      <c r="PC122" s="33"/>
      <c r="PD122" s="33"/>
      <c r="PE122" s="33"/>
      <c r="PF122" s="33"/>
      <c r="PG122" s="33"/>
      <c r="PH122" s="33"/>
      <c r="PI122" s="33"/>
      <c r="PJ122" s="33"/>
      <c r="PK122" s="33"/>
      <c r="PL122" s="33"/>
      <c r="PM122" s="33"/>
      <c r="PN122" s="33"/>
      <c r="PO122" s="33"/>
      <c r="PP122" s="33"/>
      <c r="PQ122" s="33"/>
      <c r="PR122" s="33"/>
      <c r="PS122" s="33"/>
      <c r="PT122" s="33"/>
      <c r="PU122" s="33"/>
      <c r="PV122" s="33"/>
      <c r="PW122" s="33"/>
      <c r="PX122" s="33"/>
      <c r="PY122" s="33"/>
      <c r="PZ122" s="33"/>
      <c r="QA122" s="33"/>
      <c r="QB122" s="33"/>
      <c r="QC122" s="33"/>
      <c r="QD122" s="33"/>
      <c r="QE122" s="33"/>
      <c r="QF122" s="33"/>
      <c r="QG122" s="33"/>
      <c r="QH122" s="33"/>
      <c r="QI122" s="33"/>
      <c r="QJ122" s="33"/>
      <c r="QK122" s="33"/>
      <c r="QL122" s="33"/>
      <c r="QM122" s="33"/>
      <c r="QN122" s="33"/>
      <c r="QO122" s="33"/>
      <c r="QP122" s="33"/>
      <c r="QQ122" s="33"/>
      <c r="QR122" s="33"/>
      <c r="QS122" s="33"/>
      <c r="QT122" s="33"/>
      <c r="QU122" s="33"/>
      <c r="QV122" s="33"/>
      <c r="QW122" s="33"/>
      <c r="QX122" s="33"/>
      <c r="QY122" s="33"/>
      <c r="QZ122" s="33"/>
      <c r="RA122" s="33"/>
      <c r="RB122" s="33"/>
      <c r="RC122" s="33"/>
      <c r="RD122" s="33"/>
      <c r="RE122" s="33"/>
      <c r="RF122" s="33"/>
      <c r="RG122" s="33"/>
      <c r="RH122" s="33"/>
      <c r="RI122" s="33"/>
      <c r="RJ122" s="33"/>
      <c r="RK122" s="33"/>
      <c r="RL122" s="33"/>
      <c r="RM122" s="33"/>
      <c r="RN122" s="33"/>
      <c r="RO122" s="33"/>
      <c r="RP122" s="33"/>
      <c r="RQ122" s="33"/>
      <c r="RR122" s="33"/>
      <c r="RS122" s="33"/>
      <c r="RT122" s="33"/>
      <c r="RU122" s="33"/>
      <c r="RV122" s="33"/>
      <c r="RW122" s="33"/>
      <c r="RX122" s="33"/>
      <c r="RY122" s="33"/>
      <c r="RZ122" s="33"/>
      <c r="SA122" s="33"/>
      <c r="SB122" s="33"/>
      <c r="SC122" s="33"/>
      <c r="SD122" s="33"/>
      <c r="SE122" s="33"/>
      <c r="SF122" s="33"/>
      <c r="SG122" s="33"/>
      <c r="SH122" s="33"/>
      <c r="SI122" s="33"/>
      <c r="SJ122" s="33"/>
      <c r="SK122" s="33"/>
      <c r="SL122" s="33"/>
      <c r="SM122" s="33"/>
      <c r="SN122" s="33"/>
      <c r="SO122" s="33"/>
      <c r="SP122" s="33"/>
      <c r="SQ122" s="33"/>
      <c r="SR122" s="33"/>
      <c r="SS122" s="33"/>
      <c r="ST122" s="33"/>
      <c r="SU122" s="33"/>
      <c r="SV122" s="33"/>
      <c r="SW122" s="33"/>
      <c r="SX122" s="33"/>
      <c r="SY122" s="33"/>
      <c r="SZ122" s="33"/>
      <c r="TA122" s="33"/>
      <c r="TB122" s="33"/>
      <c r="TC122" s="33"/>
      <c r="TD122" s="33"/>
      <c r="TE122" s="33"/>
      <c r="TF122" s="33"/>
      <c r="TG122" s="33"/>
    </row>
    <row r="123" spans="1:527" s="34" customFormat="1" ht="31.5" hidden="1" customHeight="1" x14ac:dyDescent="0.25">
      <c r="A123" s="100"/>
      <c r="B123" s="113"/>
      <c r="C123" s="113"/>
      <c r="D123" s="81" t="s">
        <v>392</v>
      </c>
      <c r="E123" s="102">
        <f>E132+E137+E139</f>
        <v>0</v>
      </c>
      <c r="F123" s="102">
        <f t="shared" ref="F123:P123" si="45">F132+F137+F139</f>
        <v>0</v>
      </c>
      <c r="G123" s="102">
        <f t="shared" si="45"/>
        <v>0</v>
      </c>
      <c r="H123" s="102">
        <f t="shared" si="45"/>
        <v>0</v>
      </c>
      <c r="I123" s="102">
        <f t="shared" si="45"/>
        <v>0</v>
      </c>
      <c r="J123" s="102">
        <f t="shared" si="45"/>
        <v>0</v>
      </c>
      <c r="K123" s="102">
        <f t="shared" si="45"/>
        <v>0</v>
      </c>
      <c r="L123" s="102">
        <f t="shared" si="45"/>
        <v>0</v>
      </c>
      <c r="M123" s="102">
        <f t="shared" si="45"/>
        <v>0</v>
      </c>
      <c r="N123" s="102">
        <f t="shared" si="45"/>
        <v>0</v>
      </c>
      <c r="O123" s="102">
        <f t="shared" si="45"/>
        <v>0</v>
      </c>
      <c r="P123" s="102">
        <f t="shared" si="45"/>
        <v>0</v>
      </c>
      <c r="Q123" s="188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  <c r="IU123" s="33"/>
      <c r="IV123" s="33"/>
      <c r="IW123" s="33"/>
      <c r="IX123" s="33"/>
      <c r="IY123" s="33"/>
      <c r="IZ123" s="33"/>
      <c r="JA123" s="33"/>
      <c r="JB123" s="33"/>
      <c r="JC123" s="33"/>
      <c r="JD123" s="33"/>
      <c r="JE123" s="33"/>
      <c r="JF123" s="33"/>
      <c r="JG123" s="33"/>
      <c r="JH123" s="33"/>
      <c r="JI123" s="33"/>
      <c r="JJ123" s="33"/>
      <c r="JK123" s="33"/>
      <c r="JL123" s="33"/>
      <c r="JM123" s="33"/>
      <c r="JN123" s="33"/>
      <c r="JO123" s="33"/>
      <c r="JP123" s="33"/>
      <c r="JQ123" s="33"/>
      <c r="JR123" s="33"/>
      <c r="JS123" s="33"/>
      <c r="JT123" s="33"/>
      <c r="JU123" s="33"/>
      <c r="JV123" s="33"/>
      <c r="JW123" s="33"/>
      <c r="JX123" s="33"/>
      <c r="JY123" s="33"/>
      <c r="JZ123" s="33"/>
      <c r="KA123" s="33"/>
      <c r="KB123" s="33"/>
      <c r="KC123" s="33"/>
      <c r="KD123" s="33"/>
      <c r="KE123" s="33"/>
      <c r="KF123" s="33"/>
      <c r="KG123" s="33"/>
      <c r="KH123" s="33"/>
      <c r="KI123" s="33"/>
      <c r="KJ123" s="33"/>
      <c r="KK123" s="33"/>
      <c r="KL123" s="33"/>
      <c r="KM123" s="33"/>
      <c r="KN123" s="33"/>
      <c r="KO123" s="33"/>
      <c r="KP123" s="33"/>
      <c r="KQ123" s="33"/>
      <c r="KR123" s="33"/>
      <c r="KS123" s="33"/>
      <c r="KT123" s="33"/>
      <c r="KU123" s="33"/>
      <c r="KV123" s="33"/>
      <c r="KW123" s="33"/>
      <c r="KX123" s="33"/>
      <c r="KY123" s="33"/>
      <c r="KZ123" s="33"/>
      <c r="LA123" s="33"/>
      <c r="LB123" s="33"/>
      <c r="LC123" s="33"/>
      <c r="LD123" s="33"/>
      <c r="LE123" s="33"/>
      <c r="LF123" s="33"/>
      <c r="LG123" s="33"/>
      <c r="LH123" s="33"/>
      <c r="LI123" s="33"/>
      <c r="LJ123" s="33"/>
      <c r="LK123" s="33"/>
      <c r="LL123" s="33"/>
      <c r="LM123" s="33"/>
      <c r="LN123" s="33"/>
      <c r="LO123" s="33"/>
      <c r="LP123" s="33"/>
      <c r="LQ123" s="33"/>
      <c r="LR123" s="33"/>
      <c r="LS123" s="33"/>
      <c r="LT123" s="33"/>
      <c r="LU123" s="33"/>
      <c r="LV123" s="33"/>
      <c r="LW123" s="33"/>
      <c r="LX123" s="33"/>
      <c r="LY123" s="33"/>
      <c r="LZ123" s="33"/>
      <c r="MA123" s="33"/>
      <c r="MB123" s="33"/>
      <c r="MC123" s="33"/>
      <c r="MD123" s="33"/>
      <c r="ME123" s="33"/>
      <c r="MF123" s="33"/>
      <c r="MG123" s="33"/>
      <c r="MH123" s="33"/>
      <c r="MI123" s="33"/>
      <c r="MJ123" s="33"/>
      <c r="MK123" s="33"/>
      <c r="ML123" s="33"/>
      <c r="MM123" s="33"/>
      <c r="MN123" s="33"/>
      <c r="MO123" s="33"/>
      <c r="MP123" s="33"/>
      <c r="MQ123" s="33"/>
      <c r="MR123" s="33"/>
      <c r="MS123" s="33"/>
      <c r="MT123" s="33"/>
      <c r="MU123" s="33"/>
      <c r="MV123" s="33"/>
      <c r="MW123" s="33"/>
      <c r="MX123" s="33"/>
      <c r="MY123" s="33"/>
      <c r="MZ123" s="33"/>
      <c r="NA123" s="33"/>
      <c r="NB123" s="33"/>
      <c r="NC123" s="33"/>
      <c r="ND123" s="33"/>
      <c r="NE123" s="33"/>
      <c r="NF123" s="33"/>
      <c r="NG123" s="33"/>
      <c r="NH123" s="33"/>
      <c r="NI123" s="33"/>
      <c r="NJ123" s="33"/>
      <c r="NK123" s="33"/>
      <c r="NL123" s="33"/>
      <c r="NM123" s="33"/>
      <c r="NN123" s="33"/>
      <c r="NO123" s="33"/>
      <c r="NP123" s="33"/>
      <c r="NQ123" s="33"/>
      <c r="NR123" s="33"/>
      <c r="NS123" s="33"/>
      <c r="NT123" s="33"/>
      <c r="NU123" s="33"/>
      <c r="NV123" s="33"/>
      <c r="NW123" s="33"/>
      <c r="NX123" s="33"/>
      <c r="NY123" s="33"/>
      <c r="NZ123" s="33"/>
      <c r="OA123" s="33"/>
      <c r="OB123" s="33"/>
      <c r="OC123" s="33"/>
      <c r="OD123" s="33"/>
      <c r="OE123" s="33"/>
      <c r="OF123" s="33"/>
      <c r="OG123" s="33"/>
      <c r="OH123" s="33"/>
      <c r="OI123" s="33"/>
      <c r="OJ123" s="33"/>
      <c r="OK123" s="33"/>
      <c r="OL123" s="33"/>
      <c r="OM123" s="33"/>
      <c r="ON123" s="33"/>
      <c r="OO123" s="33"/>
      <c r="OP123" s="33"/>
      <c r="OQ123" s="33"/>
      <c r="OR123" s="33"/>
      <c r="OS123" s="33"/>
      <c r="OT123" s="33"/>
      <c r="OU123" s="33"/>
      <c r="OV123" s="33"/>
      <c r="OW123" s="33"/>
      <c r="OX123" s="33"/>
      <c r="OY123" s="33"/>
      <c r="OZ123" s="33"/>
      <c r="PA123" s="33"/>
      <c r="PB123" s="33"/>
      <c r="PC123" s="33"/>
      <c r="PD123" s="33"/>
      <c r="PE123" s="33"/>
      <c r="PF123" s="33"/>
      <c r="PG123" s="33"/>
      <c r="PH123" s="33"/>
      <c r="PI123" s="33"/>
      <c r="PJ123" s="33"/>
      <c r="PK123" s="33"/>
      <c r="PL123" s="33"/>
      <c r="PM123" s="33"/>
      <c r="PN123" s="33"/>
      <c r="PO123" s="33"/>
      <c r="PP123" s="33"/>
      <c r="PQ123" s="33"/>
      <c r="PR123" s="33"/>
      <c r="PS123" s="33"/>
      <c r="PT123" s="33"/>
      <c r="PU123" s="33"/>
      <c r="PV123" s="33"/>
      <c r="PW123" s="33"/>
      <c r="PX123" s="33"/>
      <c r="PY123" s="33"/>
      <c r="PZ123" s="33"/>
      <c r="QA123" s="33"/>
      <c r="QB123" s="33"/>
      <c r="QC123" s="33"/>
      <c r="QD123" s="33"/>
      <c r="QE123" s="33"/>
      <c r="QF123" s="33"/>
      <c r="QG123" s="33"/>
      <c r="QH123" s="33"/>
      <c r="QI123" s="33"/>
      <c r="QJ123" s="33"/>
      <c r="QK123" s="33"/>
      <c r="QL123" s="33"/>
      <c r="QM123" s="33"/>
      <c r="QN123" s="33"/>
      <c r="QO123" s="33"/>
      <c r="QP123" s="33"/>
      <c r="QQ123" s="33"/>
      <c r="QR123" s="33"/>
      <c r="QS123" s="33"/>
      <c r="QT123" s="33"/>
      <c r="QU123" s="33"/>
      <c r="QV123" s="33"/>
      <c r="QW123" s="33"/>
      <c r="QX123" s="33"/>
      <c r="QY123" s="33"/>
      <c r="QZ123" s="33"/>
      <c r="RA123" s="33"/>
      <c r="RB123" s="33"/>
      <c r="RC123" s="33"/>
      <c r="RD123" s="33"/>
      <c r="RE123" s="33"/>
      <c r="RF123" s="33"/>
      <c r="RG123" s="33"/>
      <c r="RH123" s="33"/>
      <c r="RI123" s="33"/>
      <c r="RJ123" s="33"/>
      <c r="RK123" s="33"/>
      <c r="RL123" s="33"/>
      <c r="RM123" s="33"/>
      <c r="RN123" s="33"/>
      <c r="RO123" s="33"/>
      <c r="RP123" s="33"/>
      <c r="RQ123" s="33"/>
      <c r="RR123" s="33"/>
      <c r="RS123" s="33"/>
      <c r="RT123" s="33"/>
      <c r="RU123" s="33"/>
      <c r="RV123" s="33"/>
      <c r="RW123" s="33"/>
      <c r="RX123" s="33"/>
      <c r="RY123" s="33"/>
      <c r="RZ123" s="33"/>
      <c r="SA123" s="33"/>
      <c r="SB123" s="33"/>
      <c r="SC123" s="33"/>
      <c r="SD123" s="33"/>
      <c r="SE123" s="33"/>
      <c r="SF123" s="33"/>
      <c r="SG123" s="33"/>
      <c r="SH123" s="33"/>
      <c r="SI123" s="33"/>
      <c r="SJ123" s="33"/>
      <c r="SK123" s="33"/>
      <c r="SL123" s="33"/>
      <c r="SM123" s="33"/>
      <c r="SN123" s="33"/>
      <c r="SO123" s="33"/>
      <c r="SP123" s="33"/>
      <c r="SQ123" s="33"/>
      <c r="SR123" s="33"/>
      <c r="SS123" s="33"/>
      <c r="ST123" s="33"/>
      <c r="SU123" s="33"/>
      <c r="SV123" s="33"/>
      <c r="SW123" s="33"/>
      <c r="SX123" s="33"/>
      <c r="SY123" s="33"/>
      <c r="SZ123" s="33"/>
      <c r="TA123" s="33"/>
      <c r="TB123" s="33"/>
      <c r="TC123" s="33"/>
      <c r="TD123" s="33"/>
      <c r="TE123" s="33"/>
      <c r="TF123" s="33"/>
      <c r="TG123" s="33"/>
    </row>
    <row r="124" spans="1:527" s="34" customFormat="1" ht="63" hidden="1" customHeight="1" x14ac:dyDescent="0.25">
      <c r="A124" s="100"/>
      <c r="B124" s="113"/>
      <c r="C124" s="113"/>
      <c r="D124" s="81" t="s">
        <v>390</v>
      </c>
      <c r="E124" s="102">
        <f>E150</f>
        <v>0</v>
      </c>
      <c r="F124" s="102">
        <f>F150</f>
        <v>0</v>
      </c>
      <c r="G124" s="102">
        <f t="shared" ref="G124:I124" si="46">G150</f>
        <v>0</v>
      </c>
      <c r="H124" s="102">
        <f t="shared" si="46"/>
        <v>0</v>
      </c>
      <c r="I124" s="102">
        <f t="shared" si="46"/>
        <v>0</v>
      </c>
      <c r="J124" s="102">
        <f>J150</f>
        <v>156000</v>
      </c>
      <c r="K124" s="102">
        <f t="shared" ref="K124:P124" si="47">K150</f>
        <v>156000</v>
      </c>
      <c r="L124" s="102">
        <f t="shared" si="47"/>
        <v>0</v>
      </c>
      <c r="M124" s="102">
        <f t="shared" si="47"/>
        <v>0</v>
      </c>
      <c r="N124" s="102">
        <f t="shared" si="47"/>
        <v>0</v>
      </c>
      <c r="O124" s="102">
        <f t="shared" si="47"/>
        <v>156000</v>
      </c>
      <c r="P124" s="102">
        <f t="shared" si="47"/>
        <v>156000</v>
      </c>
      <c r="Q124" s="188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  <c r="IU124" s="33"/>
      <c r="IV124" s="33"/>
      <c r="IW124" s="33"/>
      <c r="IX124" s="33"/>
      <c r="IY124" s="33"/>
      <c r="IZ124" s="33"/>
      <c r="JA124" s="33"/>
      <c r="JB124" s="33"/>
      <c r="JC124" s="33"/>
      <c r="JD124" s="33"/>
      <c r="JE124" s="33"/>
      <c r="JF124" s="33"/>
      <c r="JG124" s="33"/>
      <c r="JH124" s="33"/>
      <c r="JI124" s="33"/>
      <c r="JJ124" s="33"/>
      <c r="JK124" s="33"/>
      <c r="JL124" s="33"/>
      <c r="JM124" s="33"/>
      <c r="JN124" s="33"/>
      <c r="JO124" s="33"/>
      <c r="JP124" s="33"/>
      <c r="JQ124" s="33"/>
      <c r="JR124" s="33"/>
      <c r="JS124" s="33"/>
      <c r="JT124" s="33"/>
      <c r="JU124" s="33"/>
      <c r="JV124" s="33"/>
      <c r="JW124" s="33"/>
      <c r="JX124" s="33"/>
      <c r="JY124" s="33"/>
      <c r="JZ124" s="33"/>
      <c r="KA124" s="33"/>
      <c r="KB124" s="33"/>
      <c r="KC124" s="33"/>
      <c r="KD124" s="33"/>
      <c r="KE124" s="33"/>
      <c r="KF124" s="33"/>
      <c r="KG124" s="33"/>
      <c r="KH124" s="33"/>
      <c r="KI124" s="33"/>
      <c r="KJ124" s="33"/>
      <c r="KK124" s="33"/>
      <c r="KL124" s="33"/>
      <c r="KM124" s="33"/>
      <c r="KN124" s="33"/>
      <c r="KO124" s="33"/>
      <c r="KP124" s="33"/>
      <c r="KQ124" s="33"/>
      <c r="KR124" s="33"/>
      <c r="KS124" s="33"/>
      <c r="KT124" s="33"/>
      <c r="KU124" s="33"/>
      <c r="KV124" s="33"/>
      <c r="KW124" s="33"/>
      <c r="KX124" s="33"/>
      <c r="KY124" s="33"/>
      <c r="KZ124" s="33"/>
      <c r="LA124" s="33"/>
      <c r="LB124" s="33"/>
      <c r="LC124" s="33"/>
      <c r="LD124" s="33"/>
      <c r="LE124" s="33"/>
      <c r="LF124" s="33"/>
      <c r="LG124" s="33"/>
      <c r="LH124" s="33"/>
      <c r="LI124" s="33"/>
      <c r="LJ124" s="33"/>
      <c r="LK124" s="33"/>
      <c r="LL124" s="33"/>
      <c r="LM124" s="33"/>
      <c r="LN124" s="33"/>
      <c r="LO124" s="33"/>
      <c r="LP124" s="33"/>
      <c r="LQ124" s="33"/>
      <c r="LR124" s="33"/>
      <c r="LS124" s="33"/>
      <c r="LT124" s="33"/>
      <c r="LU124" s="33"/>
      <c r="LV124" s="33"/>
      <c r="LW124" s="33"/>
      <c r="LX124" s="33"/>
      <c r="LY124" s="33"/>
      <c r="LZ124" s="33"/>
      <c r="MA124" s="33"/>
      <c r="MB124" s="33"/>
      <c r="MC124" s="33"/>
      <c r="MD124" s="33"/>
      <c r="ME124" s="33"/>
      <c r="MF124" s="33"/>
      <c r="MG124" s="33"/>
      <c r="MH124" s="33"/>
      <c r="MI124" s="33"/>
      <c r="MJ124" s="33"/>
      <c r="MK124" s="33"/>
      <c r="ML124" s="33"/>
      <c r="MM124" s="33"/>
      <c r="MN124" s="33"/>
      <c r="MO124" s="33"/>
      <c r="MP124" s="33"/>
      <c r="MQ124" s="33"/>
      <c r="MR124" s="33"/>
      <c r="MS124" s="33"/>
      <c r="MT124" s="33"/>
      <c r="MU124" s="33"/>
      <c r="MV124" s="33"/>
      <c r="MW124" s="33"/>
      <c r="MX124" s="33"/>
      <c r="MY124" s="33"/>
      <c r="MZ124" s="33"/>
      <c r="NA124" s="33"/>
      <c r="NB124" s="33"/>
      <c r="NC124" s="33"/>
      <c r="ND124" s="33"/>
      <c r="NE124" s="33"/>
      <c r="NF124" s="33"/>
      <c r="NG124" s="33"/>
      <c r="NH124" s="33"/>
      <c r="NI124" s="33"/>
      <c r="NJ124" s="33"/>
      <c r="NK124" s="33"/>
      <c r="NL124" s="33"/>
      <c r="NM124" s="33"/>
      <c r="NN124" s="33"/>
      <c r="NO124" s="33"/>
      <c r="NP124" s="33"/>
      <c r="NQ124" s="33"/>
      <c r="NR124" s="33"/>
      <c r="NS124" s="33"/>
      <c r="NT124" s="33"/>
      <c r="NU124" s="33"/>
      <c r="NV124" s="33"/>
      <c r="NW124" s="33"/>
      <c r="NX124" s="33"/>
      <c r="NY124" s="33"/>
      <c r="NZ124" s="33"/>
      <c r="OA124" s="33"/>
      <c r="OB124" s="33"/>
      <c r="OC124" s="33"/>
      <c r="OD124" s="33"/>
      <c r="OE124" s="33"/>
      <c r="OF124" s="33"/>
      <c r="OG124" s="33"/>
      <c r="OH124" s="33"/>
      <c r="OI124" s="33"/>
      <c r="OJ124" s="33"/>
      <c r="OK124" s="33"/>
      <c r="OL124" s="33"/>
      <c r="OM124" s="33"/>
      <c r="ON124" s="33"/>
      <c r="OO124" s="33"/>
      <c r="OP124" s="33"/>
      <c r="OQ124" s="33"/>
      <c r="OR124" s="33"/>
      <c r="OS124" s="33"/>
      <c r="OT124" s="33"/>
      <c r="OU124" s="33"/>
      <c r="OV124" s="33"/>
      <c r="OW124" s="33"/>
      <c r="OX124" s="33"/>
      <c r="OY124" s="33"/>
      <c r="OZ124" s="33"/>
      <c r="PA124" s="33"/>
      <c r="PB124" s="33"/>
      <c r="PC124" s="33"/>
      <c r="PD124" s="33"/>
      <c r="PE124" s="33"/>
      <c r="PF124" s="33"/>
      <c r="PG124" s="33"/>
      <c r="PH124" s="33"/>
      <c r="PI124" s="33"/>
      <c r="PJ124" s="33"/>
      <c r="PK124" s="33"/>
      <c r="PL124" s="33"/>
      <c r="PM124" s="33"/>
      <c r="PN124" s="33"/>
      <c r="PO124" s="33"/>
      <c r="PP124" s="33"/>
      <c r="PQ124" s="33"/>
      <c r="PR124" s="33"/>
      <c r="PS124" s="33"/>
      <c r="PT124" s="33"/>
      <c r="PU124" s="33"/>
      <c r="PV124" s="33"/>
      <c r="PW124" s="33"/>
      <c r="PX124" s="33"/>
      <c r="PY124" s="33"/>
      <c r="PZ124" s="33"/>
      <c r="QA124" s="33"/>
      <c r="QB124" s="33"/>
      <c r="QC124" s="33"/>
      <c r="QD124" s="33"/>
      <c r="QE124" s="33"/>
      <c r="QF124" s="33"/>
      <c r="QG124" s="33"/>
      <c r="QH124" s="33"/>
      <c r="QI124" s="33"/>
      <c r="QJ124" s="33"/>
      <c r="QK124" s="33"/>
      <c r="QL124" s="33"/>
      <c r="QM124" s="33"/>
      <c r="QN124" s="33"/>
      <c r="QO124" s="33"/>
      <c r="QP124" s="33"/>
      <c r="QQ124" s="33"/>
      <c r="QR124" s="33"/>
      <c r="QS124" s="33"/>
      <c r="QT124" s="33"/>
      <c r="QU124" s="33"/>
      <c r="QV124" s="33"/>
      <c r="QW124" s="33"/>
      <c r="QX124" s="33"/>
      <c r="QY124" s="33"/>
      <c r="QZ124" s="33"/>
      <c r="RA124" s="33"/>
      <c r="RB124" s="33"/>
      <c r="RC124" s="33"/>
      <c r="RD124" s="33"/>
      <c r="RE124" s="33"/>
      <c r="RF124" s="33"/>
      <c r="RG124" s="33"/>
      <c r="RH124" s="33"/>
      <c r="RI124" s="33"/>
      <c r="RJ124" s="33"/>
      <c r="RK124" s="33"/>
      <c r="RL124" s="33"/>
      <c r="RM124" s="33"/>
      <c r="RN124" s="33"/>
      <c r="RO124" s="33"/>
      <c r="RP124" s="33"/>
      <c r="RQ124" s="33"/>
      <c r="RR124" s="33"/>
      <c r="RS124" s="33"/>
      <c r="RT124" s="33"/>
      <c r="RU124" s="33"/>
      <c r="RV124" s="33"/>
      <c r="RW124" s="33"/>
      <c r="RX124" s="33"/>
      <c r="RY124" s="33"/>
      <c r="RZ124" s="33"/>
      <c r="SA124" s="33"/>
      <c r="SB124" s="33"/>
      <c r="SC124" s="33"/>
      <c r="SD124" s="33"/>
      <c r="SE124" s="33"/>
      <c r="SF124" s="33"/>
      <c r="SG124" s="33"/>
      <c r="SH124" s="33"/>
      <c r="SI124" s="33"/>
      <c r="SJ124" s="33"/>
      <c r="SK124" s="33"/>
      <c r="SL124" s="33"/>
      <c r="SM124" s="33"/>
      <c r="SN124" s="33"/>
      <c r="SO124" s="33"/>
      <c r="SP124" s="33"/>
      <c r="SQ124" s="33"/>
      <c r="SR124" s="33"/>
      <c r="SS124" s="33"/>
      <c r="ST124" s="33"/>
      <c r="SU124" s="33"/>
      <c r="SV124" s="33"/>
      <c r="SW124" s="33"/>
      <c r="SX124" s="33"/>
      <c r="SY124" s="33"/>
      <c r="SZ124" s="33"/>
      <c r="TA124" s="33"/>
      <c r="TB124" s="33"/>
      <c r="TC124" s="33"/>
      <c r="TD124" s="33"/>
      <c r="TE124" s="33"/>
      <c r="TF124" s="33"/>
      <c r="TG124" s="33"/>
    </row>
    <row r="125" spans="1:527" s="34" customFormat="1" ht="47.25" hidden="1" customHeight="1" x14ac:dyDescent="0.25">
      <c r="A125" s="100"/>
      <c r="B125" s="113"/>
      <c r="C125" s="113"/>
      <c r="D125" s="81" t="s">
        <v>393</v>
      </c>
      <c r="E125" s="102">
        <f>E133+E143</f>
        <v>0</v>
      </c>
      <c r="F125" s="102">
        <f t="shared" ref="F125:P125" si="48">F133+F143</f>
        <v>0</v>
      </c>
      <c r="G125" s="102">
        <f t="shared" si="48"/>
        <v>0</v>
      </c>
      <c r="H125" s="102">
        <f t="shared" si="48"/>
        <v>0</v>
      </c>
      <c r="I125" s="102">
        <f t="shared" si="48"/>
        <v>0</v>
      </c>
      <c r="J125" s="102">
        <f t="shared" si="48"/>
        <v>0</v>
      </c>
      <c r="K125" s="102">
        <f t="shared" si="48"/>
        <v>0</v>
      </c>
      <c r="L125" s="102">
        <f t="shared" si="48"/>
        <v>0</v>
      </c>
      <c r="M125" s="102">
        <f t="shared" si="48"/>
        <v>0</v>
      </c>
      <c r="N125" s="102">
        <f t="shared" si="48"/>
        <v>0</v>
      </c>
      <c r="O125" s="102">
        <f t="shared" si="48"/>
        <v>0</v>
      </c>
      <c r="P125" s="102">
        <f t="shared" si="48"/>
        <v>0</v>
      </c>
      <c r="Q125" s="188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  <c r="IU125" s="33"/>
      <c r="IV125" s="33"/>
      <c r="IW125" s="33"/>
      <c r="IX125" s="33"/>
      <c r="IY125" s="33"/>
      <c r="IZ125" s="33"/>
      <c r="JA125" s="33"/>
      <c r="JB125" s="33"/>
      <c r="JC125" s="33"/>
      <c r="JD125" s="33"/>
      <c r="JE125" s="33"/>
      <c r="JF125" s="33"/>
      <c r="JG125" s="33"/>
      <c r="JH125" s="33"/>
      <c r="JI125" s="33"/>
      <c r="JJ125" s="33"/>
      <c r="JK125" s="33"/>
      <c r="JL125" s="33"/>
      <c r="JM125" s="33"/>
      <c r="JN125" s="33"/>
      <c r="JO125" s="33"/>
      <c r="JP125" s="33"/>
      <c r="JQ125" s="33"/>
      <c r="JR125" s="33"/>
      <c r="JS125" s="33"/>
      <c r="JT125" s="33"/>
      <c r="JU125" s="33"/>
      <c r="JV125" s="33"/>
      <c r="JW125" s="33"/>
      <c r="JX125" s="33"/>
      <c r="JY125" s="33"/>
      <c r="JZ125" s="33"/>
      <c r="KA125" s="33"/>
      <c r="KB125" s="33"/>
      <c r="KC125" s="33"/>
      <c r="KD125" s="33"/>
      <c r="KE125" s="33"/>
      <c r="KF125" s="33"/>
      <c r="KG125" s="33"/>
      <c r="KH125" s="33"/>
      <c r="KI125" s="33"/>
      <c r="KJ125" s="33"/>
      <c r="KK125" s="33"/>
      <c r="KL125" s="33"/>
      <c r="KM125" s="33"/>
      <c r="KN125" s="33"/>
      <c r="KO125" s="33"/>
      <c r="KP125" s="33"/>
      <c r="KQ125" s="33"/>
      <c r="KR125" s="33"/>
      <c r="KS125" s="33"/>
      <c r="KT125" s="33"/>
      <c r="KU125" s="33"/>
      <c r="KV125" s="33"/>
      <c r="KW125" s="33"/>
      <c r="KX125" s="33"/>
      <c r="KY125" s="33"/>
      <c r="KZ125" s="33"/>
      <c r="LA125" s="33"/>
      <c r="LB125" s="33"/>
      <c r="LC125" s="33"/>
      <c r="LD125" s="33"/>
      <c r="LE125" s="33"/>
      <c r="LF125" s="33"/>
      <c r="LG125" s="33"/>
      <c r="LH125" s="33"/>
      <c r="LI125" s="33"/>
      <c r="LJ125" s="33"/>
      <c r="LK125" s="33"/>
      <c r="LL125" s="33"/>
      <c r="LM125" s="33"/>
      <c r="LN125" s="33"/>
      <c r="LO125" s="33"/>
      <c r="LP125" s="33"/>
      <c r="LQ125" s="33"/>
      <c r="LR125" s="33"/>
      <c r="LS125" s="33"/>
      <c r="LT125" s="33"/>
      <c r="LU125" s="33"/>
      <c r="LV125" s="33"/>
      <c r="LW125" s="33"/>
      <c r="LX125" s="33"/>
      <c r="LY125" s="33"/>
      <c r="LZ125" s="33"/>
      <c r="MA125" s="33"/>
      <c r="MB125" s="33"/>
      <c r="MC125" s="33"/>
      <c r="MD125" s="33"/>
      <c r="ME125" s="33"/>
      <c r="MF125" s="33"/>
      <c r="MG125" s="33"/>
      <c r="MH125" s="33"/>
      <c r="MI125" s="33"/>
      <c r="MJ125" s="33"/>
      <c r="MK125" s="33"/>
      <c r="ML125" s="33"/>
      <c r="MM125" s="33"/>
      <c r="MN125" s="33"/>
      <c r="MO125" s="33"/>
      <c r="MP125" s="33"/>
      <c r="MQ125" s="33"/>
      <c r="MR125" s="33"/>
      <c r="MS125" s="33"/>
      <c r="MT125" s="33"/>
      <c r="MU125" s="33"/>
      <c r="MV125" s="33"/>
      <c r="MW125" s="33"/>
      <c r="MX125" s="33"/>
      <c r="MY125" s="33"/>
      <c r="MZ125" s="33"/>
      <c r="NA125" s="33"/>
      <c r="NB125" s="33"/>
      <c r="NC125" s="33"/>
      <c r="ND125" s="33"/>
      <c r="NE125" s="33"/>
      <c r="NF125" s="33"/>
      <c r="NG125" s="33"/>
      <c r="NH125" s="33"/>
      <c r="NI125" s="33"/>
      <c r="NJ125" s="33"/>
      <c r="NK125" s="33"/>
      <c r="NL125" s="33"/>
      <c r="NM125" s="33"/>
      <c r="NN125" s="33"/>
      <c r="NO125" s="33"/>
      <c r="NP125" s="33"/>
      <c r="NQ125" s="33"/>
      <c r="NR125" s="33"/>
      <c r="NS125" s="33"/>
      <c r="NT125" s="33"/>
      <c r="NU125" s="33"/>
      <c r="NV125" s="33"/>
      <c r="NW125" s="33"/>
      <c r="NX125" s="33"/>
      <c r="NY125" s="33"/>
      <c r="NZ125" s="33"/>
      <c r="OA125" s="33"/>
      <c r="OB125" s="33"/>
      <c r="OC125" s="33"/>
      <c r="OD125" s="33"/>
      <c r="OE125" s="33"/>
      <c r="OF125" s="33"/>
      <c r="OG125" s="33"/>
      <c r="OH125" s="33"/>
      <c r="OI125" s="33"/>
      <c r="OJ125" s="33"/>
      <c r="OK125" s="33"/>
      <c r="OL125" s="33"/>
      <c r="OM125" s="33"/>
      <c r="ON125" s="33"/>
      <c r="OO125" s="33"/>
      <c r="OP125" s="33"/>
      <c r="OQ125" s="33"/>
      <c r="OR125" s="33"/>
      <c r="OS125" s="33"/>
      <c r="OT125" s="33"/>
      <c r="OU125" s="33"/>
      <c r="OV125" s="33"/>
      <c r="OW125" s="33"/>
      <c r="OX125" s="33"/>
      <c r="OY125" s="33"/>
      <c r="OZ125" s="33"/>
      <c r="PA125" s="33"/>
      <c r="PB125" s="33"/>
      <c r="PC125" s="33"/>
      <c r="PD125" s="33"/>
      <c r="PE125" s="33"/>
      <c r="PF125" s="33"/>
      <c r="PG125" s="33"/>
      <c r="PH125" s="33"/>
      <c r="PI125" s="33"/>
      <c r="PJ125" s="33"/>
      <c r="PK125" s="33"/>
      <c r="PL125" s="33"/>
      <c r="PM125" s="33"/>
      <c r="PN125" s="33"/>
      <c r="PO125" s="33"/>
      <c r="PP125" s="33"/>
      <c r="PQ125" s="33"/>
      <c r="PR125" s="33"/>
      <c r="PS125" s="33"/>
      <c r="PT125" s="33"/>
      <c r="PU125" s="33"/>
      <c r="PV125" s="33"/>
      <c r="PW125" s="33"/>
      <c r="PX125" s="33"/>
      <c r="PY125" s="33"/>
      <c r="PZ125" s="33"/>
      <c r="QA125" s="33"/>
      <c r="QB125" s="33"/>
      <c r="QC125" s="33"/>
      <c r="QD125" s="33"/>
      <c r="QE125" s="33"/>
      <c r="QF125" s="33"/>
      <c r="QG125" s="33"/>
      <c r="QH125" s="33"/>
      <c r="QI125" s="33"/>
      <c r="QJ125" s="33"/>
      <c r="QK125" s="33"/>
      <c r="QL125" s="33"/>
      <c r="QM125" s="33"/>
      <c r="QN125" s="33"/>
      <c r="QO125" s="33"/>
      <c r="QP125" s="33"/>
      <c r="QQ125" s="33"/>
      <c r="QR125" s="33"/>
      <c r="QS125" s="33"/>
      <c r="QT125" s="33"/>
      <c r="QU125" s="33"/>
      <c r="QV125" s="33"/>
      <c r="QW125" s="33"/>
      <c r="QX125" s="33"/>
      <c r="QY125" s="33"/>
      <c r="QZ125" s="33"/>
      <c r="RA125" s="33"/>
      <c r="RB125" s="33"/>
      <c r="RC125" s="33"/>
      <c r="RD125" s="33"/>
      <c r="RE125" s="33"/>
      <c r="RF125" s="33"/>
      <c r="RG125" s="33"/>
      <c r="RH125" s="33"/>
      <c r="RI125" s="33"/>
      <c r="RJ125" s="33"/>
      <c r="RK125" s="33"/>
      <c r="RL125" s="33"/>
      <c r="RM125" s="33"/>
      <c r="RN125" s="33"/>
      <c r="RO125" s="33"/>
      <c r="RP125" s="33"/>
      <c r="RQ125" s="33"/>
      <c r="RR125" s="33"/>
      <c r="RS125" s="33"/>
      <c r="RT125" s="33"/>
      <c r="RU125" s="33"/>
      <c r="RV125" s="33"/>
      <c r="RW125" s="33"/>
      <c r="RX125" s="33"/>
      <c r="RY125" s="33"/>
      <c r="RZ125" s="33"/>
      <c r="SA125" s="33"/>
      <c r="SB125" s="33"/>
      <c r="SC125" s="33"/>
      <c r="SD125" s="33"/>
      <c r="SE125" s="33"/>
      <c r="SF125" s="33"/>
      <c r="SG125" s="33"/>
      <c r="SH125" s="33"/>
      <c r="SI125" s="33"/>
      <c r="SJ125" s="33"/>
      <c r="SK125" s="33"/>
      <c r="SL125" s="33"/>
      <c r="SM125" s="33"/>
      <c r="SN125" s="33"/>
      <c r="SO125" s="33"/>
      <c r="SP125" s="33"/>
      <c r="SQ125" s="33"/>
      <c r="SR125" s="33"/>
      <c r="SS125" s="33"/>
      <c r="ST125" s="33"/>
      <c r="SU125" s="33"/>
      <c r="SV125" s="33"/>
      <c r="SW125" s="33"/>
      <c r="SX125" s="33"/>
      <c r="SY125" s="33"/>
      <c r="SZ125" s="33"/>
      <c r="TA125" s="33"/>
      <c r="TB125" s="33"/>
      <c r="TC125" s="33"/>
      <c r="TD125" s="33"/>
      <c r="TE125" s="33"/>
      <c r="TF125" s="33"/>
      <c r="TG125" s="33"/>
    </row>
    <row r="126" spans="1:527" s="34" customFormat="1" ht="15.75" hidden="1" customHeight="1" x14ac:dyDescent="0.25">
      <c r="A126" s="100"/>
      <c r="B126" s="113"/>
      <c r="C126" s="113"/>
      <c r="D126" s="81" t="s">
        <v>395</v>
      </c>
      <c r="E126" s="102">
        <f>E134</f>
        <v>0</v>
      </c>
      <c r="F126" s="102">
        <f t="shared" ref="F126:P126" si="49">F134</f>
        <v>0</v>
      </c>
      <c r="G126" s="102">
        <f t="shared" si="49"/>
        <v>0</v>
      </c>
      <c r="H126" s="102">
        <f t="shared" si="49"/>
        <v>0</v>
      </c>
      <c r="I126" s="102">
        <f t="shared" si="49"/>
        <v>0</v>
      </c>
      <c r="J126" s="102">
        <f t="shared" si="49"/>
        <v>0</v>
      </c>
      <c r="K126" s="102">
        <f t="shared" si="49"/>
        <v>0</v>
      </c>
      <c r="L126" s="102">
        <f t="shared" si="49"/>
        <v>0</v>
      </c>
      <c r="M126" s="102">
        <f t="shared" si="49"/>
        <v>0</v>
      </c>
      <c r="N126" s="102">
        <f t="shared" si="49"/>
        <v>0</v>
      </c>
      <c r="O126" s="102">
        <f t="shared" si="49"/>
        <v>0</v>
      </c>
      <c r="P126" s="102">
        <f t="shared" si="49"/>
        <v>0</v>
      </c>
      <c r="Q126" s="188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  <c r="IU126" s="33"/>
      <c r="IV126" s="33"/>
      <c r="IW126" s="33"/>
      <c r="IX126" s="33"/>
      <c r="IY126" s="33"/>
      <c r="IZ126" s="33"/>
      <c r="JA126" s="33"/>
      <c r="JB126" s="33"/>
      <c r="JC126" s="33"/>
      <c r="JD126" s="33"/>
      <c r="JE126" s="33"/>
      <c r="JF126" s="33"/>
      <c r="JG126" s="33"/>
      <c r="JH126" s="33"/>
      <c r="JI126" s="33"/>
      <c r="JJ126" s="33"/>
      <c r="JK126" s="33"/>
      <c r="JL126" s="33"/>
      <c r="JM126" s="33"/>
      <c r="JN126" s="33"/>
      <c r="JO126" s="33"/>
      <c r="JP126" s="33"/>
      <c r="JQ126" s="33"/>
      <c r="JR126" s="33"/>
      <c r="JS126" s="33"/>
      <c r="JT126" s="33"/>
      <c r="JU126" s="33"/>
      <c r="JV126" s="33"/>
      <c r="JW126" s="33"/>
      <c r="JX126" s="33"/>
      <c r="JY126" s="33"/>
      <c r="JZ126" s="33"/>
      <c r="KA126" s="33"/>
      <c r="KB126" s="33"/>
      <c r="KC126" s="33"/>
      <c r="KD126" s="33"/>
      <c r="KE126" s="33"/>
      <c r="KF126" s="33"/>
      <c r="KG126" s="33"/>
      <c r="KH126" s="33"/>
      <c r="KI126" s="33"/>
      <c r="KJ126" s="33"/>
      <c r="KK126" s="33"/>
      <c r="KL126" s="33"/>
      <c r="KM126" s="33"/>
      <c r="KN126" s="33"/>
      <c r="KO126" s="33"/>
      <c r="KP126" s="33"/>
      <c r="KQ126" s="33"/>
      <c r="KR126" s="33"/>
      <c r="KS126" s="33"/>
      <c r="KT126" s="33"/>
      <c r="KU126" s="33"/>
      <c r="KV126" s="33"/>
      <c r="KW126" s="33"/>
      <c r="KX126" s="33"/>
      <c r="KY126" s="33"/>
      <c r="KZ126" s="33"/>
      <c r="LA126" s="33"/>
      <c r="LB126" s="33"/>
      <c r="LC126" s="33"/>
      <c r="LD126" s="33"/>
      <c r="LE126" s="33"/>
      <c r="LF126" s="33"/>
      <c r="LG126" s="33"/>
      <c r="LH126" s="33"/>
      <c r="LI126" s="33"/>
      <c r="LJ126" s="33"/>
      <c r="LK126" s="33"/>
      <c r="LL126" s="33"/>
      <c r="LM126" s="33"/>
      <c r="LN126" s="33"/>
      <c r="LO126" s="33"/>
      <c r="LP126" s="33"/>
      <c r="LQ126" s="33"/>
      <c r="LR126" s="33"/>
      <c r="LS126" s="33"/>
      <c r="LT126" s="33"/>
      <c r="LU126" s="33"/>
      <c r="LV126" s="33"/>
      <c r="LW126" s="33"/>
      <c r="LX126" s="33"/>
      <c r="LY126" s="33"/>
      <c r="LZ126" s="33"/>
      <c r="MA126" s="33"/>
      <c r="MB126" s="33"/>
      <c r="MC126" s="33"/>
      <c r="MD126" s="33"/>
      <c r="ME126" s="33"/>
      <c r="MF126" s="33"/>
      <c r="MG126" s="33"/>
      <c r="MH126" s="33"/>
      <c r="MI126" s="33"/>
      <c r="MJ126" s="33"/>
      <c r="MK126" s="33"/>
      <c r="ML126" s="33"/>
      <c r="MM126" s="33"/>
      <c r="MN126" s="33"/>
      <c r="MO126" s="33"/>
      <c r="MP126" s="33"/>
      <c r="MQ126" s="33"/>
      <c r="MR126" s="33"/>
      <c r="MS126" s="33"/>
      <c r="MT126" s="33"/>
      <c r="MU126" s="33"/>
      <c r="MV126" s="33"/>
      <c r="MW126" s="33"/>
      <c r="MX126" s="33"/>
      <c r="MY126" s="33"/>
      <c r="MZ126" s="33"/>
      <c r="NA126" s="33"/>
      <c r="NB126" s="33"/>
      <c r="NC126" s="33"/>
      <c r="ND126" s="33"/>
      <c r="NE126" s="33"/>
      <c r="NF126" s="33"/>
      <c r="NG126" s="33"/>
      <c r="NH126" s="33"/>
      <c r="NI126" s="33"/>
      <c r="NJ126" s="33"/>
      <c r="NK126" s="33"/>
      <c r="NL126" s="33"/>
      <c r="NM126" s="33"/>
      <c r="NN126" s="33"/>
      <c r="NO126" s="33"/>
      <c r="NP126" s="33"/>
      <c r="NQ126" s="33"/>
      <c r="NR126" s="33"/>
      <c r="NS126" s="33"/>
      <c r="NT126" s="33"/>
      <c r="NU126" s="33"/>
      <c r="NV126" s="33"/>
      <c r="NW126" s="33"/>
      <c r="NX126" s="33"/>
      <c r="NY126" s="33"/>
      <c r="NZ126" s="33"/>
      <c r="OA126" s="33"/>
      <c r="OB126" s="33"/>
      <c r="OC126" s="33"/>
      <c r="OD126" s="33"/>
      <c r="OE126" s="33"/>
      <c r="OF126" s="33"/>
      <c r="OG126" s="33"/>
      <c r="OH126" s="33"/>
      <c r="OI126" s="33"/>
      <c r="OJ126" s="33"/>
      <c r="OK126" s="33"/>
      <c r="OL126" s="33"/>
      <c r="OM126" s="33"/>
      <c r="ON126" s="33"/>
      <c r="OO126" s="33"/>
      <c r="OP126" s="33"/>
      <c r="OQ126" s="33"/>
      <c r="OR126" s="33"/>
      <c r="OS126" s="33"/>
      <c r="OT126" s="33"/>
      <c r="OU126" s="33"/>
      <c r="OV126" s="33"/>
      <c r="OW126" s="33"/>
      <c r="OX126" s="33"/>
      <c r="OY126" s="33"/>
      <c r="OZ126" s="33"/>
      <c r="PA126" s="33"/>
      <c r="PB126" s="33"/>
      <c r="PC126" s="33"/>
      <c r="PD126" s="33"/>
      <c r="PE126" s="33"/>
      <c r="PF126" s="33"/>
      <c r="PG126" s="33"/>
      <c r="PH126" s="33"/>
      <c r="PI126" s="33"/>
      <c r="PJ126" s="33"/>
      <c r="PK126" s="33"/>
      <c r="PL126" s="33"/>
      <c r="PM126" s="33"/>
      <c r="PN126" s="33"/>
      <c r="PO126" s="33"/>
      <c r="PP126" s="33"/>
      <c r="PQ126" s="33"/>
      <c r="PR126" s="33"/>
      <c r="PS126" s="33"/>
      <c r="PT126" s="33"/>
      <c r="PU126" s="33"/>
      <c r="PV126" s="33"/>
      <c r="PW126" s="33"/>
      <c r="PX126" s="33"/>
      <c r="PY126" s="33"/>
      <c r="PZ126" s="33"/>
      <c r="QA126" s="33"/>
      <c r="QB126" s="33"/>
      <c r="QC126" s="33"/>
      <c r="QD126" s="33"/>
      <c r="QE126" s="33"/>
      <c r="QF126" s="33"/>
      <c r="QG126" s="33"/>
      <c r="QH126" s="33"/>
      <c r="QI126" s="33"/>
      <c r="QJ126" s="33"/>
      <c r="QK126" s="33"/>
      <c r="QL126" s="33"/>
      <c r="QM126" s="33"/>
      <c r="QN126" s="33"/>
      <c r="QO126" s="33"/>
      <c r="QP126" s="33"/>
      <c r="QQ126" s="33"/>
      <c r="QR126" s="33"/>
      <c r="QS126" s="33"/>
      <c r="QT126" s="33"/>
      <c r="QU126" s="33"/>
      <c r="QV126" s="33"/>
      <c r="QW126" s="33"/>
      <c r="QX126" s="33"/>
      <c r="QY126" s="33"/>
      <c r="QZ126" s="33"/>
      <c r="RA126" s="33"/>
      <c r="RB126" s="33"/>
      <c r="RC126" s="33"/>
      <c r="RD126" s="33"/>
      <c r="RE126" s="33"/>
      <c r="RF126" s="33"/>
      <c r="RG126" s="33"/>
      <c r="RH126" s="33"/>
      <c r="RI126" s="33"/>
      <c r="RJ126" s="33"/>
      <c r="RK126" s="33"/>
      <c r="RL126" s="33"/>
      <c r="RM126" s="33"/>
      <c r="RN126" s="33"/>
      <c r="RO126" s="33"/>
      <c r="RP126" s="33"/>
      <c r="RQ126" s="33"/>
      <c r="RR126" s="33"/>
      <c r="RS126" s="33"/>
      <c r="RT126" s="33"/>
      <c r="RU126" s="33"/>
      <c r="RV126" s="33"/>
      <c r="RW126" s="33"/>
      <c r="RX126" s="33"/>
      <c r="RY126" s="33"/>
      <c r="RZ126" s="33"/>
      <c r="SA126" s="33"/>
      <c r="SB126" s="33"/>
      <c r="SC126" s="33"/>
      <c r="SD126" s="33"/>
      <c r="SE126" s="33"/>
      <c r="SF126" s="33"/>
      <c r="SG126" s="33"/>
      <c r="SH126" s="33"/>
      <c r="SI126" s="33"/>
      <c r="SJ126" s="33"/>
      <c r="SK126" s="33"/>
      <c r="SL126" s="33"/>
      <c r="SM126" s="33"/>
      <c r="SN126" s="33"/>
      <c r="SO126" s="33"/>
      <c r="SP126" s="33"/>
      <c r="SQ126" s="33"/>
      <c r="SR126" s="33"/>
      <c r="SS126" s="33"/>
      <c r="ST126" s="33"/>
      <c r="SU126" s="33"/>
      <c r="SV126" s="33"/>
      <c r="SW126" s="33"/>
      <c r="SX126" s="33"/>
      <c r="SY126" s="33"/>
      <c r="SZ126" s="33"/>
      <c r="TA126" s="33"/>
      <c r="TB126" s="33"/>
      <c r="TC126" s="33"/>
      <c r="TD126" s="33"/>
      <c r="TE126" s="33"/>
      <c r="TF126" s="33"/>
      <c r="TG126" s="33"/>
    </row>
    <row r="127" spans="1:527" s="34" customFormat="1" ht="63" x14ac:dyDescent="0.25">
      <c r="A127" s="100"/>
      <c r="B127" s="113"/>
      <c r="C127" s="113"/>
      <c r="D127" s="81" t="s">
        <v>394</v>
      </c>
      <c r="E127" s="102">
        <f>E141+E144</f>
        <v>11403700</v>
      </c>
      <c r="F127" s="102">
        <f t="shared" ref="F127:P127" si="50">F141+F144</f>
        <v>11403700</v>
      </c>
      <c r="G127" s="102">
        <f t="shared" si="50"/>
        <v>0</v>
      </c>
      <c r="H127" s="102">
        <f t="shared" si="50"/>
        <v>0</v>
      </c>
      <c r="I127" s="102">
        <f t="shared" si="50"/>
        <v>0</v>
      </c>
      <c r="J127" s="102">
        <f t="shared" si="50"/>
        <v>0</v>
      </c>
      <c r="K127" s="102">
        <f>K141+K144</f>
        <v>0</v>
      </c>
      <c r="L127" s="102">
        <f t="shared" si="50"/>
        <v>0</v>
      </c>
      <c r="M127" s="102">
        <f t="shared" si="50"/>
        <v>0</v>
      </c>
      <c r="N127" s="102">
        <f t="shared" si="50"/>
        <v>0</v>
      </c>
      <c r="O127" s="102">
        <f t="shared" si="50"/>
        <v>0</v>
      </c>
      <c r="P127" s="102">
        <f t="shared" si="50"/>
        <v>11403700</v>
      </c>
      <c r="Q127" s="188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  <c r="IU127" s="33"/>
      <c r="IV127" s="33"/>
      <c r="IW127" s="33"/>
      <c r="IX127" s="33"/>
      <c r="IY127" s="33"/>
      <c r="IZ127" s="33"/>
      <c r="JA127" s="33"/>
      <c r="JB127" s="33"/>
      <c r="JC127" s="33"/>
      <c r="JD127" s="33"/>
      <c r="JE127" s="33"/>
      <c r="JF127" s="33"/>
      <c r="JG127" s="33"/>
      <c r="JH127" s="33"/>
      <c r="JI127" s="33"/>
      <c r="JJ127" s="33"/>
      <c r="JK127" s="33"/>
      <c r="JL127" s="33"/>
      <c r="JM127" s="33"/>
      <c r="JN127" s="33"/>
      <c r="JO127" s="33"/>
      <c r="JP127" s="33"/>
      <c r="JQ127" s="33"/>
      <c r="JR127" s="33"/>
      <c r="JS127" s="33"/>
      <c r="JT127" s="33"/>
      <c r="JU127" s="33"/>
      <c r="JV127" s="33"/>
      <c r="JW127" s="33"/>
      <c r="JX127" s="33"/>
      <c r="JY127" s="33"/>
      <c r="JZ127" s="33"/>
      <c r="KA127" s="33"/>
      <c r="KB127" s="33"/>
      <c r="KC127" s="33"/>
      <c r="KD127" s="33"/>
      <c r="KE127" s="33"/>
      <c r="KF127" s="33"/>
      <c r="KG127" s="33"/>
      <c r="KH127" s="33"/>
      <c r="KI127" s="33"/>
      <c r="KJ127" s="33"/>
      <c r="KK127" s="33"/>
      <c r="KL127" s="33"/>
      <c r="KM127" s="33"/>
      <c r="KN127" s="33"/>
      <c r="KO127" s="33"/>
      <c r="KP127" s="33"/>
      <c r="KQ127" s="33"/>
      <c r="KR127" s="33"/>
      <c r="KS127" s="33"/>
      <c r="KT127" s="33"/>
      <c r="KU127" s="33"/>
      <c r="KV127" s="33"/>
      <c r="KW127" s="33"/>
      <c r="KX127" s="33"/>
      <c r="KY127" s="33"/>
      <c r="KZ127" s="33"/>
      <c r="LA127" s="33"/>
      <c r="LB127" s="33"/>
      <c r="LC127" s="33"/>
      <c r="LD127" s="33"/>
      <c r="LE127" s="33"/>
      <c r="LF127" s="33"/>
      <c r="LG127" s="33"/>
      <c r="LH127" s="33"/>
      <c r="LI127" s="33"/>
      <c r="LJ127" s="33"/>
      <c r="LK127" s="33"/>
      <c r="LL127" s="33"/>
      <c r="LM127" s="33"/>
      <c r="LN127" s="33"/>
      <c r="LO127" s="33"/>
      <c r="LP127" s="33"/>
      <c r="LQ127" s="33"/>
      <c r="LR127" s="33"/>
      <c r="LS127" s="33"/>
      <c r="LT127" s="33"/>
      <c r="LU127" s="33"/>
      <c r="LV127" s="33"/>
      <c r="LW127" s="33"/>
      <c r="LX127" s="33"/>
      <c r="LY127" s="33"/>
      <c r="LZ127" s="33"/>
      <c r="MA127" s="33"/>
      <c r="MB127" s="33"/>
      <c r="MC127" s="33"/>
      <c r="MD127" s="33"/>
      <c r="ME127" s="33"/>
      <c r="MF127" s="33"/>
      <c r="MG127" s="33"/>
      <c r="MH127" s="33"/>
      <c r="MI127" s="33"/>
      <c r="MJ127" s="33"/>
      <c r="MK127" s="33"/>
      <c r="ML127" s="33"/>
      <c r="MM127" s="33"/>
      <c r="MN127" s="33"/>
      <c r="MO127" s="33"/>
      <c r="MP127" s="33"/>
      <c r="MQ127" s="33"/>
      <c r="MR127" s="33"/>
      <c r="MS127" s="33"/>
      <c r="MT127" s="33"/>
      <c r="MU127" s="33"/>
      <c r="MV127" s="33"/>
      <c r="MW127" s="33"/>
      <c r="MX127" s="33"/>
      <c r="MY127" s="33"/>
      <c r="MZ127" s="33"/>
      <c r="NA127" s="33"/>
      <c r="NB127" s="33"/>
      <c r="NC127" s="33"/>
      <c r="ND127" s="33"/>
      <c r="NE127" s="33"/>
      <c r="NF127" s="33"/>
      <c r="NG127" s="33"/>
      <c r="NH127" s="33"/>
      <c r="NI127" s="33"/>
      <c r="NJ127" s="33"/>
      <c r="NK127" s="33"/>
      <c r="NL127" s="33"/>
      <c r="NM127" s="33"/>
      <c r="NN127" s="33"/>
      <c r="NO127" s="33"/>
      <c r="NP127" s="33"/>
      <c r="NQ127" s="33"/>
      <c r="NR127" s="33"/>
      <c r="NS127" s="33"/>
      <c r="NT127" s="33"/>
      <c r="NU127" s="33"/>
      <c r="NV127" s="33"/>
      <c r="NW127" s="33"/>
      <c r="NX127" s="33"/>
      <c r="NY127" s="33"/>
      <c r="NZ127" s="33"/>
      <c r="OA127" s="33"/>
      <c r="OB127" s="33"/>
      <c r="OC127" s="33"/>
      <c r="OD127" s="33"/>
      <c r="OE127" s="33"/>
      <c r="OF127" s="33"/>
      <c r="OG127" s="33"/>
      <c r="OH127" s="33"/>
      <c r="OI127" s="33"/>
      <c r="OJ127" s="33"/>
      <c r="OK127" s="33"/>
      <c r="OL127" s="33"/>
      <c r="OM127" s="33"/>
      <c r="ON127" s="33"/>
      <c r="OO127" s="33"/>
      <c r="OP127" s="33"/>
      <c r="OQ127" s="33"/>
      <c r="OR127" s="33"/>
      <c r="OS127" s="33"/>
      <c r="OT127" s="33"/>
      <c r="OU127" s="33"/>
      <c r="OV127" s="33"/>
      <c r="OW127" s="33"/>
      <c r="OX127" s="33"/>
      <c r="OY127" s="33"/>
      <c r="OZ127" s="33"/>
      <c r="PA127" s="33"/>
      <c r="PB127" s="33"/>
      <c r="PC127" s="33"/>
      <c r="PD127" s="33"/>
      <c r="PE127" s="33"/>
      <c r="PF127" s="33"/>
      <c r="PG127" s="33"/>
      <c r="PH127" s="33"/>
      <c r="PI127" s="33"/>
      <c r="PJ127" s="33"/>
      <c r="PK127" s="33"/>
      <c r="PL127" s="33"/>
      <c r="PM127" s="33"/>
      <c r="PN127" s="33"/>
      <c r="PO127" s="33"/>
      <c r="PP127" s="33"/>
      <c r="PQ127" s="33"/>
      <c r="PR127" s="33"/>
      <c r="PS127" s="33"/>
      <c r="PT127" s="33"/>
      <c r="PU127" s="33"/>
      <c r="PV127" s="33"/>
      <c r="PW127" s="33"/>
      <c r="PX127" s="33"/>
      <c r="PY127" s="33"/>
      <c r="PZ127" s="33"/>
      <c r="QA127" s="33"/>
      <c r="QB127" s="33"/>
      <c r="QC127" s="33"/>
      <c r="QD127" s="33"/>
      <c r="QE127" s="33"/>
      <c r="QF127" s="33"/>
      <c r="QG127" s="33"/>
      <c r="QH127" s="33"/>
      <c r="QI127" s="33"/>
      <c r="QJ127" s="33"/>
      <c r="QK127" s="33"/>
      <c r="QL127" s="33"/>
      <c r="QM127" s="33"/>
      <c r="QN127" s="33"/>
      <c r="QO127" s="33"/>
      <c r="QP127" s="33"/>
      <c r="QQ127" s="33"/>
      <c r="QR127" s="33"/>
      <c r="QS127" s="33"/>
      <c r="QT127" s="33"/>
      <c r="QU127" s="33"/>
      <c r="QV127" s="33"/>
      <c r="QW127" s="33"/>
      <c r="QX127" s="33"/>
      <c r="QY127" s="33"/>
      <c r="QZ127" s="33"/>
      <c r="RA127" s="33"/>
      <c r="RB127" s="33"/>
      <c r="RC127" s="33"/>
      <c r="RD127" s="33"/>
      <c r="RE127" s="33"/>
      <c r="RF127" s="33"/>
      <c r="RG127" s="33"/>
      <c r="RH127" s="33"/>
      <c r="RI127" s="33"/>
      <c r="RJ127" s="33"/>
      <c r="RK127" s="33"/>
      <c r="RL127" s="33"/>
      <c r="RM127" s="33"/>
      <c r="RN127" s="33"/>
      <c r="RO127" s="33"/>
      <c r="RP127" s="33"/>
      <c r="RQ127" s="33"/>
      <c r="RR127" s="33"/>
      <c r="RS127" s="33"/>
      <c r="RT127" s="33"/>
      <c r="RU127" s="33"/>
      <c r="RV127" s="33"/>
      <c r="RW127" s="33"/>
      <c r="RX127" s="33"/>
      <c r="RY127" s="33"/>
      <c r="RZ127" s="33"/>
      <c r="SA127" s="33"/>
      <c r="SB127" s="33"/>
      <c r="SC127" s="33"/>
      <c r="SD127" s="33"/>
      <c r="SE127" s="33"/>
      <c r="SF127" s="33"/>
      <c r="SG127" s="33"/>
      <c r="SH127" s="33"/>
      <c r="SI127" s="33"/>
      <c r="SJ127" s="33"/>
      <c r="SK127" s="33"/>
      <c r="SL127" s="33"/>
      <c r="SM127" s="33"/>
      <c r="SN127" s="33"/>
      <c r="SO127" s="33"/>
      <c r="SP127" s="33"/>
      <c r="SQ127" s="33"/>
      <c r="SR127" s="33"/>
      <c r="SS127" s="33"/>
      <c r="ST127" s="33"/>
      <c r="SU127" s="33"/>
      <c r="SV127" s="33"/>
      <c r="SW127" s="33"/>
      <c r="SX127" s="33"/>
      <c r="SY127" s="33"/>
      <c r="SZ127" s="33"/>
      <c r="TA127" s="33"/>
      <c r="TB127" s="33"/>
      <c r="TC127" s="33"/>
      <c r="TD127" s="33"/>
      <c r="TE127" s="33"/>
      <c r="TF127" s="33"/>
      <c r="TG127" s="33"/>
    </row>
    <row r="128" spans="1:527" s="34" customFormat="1" ht="49.5" customHeight="1" x14ac:dyDescent="0.25">
      <c r="A128" s="100"/>
      <c r="B128" s="113"/>
      <c r="C128" s="113"/>
      <c r="D128" s="81" t="s">
        <v>569</v>
      </c>
      <c r="E128" s="102">
        <f>E150</f>
        <v>0</v>
      </c>
      <c r="F128" s="102">
        <f t="shared" ref="F128:P128" si="51">F150</f>
        <v>0</v>
      </c>
      <c r="G128" s="102">
        <f t="shared" si="51"/>
        <v>0</v>
      </c>
      <c r="H128" s="102">
        <f t="shared" si="51"/>
        <v>0</v>
      </c>
      <c r="I128" s="102">
        <f t="shared" si="51"/>
        <v>0</v>
      </c>
      <c r="J128" s="102">
        <f t="shared" si="51"/>
        <v>156000</v>
      </c>
      <c r="K128" s="102">
        <f t="shared" si="51"/>
        <v>156000</v>
      </c>
      <c r="L128" s="102">
        <f t="shared" si="51"/>
        <v>0</v>
      </c>
      <c r="M128" s="102">
        <f t="shared" si="51"/>
        <v>0</v>
      </c>
      <c r="N128" s="102">
        <f t="shared" si="51"/>
        <v>0</v>
      </c>
      <c r="O128" s="102">
        <f t="shared" si="51"/>
        <v>156000</v>
      </c>
      <c r="P128" s="102">
        <f t="shared" si="51"/>
        <v>156000</v>
      </c>
      <c r="Q128" s="188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</row>
    <row r="129" spans="1:527" s="34" customFormat="1" ht="15.75" x14ac:dyDescent="0.25">
      <c r="A129" s="100"/>
      <c r="B129" s="113"/>
      <c r="C129" s="113"/>
      <c r="D129" s="87" t="s">
        <v>421</v>
      </c>
      <c r="E129" s="102">
        <f>E152</f>
        <v>0</v>
      </c>
      <c r="F129" s="102">
        <f t="shared" ref="F129:P129" si="52">F152</f>
        <v>0</v>
      </c>
      <c r="G129" s="102">
        <f t="shared" si="52"/>
        <v>0</v>
      </c>
      <c r="H129" s="102">
        <f t="shared" si="52"/>
        <v>0</v>
      </c>
      <c r="I129" s="102">
        <f t="shared" si="52"/>
        <v>0</v>
      </c>
      <c r="J129" s="102">
        <f t="shared" si="52"/>
        <v>4662070.12</v>
      </c>
      <c r="K129" s="102">
        <f t="shared" si="52"/>
        <v>4662070.12</v>
      </c>
      <c r="L129" s="102">
        <f t="shared" si="52"/>
        <v>0</v>
      </c>
      <c r="M129" s="102">
        <f t="shared" si="52"/>
        <v>0</v>
      </c>
      <c r="N129" s="102">
        <f t="shared" si="52"/>
        <v>0</v>
      </c>
      <c r="O129" s="102">
        <f t="shared" si="52"/>
        <v>4662070.12</v>
      </c>
      <c r="P129" s="102">
        <f t="shared" si="52"/>
        <v>4662070.12</v>
      </c>
      <c r="Q129" s="188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</row>
    <row r="130" spans="1:527" s="22" customFormat="1" ht="48" customHeight="1" x14ac:dyDescent="0.25">
      <c r="A130" s="60" t="s">
        <v>173</v>
      </c>
      <c r="B130" s="97" t="str">
        <f>'дод 5'!A20</f>
        <v>0160</v>
      </c>
      <c r="C130" s="97" t="str">
        <f>'дод 5'!B20</f>
        <v>0111</v>
      </c>
      <c r="D130" s="36" t="s">
        <v>503</v>
      </c>
      <c r="E130" s="103">
        <f t="shared" ref="E130:E154" si="53">F130+I130</f>
        <v>2555884</v>
      </c>
      <c r="F130" s="103">
        <f>2547700+2500+5684</f>
        <v>2555884</v>
      </c>
      <c r="G130" s="103">
        <v>1956200</v>
      </c>
      <c r="H130" s="103">
        <f>29900+5684</f>
        <v>35584</v>
      </c>
      <c r="I130" s="103"/>
      <c r="J130" s="103">
        <f>L130+O130</f>
        <v>600000</v>
      </c>
      <c r="K130" s="103">
        <v>600000</v>
      </c>
      <c r="L130" s="103"/>
      <c r="M130" s="103"/>
      <c r="N130" s="103"/>
      <c r="O130" s="103">
        <v>600000</v>
      </c>
      <c r="P130" s="103">
        <f t="shared" ref="P130:P154" si="54">E130+J130</f>
        <v>3155884</v>
      </c>
      <c r="Q130" s="188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  <c r="IU130" s="23"/>
      <c r="IV130" s="23"/>
      <c r="IW130" s="23"/>
      <c r="IX130" s="23"/>
      <c r="IY130" s="23"/>
      <c r="IZ130" s="23"/>
      <c r="JA130" s="23"/>
      <c r="JB130" s="23"/>
      <c r="JC130" s="23"/>
      <c r="JD130" s="23"/>
      <c r="JE130" s="23"/>
      <c r="JF130" s="23"/>
      <c r="JG130" s="23"/>
      <c r="JH130" s="23"/>
      <c r="JI130" s="23"/>
      <c r="JJ130" s="23"/>
      <c r="JK130" s="23"/>
      <c r="JL130" s="23"/>
      <c r="JM130" s="23"/>
      <c r="JN130" s="23"/>
      <c r="JO130" s="23"/>
      <c r="JP130" s="23"/>
      <c r="JQ130" s="23"/>
      <c r="JR130" s="23"/>
      <c r="JS130" s="23"/>
      <c r="JT130" s="23"/>
      <c r="JU130" s="23"/>
      <c r="JV130" s="23"/>
      <c r="JW130" s="23"/>
      <c r="JX130" s="23"/>
      <c r="JY130" s="23"/>
      <c r="JZ130" s="23"/>
      <c r="KA130" s="23"/>
      <c r="KB130" s="23"/>
      <c r="KC130" s="23"/>
      <c r="KD130" s="23"/>
      <c r="KE130" s="23"/>
      <c r="KF130" s="23"/>
      <c r="KG130" s="23"/>
      <c r="KH130" s="23"/>
      <c r="KI130" s="23"/>
      <c r="KJ130" s="23"/>
      <c r="KK130" s="23"/>
      <c r="KL130" s="23"/>
      <c r="KM130" s="23"/>
      <c r="KN130" s="23"/>
      <c r="KO130" s="23"/>
      <c r="KP130" s="23"/>
      <c r="KQ130" s="23"/>
      <c r="KR130" s="23"/>
      <c r="KS130" s="23"/>
      <c r="KT130" s="23"/>
      <c r="KU130" s="23"/>
      <c r="KV130" s="23"/>
      <c r="KW130" s="23"/>
      <c r="KX130" s="23"/>
      <c r="KY130" s="23"/>
      <c r="KZ130" s="23"/>
      <c r="LA130" s="23"/>
      <c r="LB130" s="23"/>
      <c r="LC130" s="23"/>
      <c r="LD130" s="23"/>
      <c r="LE130" s="23"/>
      <c r="LF130" s="23"/>
      <c r="LG130" s="23"/>
      <c r="LH130" s="23"/>
      <c r="LI130" s="23"/>
      <c r="LJ130" s="23"/>
      <c r="LK130" s="23"/>
      <c r="LL130" s="23"/>
      <c r="LM130" s="23"/>
      <c r="LN130" s="23"/>
      <c r="LO130" s="23"/>
      <c r="LP130" s="23"/>
      <c r="LQ130" s="23"/>
      <c r="LR130" s="23"/>
      <c r="LS130" s="23"/>
      <c r="LT130" s="23"/>
      <c r="LU130" s="23"/>
      <c r="LV130" s="23"/>
      <c r="LW130" s="23"/>
      <c r="LX130" s="23"/>
      <c r="LY130" s="23"/>
      <c r="LZ130" s="23"/>
      <c r="MA130" s="23"/>
      <c r="MB130" s="23"/>
      <c r="MC130" s="23"/>
      <c r="MD130" s="23"/>
      <c r="ME130" s="23"/>
      <c r="MF130" s="23"/>
      <c r="MG130" s="23"/>
      <c r="MH130" s="23"/>
      <c r="MI130" s="23"/>
      <c r="MJ130" s="23"/>
      <c r="MK130" s="23"/>
      <c r="ML130" s="23"/>
      <c r="MM130" s="23"/>
      <c r="MN130" s="23"/>
      <c r="MO130" s="23"/>
      <c r="MP130" s="23"/>
      <c r="MQ130" s="23"/>
      <c r="MR130" s="23"/>
      <c r="MS130" s="23"/>
      <c r="MT130" s="23"/>
      <c r="MU130" s="23"/>
      <c r="MV130" s="23"/>
      <c r="MW130" s="23"/>
      <c r="MX130" s="23"/>
      <c r="MY130" s="23"/>
      <c r="MZ130" s="23"/>
      <c r="NA130" s="23"/>
      <c r="NB130" s="23"/>
      <c r="NC130" s="23"/>
      <c r="ND130" s="23"/>
      <c r="NE130" s="23"/>
      <c r="NF130" s="23"/>
      <c r="NG130" s="23"/>
      <c r="NH130" s="23"/>
      <c r="NI130" s="23"/>
      <c r="NJ130" s="23"/>
      <c r="NK130" s="23"/>
      <c r="NL130" s="23"/>
      <c r="NM130" s="23"/>
      <c r="NN130" s="23"/>
      <c r="NO130" s="23"/>
      <c r="NP130" s="23"/>
      <c r="NQ130" s="23"/>
      <c r="NR130" s="23"/>
      <c r="NS130" s="23"/>
      <c r="NT130" s="23"/>
      <c r="NU130" s="23"/>
      <c r="NV130" s="23"/>
      <c r="NW130" s="23"/>
      <c r="NX130" s="23"/>
      <c r="NY130" s="23"/>
      <c r="NZ130" s="23"/>
      <c r="OA130" s="23"/>
      <c r="OB130" s="23"/>
      <c r="OC130" s="23"/>
      <c r="OD130" s="23"/>
      <c r="OE130" s="23"/>
      <c r="OF130" s="23"/>
      <c r="OG130" s="23"/>
      <c r="OH130" s="23"/>
      <c r="OI130" s="23"/>
      <c r="OJ130" s="23"/>
      <c r="OK130" s="23"/>
      <c r="OL130" s="23"/>
      <c r="OM130" s="23"/>
      <c r="ON130" s="23"/>
      <c r="OO130" s="23"/>
      <c r="OP130" s="23"/>
      <c r="OQ130" s="23"/>
      <c r="OR130" s="23"/>
      <c r="OS130" s="23"/>
      <c r="OT130" s="23"/>
      <c r="OU130" s="23"/>
      <c r="OV130" s="23"/>
      <c r="OW130" s="23"/>
      <c r="OX130" s="23"/>
      <c r="OY130" s="23"/>
      <c r="OZ130" s="23"/>
      <c r="PA130" s="23"/>
      <c r="PB130" s="23"/>
      <c r="PC130" s="23"/>
      <c r="PD130" s="23"/>
      <c r="PE130" s="23"/>
      <c r="PF130" s="23"/>
      <c r="PG130" s="23"/>
      <c r="PH130" s="23"/>
      <c r="PI130" s="23"/>
      <c r="PJ130" s="23"/>
      <c r="PK130" s="23"/>
      <c r="PL130" s="23"/>
      <c r="PM130" s="23"/>
      <c r="PN130" s="23"/>
      <c r="PO130" s="23"/>
      <c r="PP130" s="23"/>
      <c r="PQ130" s="23"/>
      <c r="PR130" s="23"/>
      <c r="PS130" s="23"/>
      <c r="PT130" s="23"/>
      <c r="PU130" s="23"/>
      <c r="PV130" s="23"/>
      <c r="PW130" s="23"/>
      <c r="PX130" s="23"/>
      <c r="PY130" s="23"/>
      <c r="PZ130" s="23"/>
      <c r="QA130" s="23"/>
      <c r="QB130" s="23"/>
      <c r="QC130" s="23"/>
      <c r="QD130" s="23"/>
      <c r="QE130" s="23"/>
      <c r="QF130" s="23"/>
      <c r="QG130" s="23"/>
      <c r="QH130" s="23"/>
      <c r="QI130" s="23"/>
      <c r="QJ130" s="23"/>
      <c r="QK130" s="23"/>
      <c r="QL130" s="23"/>
      <c r="QM130" s="23"/>
      <c r="QN130" s="23"/>
      <c r="QO130" s="23"/>
      <c r="QP130" s="23"/>
      <c r="QQ130" s="23"/>
      <c r="QR130" s="23"/>
      <c r="QS130" s="23"/>
      <c r="QT130" s="23"/>
      <c r="QU130" s="23"/>
      <c r="QV130" s="23"/>
      <c r="QW130" s="23"/>
      <c r="QX130" s="23"/>
      <c r="QY130" s="23"/>
      <c r="QZ130" s="23"/>
      <c r="RA130" s="23"/>
      <c r="RB130" s="23"/>
      <c r="RC130" s="23"/>
      <c r="RD130" s="23"/>
      <c r="RE130" s="23"/>
      <c r="RF130" s="23"/>
      <c r="RG130" s="23"/>
      <c r="RH130" s="23"/>
      <c r="RI130" s="23"/>
      <c r="RJ130" s="23"/>
      <c r="RK130" s="23"/>
      <c r="RL130" s="23"/>
      <c r="RM130" s="23"/>
      <c r="RN130" s="23"/>
      <c r="RO130" s="23"/>
      <c r="RP130" s="23"/>
      <c r="RQ130" s="23"/>
      <c r="RR130" s="23"/>
      <c r="RS130" s="23"/>
      <c r="RT130" s="23"/>
      <c r="RU130" s="23"/>
      <c r="RV130" s="23"/>
      <c r="RW130" s="23"/>
      <c r="RX130" s="23"/>
      <c r="RY130" s="23"/>
      <c r="RZ130" s="23"/>
      <c r="SA130" s="23"/>
      <c r="SB130" s="23"/>
      <c r="SC130" s="23"/>
      <c r="SD130" s="23"/>
      <c r="SE130" s="23"/>
      <c r="SF130" s="23"/>
      <c r="SG130" s="23"/>
      <c r="SH130" s="23"/>
      <c r="SI130" s="23"/>
      <c r="SJ130" s="23"/>
      <c r="SK130" s="23"/>
      <c r="SL130" s="23"/>
      <c r="SM130" s="23"/>
      <c r="SN130" s="23"/>
      <c r="SO130" s="23"/>
      <c r="SP130" s="23"/>
      <c r="SQ130" s="23"/>
      <c r="SR130" s="23"/>
      <c r="SS130" s="23"/>
      <c r="ST130" s="23"/>
      <c r="SU130" s="23"/>
      <c r="SV130" s="23"/>
      <c r="SW130" s="23"/>
      <c r="SX130" s="23"/>
      <c r="SY130" s="23"/>
      <c r="SZ130" s="23"/>
      <c r="TA130" s="23"/>
      <c r="TB130" s="23"/>
      <c r="TC130" s="23"/>
      <c r="TD130" s="23"/>
      <c r="TE130" s="23"/>
      <c r="TF130" s="23"/>
      <c r="TG130" s="23"/>
    </row>
    <row r="131" spans="1:527" s="22" customFormat="1" ht="33" customHeight="1" x14ac:dyDescent="0.25">
      <c r="A131" s="60" t="s">
        <v>174</v>
      </c>
      <c r="B131" s="97" t="str">
        <f>'дод 5'!A80</f>
        <v>2010</v>
      </c>
      <c r="C131" s="97" t="str">
        <f>'дод 5'!B80</f>
        <v>0731</v>
      </c>
      <c r="D131" s="6" t="s">
        <v>467</v>
      </c>
      <c r="E131" s="103">
        <f t="shared" si="53"/>
        <v>39300311.399999999</v>
      </c>
      <c r="F131" s="103">
        <f>34393521+55800+234000+7000-234000+813950+4030040.4</f>
        <v>39300311.399999999</v>
      </c>
      <c r="G131" s="103"/>
      <c r="H131" s="103"/>
      <c r="I131" s="117"/>
      <c r="J131" s="103">
        <f t="shared" ref="J131:J154" si="55">L131+O131</f>
        <v>38830682.82</v>
      </c>
      <c r="K131" s="103">
        <f>38610682.82-175339+175339+220000</f>
        <v>38830682.82</v>
      </c>
      <c r="L131" s="103"/>
      <c r="M131" s="103"/>
      <c r="N131" s="103"/>
      <c r="O131" s="103">
        <f>38610682.82-175339+175339+220000</f>
        <v>38830682.82</v>
      </c>
      <c r="P131" s="103">
        <f t="shared" si="54"/>
        <v>78130994.219999999</v>
      </c>
      <c r="Q131" s="188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  <c r="IT131" s="23"/>
      <c r="IU131" s="23"/>
      <c r="IV131" s="23"/>
      <c r="IW131" s="23"/>
      <c r="IX131" s="23"/>
      <c r="IY131" s="23"/>
      <c r="IZ131" s="23"/>
      <c r="JA131" s="23"/>
      <c r="JB131" s="23"/>
      <c r="JC131" s="23"/>
      <c r="JD131" s="23"/>
      <c r="JE131" s="23"/>
      <c r="JF131" s="23"/>
      <c r="JG131" s="23"/>
      <c r="JH131" s="23"/>
      <c r="JI131" s="23"/>
      <c r="JJ131" s="23"/>
      <c r="JK131" s="23"/>
      <c r="JL131" s="23"/>
      <c r="JM131" s="23"/>
      <c r="JN131" s="23"/>
      <c r="JO131" s="23"/>
      <c r="JP131" s="23"/>
      <c r="JQ131" s="23"/>
      <c r="JR131" s="23"/>
      <c r="JS131" s="23"/>
      <c r="JT131" s="23"/>
      <c r="JU131" s="23"/>
      <c r="JV131" s="23"/>
      <c r="JW131" s="23"/>
      <c r="JX131" s="23"/>
      <c r="JY131" s="23"/>
      <c r="JZ131" s="23"/>
      <c r="KA131" s="23"/>
      <c r="KB131" s="23"/>
      <c r="KC131" s="23"/>
      <c r="KD131" s="23"/>
      <c r="KE131" s="23"/>
      <c r="KF131" s="23"/>
      <c r="KG131" s="23"/>
      <c r="KH131" s="23"/>
      <c r="KI131" s="23"/>
      <c r="KJ131" s="23"/>
      <c r="KK131" s="23"/>
      <c r="KL131" s="23"/>
      <c r="KM131" s="23"/>
      <c r="KN131" s="23"/>
      <c r="KO131" s="23"/>
      <c r="KP131" s="23"/>
      <c r="KQ131" s="23"/>
      <c r="KR131" s="23"/>
      <c r="KS131" s="23"/>
      <c r="KT131" s="23"/>
      <c r="KU131" s="23"/>
      <c r="KV131" s="23"/>
      <c r="KW131" s="23"/>
      <c r="KX131" s="23"/>
      <c r="KY131" s="23"/>
      <c r="KZ131" s="23"/>
      <c r="LA131" s="23"/>
      <c r="LB131" s="23"/>
      <c r="LC131" s="23"/>
      <c r="LD131" s="23"/>
      <c r="LE131" s="23"/>
      <c r="LF131" s="23"/>
      <c r="LG131" s="23"/>
      <c r="LH131" s="23"/>
      <c r="LI131" s="23"/>
      <c r="LJ131" s="23"/>
      <c r="LK131" s="23"/>
      <c r="LL131" s="23"/>
      <c r="LM131" s="23"/>
      <c r="LN131" s="23"/>
      <c r="LO131" s="23"/>
      <c r="LP131" s="23"/>
      <c r="LQ131" s="23"/>
      <c r="LR131" s="23"/>
      <c r="LS131" s="23"/>
      <c r="LT131" s="23"/>
      <c r="LU131" s="23"/>
      <c r="LV131" s="23"/>
      <c r="LW131" s="23"/>
      <c r="LX131" s="23"/>
      <c r="LY131" s="23"/>
      <c r="LZ131" s="23"/>
      <c r="MA131" s="23"/>
      <c r="MB131" s="23"/>
      <c r="MC131" s="23"/>
      <c r="MD131" s="23"/>
      <c r="ME131" s="23"/>
      <c r="MF131" s="23"/>
      <c r="MG131" s="23"/>
      <c r="MH131" s="23"/>
      <c r="MI131" s="23"/>
      <c r="MJ131" s="23"/>
      <c r="MK131" s="23"/>
      <c r="ML131" s="23"/>
      <c r="MM131" s="23"/>
      <c r="MN131" s="23"/>
      <c r="MO131" s="23"/>
      <c r="MP131" s="23"/>
      <c r="MQ131" s="23"/>
      <c r="MR131" s="23"/>
      <c r="MS131" s="23"/>
      <c r="MT131" s="23"/>
      <c r="MU131" s="23"/>
      <c r="MV131" s="23"/>
      <c r="MW131" s="23"/>
      <c r="MX131" s="23"/>
      <c r="MY131" s="23"/>
      <c r="MZ131" s="23"/>
      <c r="NA131" s="23"/>
      <c r="NB131" s="23"/>
      <c r="NC131" s="23"/>
      <c r="ND131" s="23"/>
      <c r="NE131" s="23"/>
      <c r="NF131" s="23"/>
      <c r="NG131" s="23"/>
      <c r="NH131" s="23"/>
      <c r="NI131" s="23"/>
      <c r="NJ131" s="23"/>
      <c r="NK131" s="23"/>
      <c r="NL131" s="23"/>
      <c r="NM131" s="23"/>
      <c r="NN131" s="23"/>
      <c r="NO131" s="23"/>
      <c r="NP131" s="23"/>
      <c r="NQ131" s="23"/>
      <c r="NR131" s="23"/>
      <c r="NS131" s="23"/>
      <c r="NT131" s="23"/>
      <c r="NU131" s="23"/>
      <c r="NV131" s="23"/>
      <c r="NW131" s="23"/>
      <c r="NX131" s="23"/>
      <c r="NY131" s="23"/>
      <c r="NZ131" s="23"/>
      <c r="OA131" s="23"/>
      <c r="OB131" s="23"/>
      <c r="OC131" s="23"/>
      <c r="OD131" s="23"/>
      <c r="OE131" s="23"/>
      <c r="OF131" s="23"/>
      <c r="OG131" s="23"/>
      <c r="OH131" s="23"/>
      <c r="OI131" s="23"/>
      <c r="OJ131" s="23"/>
      <c r="OK131" s="23"/>
      <c r="OL131" s="23"/>
      <c r="OM131" s="23"/>
      <c r="ON131" s="23"/>
      <c r="OO131" s="23"/>
      <c r="OP131" s="23"/>
      <c r="OQ131" s="23"/>
      <c r="OR131" s="23"/>
      <c r="OS131" s="23"/>
      <c r="OT131" s="23"/>
      <c r="OU131" s="23"/>
      <c r="OV131" s="23"/>
      <c r="OW131" s="23"/>
      <c r="OX131" s="23"/>
      <c r="OY131" s="23"/>
      <c r="OZ131" s="23"/>
      <c r="PA131" s="23"/>
      <c r="PB131" s="23"/>
      <c r="PC131" s="23"/>
      <c r="PD131" s="23"/>
      <c r="PE131" s="23"/>
      <c r="PF131" s="23"/>
      <c r="PG131" s="23"/>
      <c r="PH131" s="23"/>
      <c r="PI131" s="23"/>
      <c r="PJ131" s="23"/>
      <c r="PK131" s="23"/>
      <c r="PL131" s="23"/>
      <c r="PM131" s="23"/>
      <c r="PN131" s="23"/>
      <c r="PO131" s="23"/>
      <c r="PP131" s="23"/>
      <c r="PQ131" s="23"/>
      <c r="PR131" s="23"/>
      <c r="PS131" s="23"/>
      <c r="PT131" s="23"/>
      <c r="PU131" s="23"/>
      <c r="PV131" s="23"/>
      <c r="PW131" s="23"/>
      <c r="PX131" s="23"/>
      <c r="PY131" s="23"/>
      <c r="PZ131" s="23"/>
      <c r="QA131" s="23"/>
      <c r="QB131" s="23"/>
      <c r="QC131" s="23"/>
      <c r="QD131" s="23"/>
      <c r="QE131" s="23"/>
      <c r="QF131" s="23"/>
      <c r="QG131" s="23"/>
      <c r="QH131" s="23"/>
      <c r="QI131" s="23"/>
      <c r="QJ131" s="23"/>
      <c r="QK131" s="23"/>
      <c r="QL131" s="23"/>
      <c r="QM131" s="23"/>
      <c r="QN131" s="23"/>
      <c r="QO131" s="23"/>
      <c r="QP131" s="23"/>
      <c r="QQ131" s="23"/>
      <c r="QR131" s="23"/>
      <c r="QS131" s="23"/>
      <c r="QT131" s="23"/>
      <c r="QU131" s="23"/>
      <c r="QV131" s="23"/>
      <c r="QW131" s="23"/>
      <c r="QX131" s="23"/>
      <c r="QY131" s="23"/>
      <c r="QZ131" s="23"/>
      <c r="RA131" s="23"/>
      <c r="RB131" s="23"/>
      <c r="RC131" s="23"/>
      <c r="RD131" s="23"/>
      <c r="RE131" s="23"/>
      <c r="RF131" s="23"/>
      <c r="RG131" s="23"/>
      <c r="RH131" s="23"/>
      <c r="RI131" s="23"/>
      <c r="RJ131" s="23"/>
      <c r="RK131" s="23"/>
      <c r="RL131" s="23"/>
      <c r="RM131" s="23"/>
      <c r="RN131" s="23"/>
      <c r="RO131" s="23"/>
      <c r="RP131" s="23"/>
      <c r="RQ131" s="23"/>
      <c r="RR131" s="23"/>
      <c r="RS131" s="23"/>
      <c r="RT131" s="23"/>
      <c r="RU131" s="23"/>
      <c r="RV131" s="23"/>
      <c r="RW131" s="23"/>
      <c r="RX131" s="23"/>
      <c r="RY131" s="23"/>
      <c r="RZ131" s="23"/>
      <c r="SA131" s="23"/>
      <c r="SB131" s="23"/>
      <c r="SC131" s="23"/>
      <c r="SD131" s="23"/>
      <c r="SE131" s="23"/>
      <c r="SF131" s="23"/>
      <c r="SG131" s="23"/>
      <c r="SH131" s="23"/>
      <c r="SI131" s="23"/>
      <c r="SJ131" s="23"/>
      <c r="SK131" s="23"/>
      <c r="SL131" s="23"/>
      <c r="SM131" s="23"/>
      <c r="SN131" s="23"/>
      <c r="SO131" s="23"/>
      <c r="SP131" s="23"/>
      <c r="SQ131" s="23"/>
      <c r="SR131" s="23"/>
      <c r="SS131" s="23"/>
      <c r="ST131" s="23"/>
      <c r="SU131" s="23"/>
      <c r="SV131" s="23"/>
      <c r="SW131" s="23"/>
      <c r="SX131" s="23"/>
      <c r="SY131" s="23"/>
      <c r="SZ131" s="23"/>
      <c r="TA131" s="23"/>
      <c r="TB131" s="23"/>
      <c r="TC131" s="23"/>
      <c r="TD131" s="23"/>
      <c r="TE131" s="23"/>
      <c r="TF131" s="23"/>
      <c r="TG131" s="23"/>
    </row>
    <row r="132" spans="1:527" s="24" customFormat="1" ht="30" hidden="1" customHeight="1" x14ac:dyDescent="0.25">
      <c r="A132" s="88"/>
      <c r="B132" s="115"/>
      <c r="C132" s="115"/>
      <c r="D132" s="91" t="s">
        <v>392</v>
      </c>
      <c r="E132" s="105">
        <f t="shared" si="53"/>
        <v>0</v>
      </c>
      <c r="F132" s="105"/>
      <c r="G132" s="105"/>
      <c r="H132" s="105"/>
      <c r="I132" s="118"/>
      <c r="J132" s="105">
        <f t="shared" si="55"/>
        <v>0</v>
      </c>
      <c r="K132" s="105"/>
      <c r="L132" s="105"/>
      <c r="M132" s="105"/>
      <c r="N132" s="105"/>
      <c r="O132" s="105"/>
      <c r="P132" s="105">
        <f t="shared" si="54"/>
        <v>0</v>
      </c>
      <c r="Q132" s="188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0"/>
      <c r="JD132" s="30"/>
      <c r="JE132" s="30"/>
      <c r="JF132" s="30"/>
      <c r="JG132" s="30"/>
      <c r="JH132" s="30"/>
      <c r="JI132" s="30"/>
      <c r="JJ132" s="30"/>
      <c r="JK132" s="30"/>
      <c r="JL132" s="30"/>
      <c r="JM132" s="30"/>
      <c r="JN132" s="30"/>
      <c r="JO132" s="30"/>
      <c r="JP132" s="30"/>
      <c r="JQ132" s="30"/>
      <c r="JR132" s="30"/>
      <c r="JS132" s="30"/>
      <c r="JT132" s="30"/>
      <c r="JU132" s="30"/>
      <c r="JV132" s="30"/>
      <c r="JW132" s="30"/>
      <c r="JX132" s="30"/>
      <c r="JY132" s="30"/>
      <c r="JZ132" s="30"/>
      <c r="KA132" s="30"/>
      <c r="KB132" s="30"/>
      <c r="KC132" s="30"/>
      <c r="KD132" s="30"/>
      <c r="KE132" s="30"/>
      <c r="KF132" s="30"/>
      <c r="KG132" s="30"/>
      <c r="KH132" s="30"/>
      <c r="KI132" s="30"/>
      <c r="KJ132" s="30"/>
      <c r="KK132" s="30"/>
      <c r="KL132" s="30"/>
      <c r="KM132" s="30"/>
      <c r="KN132" s="30"/>
      <c r="KO132" s="30"/>
      <c r="KP132" s="30"/>
      <c r="KQ132" s="30"/>
      <c r="KR132" s="30"/>
      <c r="KS132" s="30"/>
      <c r="KT132" s="30"/>
      <c r="KU132" s="30"/>
      <c r="KV132" s="30"/>
      <c r="KW132" s="30"/>
      <c r="KX132" s="30"/>
      <c r="KY132" s="30"/>
      <c r="KZ132" s="30"/>
      <c r="LA132" s="30"/>
      <c r="LB132" s="30"/>
      <c r="LC132" s="30"/>
      <c r="LD132" s="30"/>
      <c r="LE132" s="30"/>
      <c r="LF132" s="30"/>
      <c r="LG132" s="30"/>
      <c r="LH132" s="30"/>
      <c r="LI132" s="30"/>
      <c r="LJ132" s="30"/>
      <c r="LK132" s="30"/>
      <c r="LL132" s="30"/>
      <c r="LM132" s="30"/>
      <c r="LN132" s="30"/>
      <c r="LO132" s="30"/>
      <c r="LP132" s="30"/>
      <c r="LQ132" s="30"/>
      <c r="LR132" s="30"/>
      <c r="LS132" s="30"/>
      <c r="LT132" s="30"/>
      <c r="LU132" s="30"/>
      <c r="LV132" s="30"/>
      <c r="LW132" s="30"/>
      <c r="LX132" s="30"/>
      <c r="LY132" s="30"/>
      <c r="LZ132" s="30"/>
      <c r="MA132" s="30"/>
      <c r="MB132" s="30"/>
      <c r="MC132" s="30"/>
      <c r="MD132" s="30"/>
      <c r="ME132" s="30"/>
      <c r="MF132" s="30"/>
      <c r="MG132" s="30"/>
      <c r="MH132" s="30"/>
      <c r="MI132" s="30"/>
      <c r="MJ132" s="30"/>
      <c r="MK132" s="30"/>
      <c r="ML132" s="30"/>
      <c r="MM132" s="30"/>
      <c r="MN132" s="30"/>
      <c r="MO132" s="30"/>
      <c r="MP132" s="30"/>
      <c r="MQ132" s="30"/>
      <c r="MR132" s="30"/>
      <c r="MS132" s="30"/>
      <c r="MT132" s="30"/>
      <c r="MU132" s="30"/>
      <c r="MV132" s="30"/>
      <c r="MW132" s="30"/>
      <c r="MX132" s="30"/>
      <c r="MY132" s="30"/>
      <c r="MZ132" s="30"/>
      <c r="NA132" s="30"/>
      <c r="NB132" s="30"/>
      <c r="NC132" s="30"/>
      <c r="ND132" s="30"/>
      <c r="NE132" s="30"/>
      <c r="NF132" s="30"/>
      <c r="NG132" s="30"/>
      <c r="NH132" s="30"/>
      <c r="NI132" s="30"/>
      <c r="NJ132" s="30"/>
      <c r="NK132" s="30"/>
      <c r="NL132" s="30"/>
      <c r="NM132" s="30"/>
      <c r="NN132" s="30"/>
      <c r="NO132" s="30"/>
      <c r="NP132" s="30"/>
      <c r="NQ132" s="30"/>
      <c r="NR132" s="30"/>
      <c r="NS132" s="30"/>
      <c r="NT132" s="30"/>
      <c r="NU132" s="30"/>
      <c r="NV132" s="30"/>
      <c r="NW132" s="30"/>
      <c r="NX132" s="30"/>
      <c r="NY132" s="30"/>
      <c r="NZ132" s="30"/>
      <c r="OA132" s="30"/>
      <c r="OB132" s="30"/>
      <c r="OC132" s="30"/>
      <c r="OD132" s="30"/>
      <c r="OE132" s="30"/>
      <c r="OF132" s="30"/>
      <c r="OG132" s="30"/>
      <c r="OH132" s="30"/>
      <c r="OI132" s="30"/>
      <c r="OJ132" s="30"/>
      <c r="OK132" s="30"/>
      <c r="OL132" s="30"/>
      <c r="OM132" s="30"/>
      <c r="ON132" s="30"/>
      <c r="OO132" s="30"/>
      <c r="OP132" s="30"/>
      <c r="OQ132" s="30"/>
      <c r="OR132" s="30"/>
      <c r="OS132" s="30"/>
      <c r="OT132" s="30"/>
      <c r="OU132" s="30"/>
      <c r="OV132" s="30"/>
      <c r="OW132" s="30"/>
      <c r="OX132" s="30"/>
      <c r="OY132" s="30"/>
      <c r="OZ132" s="30"/>
      <c r="PA132" s="30"/>
      <c r="PB132" s="30"/>
      <c r="PC132" s="30"/>
      <c r="PD132" s="30"/>
      <c r="PE132" s="30"/>
      <c r="PF132" s="30"/>
      <c r="PG132" s="30"/>
      <c r="PH132" s="30"/>
      <c r="PI132" s="30"/>
      <c r="PJ132" s="30"/>
      <c r="PK132" s="30"/>
      <c r="PL132" s="30"/>
      <c r="PM132" s="30"/>
      <c r="PN132" s="30"/>
      <c r="PO132" s="30"/>
      <c r="PP132" s="30"/>
      <c r="PQ132" s="30"/>
      <c r="PR132" s="30"/>
      <c r="PS132" s="30"/>
      <c r="PT132" s="30"/>
      <c r="PU132" s="30"/>
      <c r="PV132" s="30"/>
      <c r="PW132" s="30"/>
      <c r="PX132" s="30"/>
      <c r="PY132" s="30"/>
      <c r="PZ132" s="30"/>
      <c r="QA132" s="30"/>
      <c r="QB132" s="30"/>
      <c r="QC132" s="30"/>
      <c r="QD132" s="30"/>
      <c r="QE132" s="30"/>
      <c r="QF132" s="30"/>
      <c r="QG132" s="30"/>
      <c r="QH132" s="30"/>
      <c r="QI132" s="30"/>
      <c r="QJ132" s="30"/>
      <c r="QK132" s="30"/>
      <c r="QL132" s="30"/>
      <c r="QM132" s="30"/>
      <c r="QN132" s="30"/>
      <c r="QO132" s="30"/>
      <c r="QP132" s="30"/>
      <c r="QQ132" s="30"/>
      <c r="QR132" s="30"/>
      <c r="QS132" s="30"/>
      <c r="QT132" s="30"/>
      <c r="QU132" s="30"/>
      <c r="QV132" s="30"/>
      <c r="QW132" s="30"/>
      <c r="QX132" s="30"/>
      <c r="QY132" s="30"/>
      <c r="QZ132" s="30"/>
      <c r="RA132" s="30"/>
      <c r="RB132" s="30"/>
      <c r="RC132" s="30"/>
      <c r="RD132" s="30"/>
      <c r="RE132" s="30"/>
      <c r="RF132" s="30"/>
      <c r="RG132" s="30"/>
      <c r="RH132" s="30"/>
      <c r="RI132" s="30"/>
      <c r="RJ132" s="30"/>
      <c r="RK132" s="30"/>
      <c r="RL132" s="30"/>
      <c r="RM132" s="30"/>
      <c r="RN132" s="30"/>
      <c r="RO132" s="30"/>
      <c r="RP132" s="30"/>
      <c r="RQ132" s="30"/>
      <c r="RR132" s="30"/>
      <c r="RS132" s="30"/>
      <c r="RT132" s="30"/>
      <c r="RU132" s="30"/>
      <c r="RV132" s="30"/>
      <c r="RW132" s="30"/>
      <c r="RX132" s="30"/>
      <c r="RY132" s="30"/>
      <c r="RZ132" s="30"/>
      <c r="SA132" s="30"/>
      <c r="SB132" s="30"/>
      <c r="SC132" s="30"/>
      <c r="SD132" s="30"/>
      <c r="SE132" s="30"/>
      <c r="SF132" s="30"/>
      <c r="SG132" s="30"/>
      <c r="SH132" s="30"/>
      <c r="SI132" s="30"/>
      <c r="SJ132" s="30"/>
      <c r="SK132" s="30"/>
      <c r="SL132" s="30"/>
      <c r="SM132" s="30"/>
      <c r="SN132" s="30"/>
      <c r="SO132" s="30"/>
      <c r="SP132" s="30"/>
      <c r="SQ132" s="30"/>
      <c r="SR132" s="30"/>
      <c r="SS132" s="30"/>
      <c r="ST132" s="30"/>
      <c r="SU132" s="30"/>
      <c r="SV132" s="30"/>
      <c r="SW132" s="30"/>
      <c r="SX132" s="30"/>
      <c r="SY132" s="30"/>
      <c r="SZ132" s="30"/>
      <c r="TA132" s="30"/>
      <c r="TB132" s="30"/>
      <c r="TC132" s="30"/>
      <c r="TD132" s="30"/>
      <c r="TE132" s="30"/>
      <c r="TF132" s="30"/>
      <c r="TG132" s="30"/>
    </row>
    <row r="133" spans="1:527" s="24" customFormat="1" ht="45" hidden="1" customHeight="1" x14ac:dyDescent="0.25">
      <c r="A133" s="88"/>
      <c r="B133" s="115"/>
      <c r="C133" s="115"/>
      <c r="D133" s="91" t="s">
        <v>393</v>
      </c>
      <c r="E133" s="105">
        <f t="shared" si="53"/>
        <v>0</v>
      </c>
      <c r="F133" s="105"/>
      <c r="G133" s="105"/>
      <c r="H133" s="105"/>
      <c r="I133" s="105"/>
      <c r="J133" s="105">
        <f t="shared" si="55"/>
        <v>0</v>
      </c>
      <c r="K133" s="105"/>
      <c r="L133" s="105"/>
      <c r="M133" s="105"/>
      <c r="N133" s="105"/>
      <c r="O133" s="105"/>
      <c r="P133" s="105">
        <f t="shared" si="54"/>
        <v>0</v>
      </c>
      <c r="Q133" s="188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  <c r="IX133" s="30"/>
      <c r="IY133" s="30"/>
      <c r="IZ133" s="30"/>
      <c r="JA133" s="30"/>
      <c r="JB133" s="30"/>
      <c r="JC133" s="30"/>
      <c r="JD133" s="30"/>
      <c r="JE133" s="30"/>
      <c r="JF133" s="30"/>
      <c r="JG133" s="30"/>
      <c r="JH133" s="30"/>
      <c r="JI133" s="30"/>
      <c r="JJ133" s="30"/>
      <c r="JK133" s="30"/>
      <c r="JL133" s="30"/>
      <c r="JM133" s="30"/>
      <c r="JN133" s="30"/>
      <c r="JO133" s="30"/>
      <c r="JP133" s="30"/>
      <c r="JQ133" s="30"/>
      <c r="JR133" s="30"/>
      <c r="JS133" s="30"/>
      <c r="JT133" s="30"/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/>
      <c r="KF133" s="30"/>
      <c r="KG133" s="30"/>
      <c r="KH133" s="30"/>
      <c r="KI133" s="30"/>
      <c r="KJ133" s="30"/>
      <c r="KK133" s="30"/>
      <c r="KL133" s="30"/>
      <c r="KM133" s="30"/>
      <c r="KN133" s="30"/>
      <c r="KO133" s="30"/>
      <c r="KP133" s="30"/>
      <c r="KQ133" s="30"/>
      <c r="KR133" s="30"/>
      <c r="KS133" s="30"/>
      <c r="KT133" s="30"/>
      <c r="KU133" s="30"/>
      <c r="KV133" s="30"/>
      <c r="KW133" s="30"/>
      <c r="KX133" s="30"/>
      <c r="KY133" s="30"/>
      <c r="KZ133" s="30"/>
      <c r="LA133" s="30"/>
      <c r="LB133" s="30"/>
      <c r="LC133" s="30"/>
      <c r="LD133" s="30"/>
      <c r="LE133" s="30"/>
      <c r="LF133" s="30"/>
      <c r="LG133" s="30"/>
      <c r="LH133" s="30"/>
      <c r="LI133" s="30"/>
      <c r="LJ133" s="30"/>
      <c r="LK133" s="30"/>
      <c r="LL133" s="30"/>
      <c r="LM133" s="30"/>
      <c r="LN133" s="30"/>
      <c r="LO133" s="30"/>
      <c r="LP133" s="30"/>
      <c r="LQ133" s="30"/>
      <c r="LR133" s="30"/>
      <c r="LS133" s="30"/>
      <c r="LT133" s="30"/>
      <c r="LU133" s="30"/>
      <c r="LV133" s="30"/>
      <c r="LW133" s="30"/>
      <c r="LX133" s="30"/>
      <c r="LY133" s="30"/>
      <c r="LZ133" s="30"/>
      <c r="MA133" s="30"/>
      <c r="MB133" s="30"/>
      <c r="MC133" s="30"/>
      <c r="MD133" s="30"/>
      <c r="ME133" s="30"/>
      <c r="MF133" s="30"/>
      <c r="MG133" s="30"/>
      <c r="MH133" s="30"/>
      <c r="MI133" s="30"/>
      <c r="MJ133" s="30"/>
      <c r="MK133" s="30"/>
      <c r="ML133" s="30"/>
      <c r="MM133" s="30"/>
      <c r="MN133" s="30"/>
      <c r="MO133" s="30"/>
      <c r="MP133" s="30"/>
      <c r="MQ133" s="30"/>
      <c r="MR133" s="30"/>
      <c r="MS133" s="30"/>
      <c r="MT133" s="30"/>
      <c r="MU133" s="30"/>
      <c r="MV133" s="30"/>
      <c r="MW133" s="30"/>
      <c r="MX133" s="30"/>
      <c r="MY133" s="30"/>
      <c r="MZ133" s="30"/>
      <c r="NA133" s="30"/>
      <c r="NB133" s="30"/>
      <c r="NC133" s="30"/>
      <c r="ND133" s="30"/>
      <c r="NE133" s="30"/>
      <c r="NF133" s="30"/>
      <c r="NG133" s="30"/>
      <c r="NH133" s="30"/>
      <c r="NI133" s="30"/>
      <c r="NJ133" s="30"/>
      <c r="NK133" s="30"/>
      <c r="NL133" s="30"/>
      <c r="NM133" s="30"/>
      <c r="NN133" s="30"/>
      <c r="NO133" s="30"/>
      <c r="NP133" s="30"/>
      <c r="NQ133" s="30"/>
      <c r="NR133" s="30"/>
      <c r="NS133" s="30"/>
      <c r="NT133" s="30"/>
      <c r="NU133" s="30"/>
      <c r="NV133" s="30"/>
      <c r="NW133" s="30"/>
      <c r="NX133" s="30"/>
      <c r="NY133" s="30"/>
      <c r="NZ133" s="30"/>
      <c r="OA133" s="30"/>
      <c r="OB133" s="30"/>
      <c r="OC133" s="30"/>
      <c r="OD133" s="30"/>
      <c r="OE133" s="30"/>
      <c r="OF133" s="30"/>
      <c r="OG133" s="30"/>
      <c r="OH133" s="30"/>
      <c r="OI133" s="30"/>
      <c r="OJ133" s="30"/>
      <c r="OK133" s="30"/>
      <c r="OL133" s="30"/>
      <c r="OM133" s="30"/>
      <c r="ON133" s="30"/>
      <c r="OO133" s="30"/>
      <c r="OP133" s="30"/>
      <c r="OQ133" s="30"/>
      <c r="OR133" s="30"/>
      <c r="OS133" s="30"/>
      <c r="OT133" s="30"/>
      <c r="OU133" s="30"/>
      <c r="OV133" s="30"/>
      <c r="OW133" s="30"/>
      <c r="OX133" s="30"/>
      <c r="OY133" s="30"/>
      <c r="OZ133" s="30"/>
      <c r="PA133" s="30"/>
      <c r="PB133" s="30"/>
      <c r="PC133" s="30"/>
      <c r="PD133" s="30"/>
      <c r="PE133" s="30"/>
      <c r="PF133" s="30"/>
      <c r="PG133" s="30"/>
      <c r="PH133" s="30"/>
      <c r="PI133" s="30"/>
      <c r="PJ133" s="30"/>
      <c r="PK133" s="30"/>
      <c r="PL133" s="30"/>
      <c r="PM133" s="30"/>
      <c r="PN133" s="30"/>
      <c r="PO133" s="30"/>
      <c r="PP133" s="30"/>
      <c r="PQ133" s="30"/>
      <c r="PR133" s="30"/>
      <c r="PS133" s="30"/>
      <c r="PT133" s="30"/>
      <c r="PU133" s="30"/>
      <c r="PV133" s="30"/>
      <c r="PW133" s="30"/>
      <c r="PX133" s="30"/>
      <c r="PY133" s="30"/>
      <c r="PZ133" s="30"/>
      <c r="QA133" s="30"/>
      <c r="QB133" s="30"/>
      <c r="QC133" s="30"/>
      <c r="QD133" s="30"/>
      <c r="QE133" s="30"/>
      <c r="QF133" s="30"/>
      <c r="QG133" s="30"/>
      <c r="QH133" s="30"/>
      <c r="QI133" s="30"/>
      <c r="QJ133" s="30"/>
      <c r="QK133" s="30"/>
      <c r="QL133" s="30"/>
      <c r="QM133" s="30"/>
      <c r="QN133" s="30"/>
      <c r="QO133" s="30"/>
      <c r="QP133" s="30"/>
      <c r="QQ133" s="30"/>
      <c r="QR133" s="30"/>
      <c r="QS133" s="30"/>
      <c r="QT133" s="30"/>
      <c r="QU133" s="30"/>
      <c r="QV133" s="30"/>
      <c r="QW133" s="30"/>
      <c r="QX133" s="30"/>
      <c r="QY133" s="30"/>
      <c r="QZ133" s="30"/>
      <c r="RA133" s="30"/>
      <c r="RB133" s="30"/>
      <c r="RC133" s="30"/>
      <c r="RD133" s="30"/>
      <c r="RE133" s="30"/>
      <c r="RF133" s="30"/>
      <c r="RG133" s="30"/>
      <c r="RH133" s="30"/>
      <c r="RI133" s="30"/>
      <c r="RJ133" s="30"/>
      <c r="RK133" s="30"/>
      <c r="RL133" s="30"/>
      <c r="RM133" s="30"/>
      <c r="RN133" s="30"/>
      <c r="RO133" s="30"/>
      <c r="RP133" s="30"/>
      <c r="RQ133" s="30"/>
      <c r="RR133" s="30"/>
      <c r="RS133" s="30"/>
      <c r="RT133" s="30"/>
      <c r="RU133" s="30"/>
      <c r="RV133" s="30"/>
      <c r="RW133" s="30"/>
      <c r="RX133" s="30"/>
      <c r="RY133" s="30"/>
      <c r="RZ133" s="30"/>
      <c r="SA133" s="30"/>
      <c r="SB133" s="30"/>
      <c r="SC133" s="30"/>
      <c r="SD133" s="30"/>
      <c r="SE133" s="30"/>
      <c r="SF133" s="30"/>
      <c r="SG133" s="30"/>
      <c r="SH133" s="30"/>
      <c r="SI133" s="30"/>
      <c r="SJ133" s="30"/>
      <c r="SK133" s="30"/>
      <c r="SL133" s="30"/>
      <c r="SM133" s="30"/>
      <c r="SN133" s="30"/>
      <c r="SO133" s="30"/>
      <c r="SP133" s="30"/>
      <c r="SQ133" s="30"/>
      <c r="SR133" s="30"/>
      <c r="SS133" s="30"/>
      <c r="ST133" s="30"/>
      <c r="SU133" s="30"/>
      <c r="SV133" s="30"/>
      <c r="SW133" s="30"/>
      <c r="SX133" s="30"/>
      <c r="SY133" s="30"/>
      <c r="SZ133" s="30"/>
      <c r="TA133" s="30"/>
      <c r="TB133" s="30"/>
      <c r="TC133" s="30"/>
      <c r="TD133" s="30"/>
      <c r="TE133" s="30"/>
      <c r="TF133" s="30"/>
      <c r="TG133" s="30"/>
    </row>
    <row r="134" spans="1:527" s="24" customFormat="1" ht="15" hidden="1" customHeight="1" x14ac:dyDescent="0.25">
      <c r="A134" s="88"/>
      <c r="B134" s="115"/>
      <c r="C134" s="115"/>
      <c r="D134" s="91" t="s">
        <v>395</v>
      </c>
      <c r="E134" s="105">
        <f t="shared" si="53"/>
        <v>0</v>
      </c>
      <c r="F134" s="105"/>
      <c r="G134" s="105"/>
      <c r="H134" s="105"/>
      <c r="I134" s="118"/>
      <c r="J134" s="105">
        <f t="shared" si="55"/>
        <v>0</v>
      </c>
      <c r="K134" s="105"/>
      <c r="L134" s="105"/>
      <c r="M134" s="105"/>
      <c r="N134" s="105"/>
      <c r="O134" s="105"/>
      <c r="P134" s="105">
        <f t="shared" si="54"/>
        <v>0</v>
      </c>
      <c r="Q134" s="188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  <c r="IW134" s="30"/>
      <c r="IX134" s="30"/>
      <c r="IY134" s="30"/>
      <c r="IZ134" s="30"/>
      <c r="JA134" s="30"/>
      <c r="JB134" s="30"/>
      <c r="JC134" s="30"/>
      <c r="JD134" s="30"/>
      <c r="JE134" s="30"/>
      <c r="JF134" s="30"/>
      <c r="JG134" s="30"/>
      <c r="JH134" s="30"/>
      <c r="JI134" s="30"/>
      <c r="JJ134" s="30"/>
      <c r="JK134" s="30"/>
      <c r="JL134" s="30"/>
      <c r="JM134" s="30"/>
      <c r="JN134" s="30"/>
      <c r="JO134" s="30"/>
      <c r="JP134" s="30"/>
      <c r="JQ134" s="30"/>
      <c r="JR134" s="30"/>
      <c r="JS134" s="30"/>
      <c r="JT134" s="30"/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/>
      <c r="KF134" s="30"/>
      <c r="KG134" s="30"/>
      <c r="KH134" s="30"/>
      <c r="KI134" s="30"/>
      <c r="KJ134" s="30"/>
      <c r="KK134" s="30"/>
      <c r="KL134" s="30"/>
      <c r="KM134" s="30"/>
      <c r="KN134" s="30"/>
      <c r="KO134" s="30"/>
      <c r="KP134" s="30"/>
      <c r="KQ134" s="30"/>
      <c r="KR134" s="30"/>
      <c r="KS134" s="30"/>
      <c r="KT134" s="30"/>
      <c r="KU134" s="30"/>
      <c r="KV134" s="30"/>
      <c r="KW134" s="30"/>
      <c r="KX134" s="30"/>
      <c r="KY134" s="30"/>
      <c r="KZ134" s="30"/>
      <c r="LA134" s="30"/>
      <c r="LB134" s="30"/>
      <c r="LC134" s="30"/>
      <c r="LD134" s="30"/>
      <c r="LE134" s="30"/>
      <c r="LF134" s="30"/>
      <c r="LG134" s="30"/>
      <c r="LH134" s="30"/>
      <c r="LI134" s="30"/>
      <c r="LJ134" s="30"/>
      <c r="LK134" s="30"/>
      <c r="LL134" s="30"/>
      <c r="LM134" s="30"/>
      <c r="LN134" s="30"/>
      <c r="LO134" s="30"/>
      <c r="LP134" s="30"/>
      <c r="LQ134" s="30"/>
      <c r="LR134" s="30"/>
      <c r="LS134" s="30"/>
      <c r="LT134" s="30"/>
      <c r="LU134" s="30"/>
      <c r="LV134" s="30"/>
      <c r="LW134" s="30"/>
      <c r="LX134" s="30"/>
      <c r="LY134" s="30"/>
      <c r="LZ134" s="30"/>
      <c r="MA134" s="30"/>
      <c r="MB134" s="30"/>
      <c r="MC134" s="30"/>
      <c r="MD134" s="30"/>
      <c r="ME134" s="30"/>
      <c r="MF134" s="30"/>
      <c r="MG134" s="30"/>
      <c r="MH134" s="30"/>
      <c r="MI134" s="30"/>
      <c r="MJ134" s="30"/>
      <c r="MK134" s="30"/>
      <c r="ML134" s="30"/>
      <c r="MM134" s="30"/>
      <c r="MN134" s="30"/>
      <c r="MO134" s="30"/>
      <c r="MP134" s="30"/>
      <c r="MQ134" s="30"/>
      <c r="MR134" s="30"/>
      <c r="MS134" s="30"/>
      <c r="MT134" s="30"/>
      <c r="MU134" s="30"/>
      <c r="MV134" s="30"/>
      <c r="MW134" s="30"/>
      <c r="MX134" s="30"/>
      <c r="MY134" s="30"/>
      <c r="MZ134" s="30"/>
      <c r="NA134" s="30"/>
      <c r="NB134" s="30"/>
      <c r="NC134" s="30"/>
      <c r="ND134" s="30"/>
      <c r="NE134" s="30"/>
      <c r="NF134" s="30"/>
      <c r="NG134" s="30"/>
      <c r="NH134" s="30"/>
      <c r="NI134" s="30"/>
      <c r="NJ134" s="30"/>
      <c r="NK134" s="30"/>
      <c r="NL134" s="30"/>
      <c r="NM134" s="30"/>
      <c r="NN134" s="30"/>
      <c r="NO134" s="30"/>
      <c r="NP134" s="30"/>
      <c r="NQ134" s="30"/>
      <c r="NR134" s="30"/>
      <c r="NS134" s="30"/>
      <c r="NT134" s="30"/>
      <c r="NU134" s="30"/>
      <c r="NV134" s="30"/>
      <c r="NW134" s="30"/>
      <c r="NX134" s="30"/>
      <c r="NY134" s="30"/>
      <c r="NZ134" s="30"/>
      <c r="OA134" s="30"/>
      <c r="OB134" s="30"/>
      <c r="OC134" s="30"/>
      <c r="OD134" s="30"/>
      <c r="OE134" s="30"/>
      <c r="OF134" s="30"/>
      <c r="OG134" s="30"/>
      <c r="OH134" s="30"/>
      <c r="OI134" s="30"/>
      <c r="OJ134" s="30"/>
      <c r="OK134" s="30"/>
      <c r="OL134" s="30"/>
      <c r="OM134" s="30"/>
      <c r="ON134" s="30"/>
      <c r="OO134" s="30"/>
      <c r="OP134" s="30"/>
      <c r="OQ134" s="30"/>
      <c r="OR134" s="30"/>
      <c r="OS134" s="30"/>
      <c r="OT134" s="30"/>
      <c r="OU134" s="30"/>
      <c r="OV134" s="30"/>
      <c r="OW134" s="30"/>
      <c r="OX134" s="30"/>
      <c r="OY134" s="30"/>
      <c r="OZ134" s="30"/>
      <c r="PA134" s="30"/>
      <c r="PB134" s="30"/>
      <c r="PC134" s="30"/>
      <c r="PD134" s="30"/>
      <c r="PE134" s="30"/>
      <c r="PF134" s="30"/>
      <c r="PG134" s="30"/>
      <c r="PH134" s="30"/>
      <c r="PI134" s="30"/>
      <c r="PJ134" s="30"/>
      <c r="PK134" s="30"/>
      <c r="PL134" s="30"/>
      <c r="PM134" s="30"/>
      <c r="PN134" s="30"/>
      <c r="PO134" s="30"/>
      <c r="PP134" s="30"/>
      <c r="PQ134" s="30"/>
      <c r="PR134" s="30"/>
      <c r="PS134" s="30"/>
      <c r="PT134" s="30"/>
      <c r="PU134" s="30"/>
      <c r="PV134" s="30"/>
      <c r="PW134" s="30"/>
      <c r="PX134" s="30"/>
      <c r="PY134" s="30"/>
      <c r="PZ134" s="30"/>
      <c r="QA134" s="30"/>
      <c r="QB134" s="30"/>
      <c r="QC134" s="30"/>
      <c r="QD134" s="30"/>
      <c r="QE134" s="30"/>
      <c r="QF134" s="30"/>
      <c r="QG134" s="30"/>
      <c r="QH134" s="30"/>
      <c r="QI134" s="30"/>
      <c r="QJ134" s="30"/>
      <c r="QK134" s="30"/>
      <c r="QL134" s="30"/>
      <c r="QM134" s="30"/>
      <c r="QN134" s="30"/>
      <c r="QO134" s="30"/>
      <c r="QP134" s="30"/>
      <c r="QQ134" s="30"/>
      <c r="QR134" s="30"/>
      <c r="QS134" s="30"/>
      <c r="QT134" s="30"/>
      <c r="QU134" s="30"/>
      <c r="QV134" s="30"/>
      <c r="QW134" s="30"/>
      <c r="QX134" s="30"/>
      <c r="QY134" s="30"/>
      <c r="QZ134" s="30"/>
      <c r="RA134" s="30"/>
      <c r="RB134" s="30"/>
      <c r="RC134" s="30"/>
      <c r="RD134" s="30"/>
      <c r="RE134" s="30"/>
      <c r="RF134" s="30"/>
      <c r="RG134" s="30"/>
      <c r="RH134" s="30"/>
      <c r="RI134" s="30"/>
      <c r="RJ134" s="30"/>
      <c r="RK134" s="30"/>
      <c r="RL134" s="30"/>
      <c r="RM134" s="30"/>
      <c r="RN134" s="30"/>
      <c r="RO134" s="30"/>
      <c r="RP134" s="30"/>
      <c r="RQ134" s="30"/>
      <c r="RR134" s="30"/>
      <c r="RS134" s="30"/>
      <c r="RT134" s="30"/>
      <c r="RU134" s="30"/>
      <c r="RV134" s="30"/>
      <c r="RW134" s="30"/>
      <c r="RX134" s="30"/>
      <c r="RY134" s="30"/>
      <c r="RZ134" s="30"/>
      <c r="SA134" s="30"/>
      <c r="SB134" s="30"/>
      <c r="SC134" s="30"/>
      <c r="SD134" s="30"/>
      <c r="SE134" s="30"/>
      <c r="SF134" s="30"/>
      <c r="SG134" s="30"/>
      <c r="SH134" s="30"/>
      <c r="SI134" s="30"/>
      <c r="SJ134" s="30"/>
      <c r="SK134" s="30"/>
      <c r="SL134" s="30"/>
      <c r="SM134" s="30"/>
      <c r="SN134" s="30"/>
      <c r="SO134" s="30"/>
      <c r="SP134" s="30"/>
      <c r="SQ134" s="30"/>
      <c r="SR134" s="30"/>
      <c r="SS134" s="30"/>
      <c r="ST134" s="30"/>
      <c r="SU134" s="30"/>
      <c r="SV134" s="30"/>
      <c r="SW134" s="30"/>
      <c r="SX134" s="30"/>
      <c r="SY134" s="30"/>
      <c r="SZ134" s="30"/>
      <c r="TA134" s="30"/>
      <c r="TB134" s="30"/>
      <c r="TC134" s="30"/>
      <c r="TD134" s="30"/>
      <c r="TE134" s="30"/>
      <c r="TF134" s="30"/>
      <c r="TG134" s="30"/>
    </row>
    <row r="135" spans="1:527" s="22" customFormat="1" ht="31.5" x14ac:dyDescent="0.25">
      <c r="A135" s="60" t="s">
        <v>450</v>
      </c>
      <c r="B135" s="97">
        <v>2020</v>
      </c>
      <c r="C135" s="60" t="s">
        <v>451</v>
      </c>
      <c r="D135" s="61" t="str">
        <f>'дод 5'!C84</f>
        <v xml:space="preserve"> Спеціалізована стаціонарна медична допомога населенню</v>
      </c>
      <c r="E135" s="103">
        <f t="shared" si="53"/>
        <v>90000</v>
      </c>
      <c r="F135" s="103">
        <v>90000</v>
      </c>
      <c r="G135" s="117"/>
      <c r="H135" s="117"/>
      <c r="I135" s="117"/>
      <c r="J135" s="103">
        <f t="shared" si="55"/>
        <v>0</v>
      </c>
      <c r="K135" s="103"/>
      <c r="L135" s="103"/>
      <c r="M135" s="103"/>
      <c r="N135" s="103"/>
      <c r="O135" s="103"/>
      <c r="P135" s="103">
        <f t="shared" si="54"/>
        <v>90000</v>
      </c>
      <c r="Q135" s="188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  <c r="IU135" s="23"/>
      <c r="IV135" s="23"/>
      <c r="IW135" s="23"/>
      <c r="IX135" s="23"/>
      <c r="IY135" s="23"/>
      <c r="IZ135" s="23"/>
      <c r="JA135" s="23"/>
      <c r="JB135" s="23"/>
      <c r="JC135" s="23"/>
      <c r="JD135" s="23"/>
      <c r="JE135" s="23"/>
      <c r="JF135" s="23"/>
      <c r="JG135" s="23"/>
      <c r="JH135" s="23"/>
      <c r="JI135" s="23"/>
      <c r="JJ135" s="23"/>
      <c r="JK135" s="23"/>
      <c r="JL135" s="23"/>
      <c r="JM135" s="23"/>
      <c r="JN135" s="23"/>
      <c r="JO135" s="23"/>
      <c r="JP135" s="23"/>
      <c r="JQ135" s="23"/>
      <c r="JR135" s="23"/>
      <c r="JS135" s="23"/>
      <c r="JT135" s="23"/>
      <c r="JU135" s="23"/>
      <c r="JV135" s="23"/>
      <c r="JW135" s="23"/>
      <c r="JX135" s="23"/>
      <c r="JY135" s="23"/>
      <c r="JZ135" s="23"/>
      <c r="KA135" s="23"/>
      <c r="KB135" s="23"/>
      <c r="KC135" s="23"/>
      <c r="KD135" s="23"/>
      <c r="KE135" s="23"/>
      <c r="KF135" s="23"/>
      <c r="KG135" s="23"/>
      <c r="KH135" s="23"/>
      <c r="KI135" s="23"/>
      <c r="KJ135" s="23"/>
      <c r="KK135" s="23"/>
      <c r="KL135" s="23"/>
      <c r="KM135" s="23"/>
      <c r="KN135" s="23"/>
      <c r="KO135" s="23"/>
      <c r="KP135" s="23"/>
      <c r="KQ135" s="23"/>
      <c r="KR135" s="23"/>
      <c r="KS135" s="23"/>
      <c r="KT135" s="23"/>
      <c r="KU135" s="23"/>
      <c r="KV135" s="23"/>
      <c r="KW135" s="23"/>
      <c r="KX135" s="23"/>
      <c r="KY135" s="23"/>
      <c r="KZ135" s="23"/>
      <c r="LA135" s="23"/>
      <c r="LB135" s="23"/>
      <c r="LC135" s="23"/>
      <c r="LD135" s="23"/>
      <c r="LE135" s="23"/>
      <c r="LF135" s="23"/>
      <c r="LG135" s="23"/>
      <c r="LH135" s="23"/>
      <c r="LI135" s="23"/>
      <c r="LJ135" s="23"/>
      <c r="LK135" s="23"/>
      <c r="LL135" s="23"/>
      <c r="LM135" s="23"/>
      <c r="LN135" s="23"/>
      <c r="LO135" s="23"/>
      <c r="LP135" s="23"/>
      <c r="LQ135" s="23"/>
      <c r="LR135" s="23"/>
      <c r="LS135" s="23"/>
      <c r="LT135" s="23"/>
      <c r="LU135" s="23"/>
      <c r="LV135" s="23"/>
      <c r="LW135" s="23"/>
      <c r="LX135" s="23"/>
      <c r="LY135" s="23"/>
      <c r="LZ135" s="23"/>
      <c r="MA135" s="23"/>
      <c r="MB135" s="23"/>
      <c r="MC135" s="23"/>
      <c r="MD135" s="23"/>
      <c r="ME135" s="23"/>
      <c r="MF135" s="23"/>
      <c r="MG135" s="23"/>
      <c r="MH135" s="23"/>
      <c r="MI135" s="23"/>
      <c r="MJ135" s="23"/>
      <c r="MK135" s="23"/>
      <c r="ML135" s="23"/>
      <c r="MM135" s="23"/>
      <c r="MN135" s="23"/>
      <c r="MO135" s="23"/>
      <c r="MP135" s="23"/>
      <c r="MQ135" s="23"/>
      <c r="MR135" s="23"/>
      <c r="MS135" s="23"/>
      <c r="MT135" s="23"/>
      <c r="MU135" s="23"/>
      <c r="MV135" s="23"/>
      <c r="MW135" s="23"/>
      <c r="MX135" s="23"/>
      <c r="MY135" s="23"/>
      <c r="MZ135" s="23"/>
      <c r="NA135" s="23"/>
      <c r="NB135" s="23"/>
      <c r="NC135" s="23"/>
      <c r="ND135" s="23"/>
      <c r="NE135" s="23"/>
      <c r="NF135" s="23"/>
      <c r="NG135" s="23"/>
      <c r="NH135" s="23"/>
      <c r="NI135" s="23"/>
      <c r="NJ135" s="23"/>
      <c r="NK135" s="23"/>
      <c r="NL135" s="23"/>
      <c r="NM135" s="23"/>
      <c r="NN135" s="23"/>
      <c r="NO135" s="23"/>
      <c r="NP135" s="23"/>
      <c r="NQ135" s="23"/>
      <c r="NR135" s="23"/>
      <c r="NS135" s="23"/>
      <c r="NT135" s="23"/>
      <c r="NU135" s="23"/>
      <c r="NV135" s="23"/>
      <c r="NW135" s="23"/>
      <c r="NX135" s="23"/>
      <c r="NY135" s="23"/>
      <c r="NZ135" s="23"/>
      <c r="OA135" s="23"/>
      <c r="OB135" s="23"/>
      <c r="OC135" s="23"/>
      <c r="OD135" s="23"/>
      <c r="OE135" s="23"/>
      <c r="OF135" s="23"/>
      <c r="OG135" s="23"/>
      <c r="OH135" s="23"/>
      <c r="OI135" s="23"/>
      <c r="OJ135" s="23"/>
      <c r="OK135" s="23"/>
      <c r="OL135" s="23"/>
      <c r="OM135" s="23"/>
      <c r="ON135" s="23"/>
      <c r="OO135" s="23"/>
      <c r="OP135" s="23"/>
      <c r="OQ135" s="23"/>
      <c r="OR135" s="23"/>
      <c r="OS135" s="23"/>
      <c r="OT135" s="23"/>
      <c r="OU135" s="23"/>
      <c r="OV135" s="23"/>
      <c r="OW135" s="23"/>
      <c r="OX135" s="23"/>
      <c r="OY135" s="23"/>
      <c r="OZ135" s="23"/>
      <c r="PA135" s="23"/>
      <c r="PB135" s="23"/>
      <c r="PC135" s="23"/>
      <c r="PD135" s="23"/>
      <c r="PE135" s="23"/>
      <c r="PF135" s="23"/>
      <c r="PG135" s="23"/>
      <c r="PH135" s="23"/>
      <c r="PI135" s="23"/>
      <c r="PJ135" s="23"/>
      <c r="PK135" s="23"/>
      <c r="PL135" s="23"/>
      <c r="PM135" s="23"/>
      <c r="PN135" s="23"/>
      <c r="PO135" s="23"/>
      <c r="PP135" s="23"/>
      <c r="PQ135" s="23"/>
      <c r="PR135" s="23"/>
      <c r="PS135" s="23"/>
      <c r="PT135" s="23"/>
      <c r="PU135" s="23"/>
      <c r="PV135" s="23"/>
      <c r="PW135" s="23"/>
      <c r="PX135" s="23"/>
      <c r="PY135" s="23"/>
      <c r="PZ135" s="23"/>
      <c r="QA135" s="23"/>
      <c r="QB135" s="23"/>
      <c r="QC135" s="23"/>
      <c r="QD135" s="23"/>
      <c r="QE135" s="23"/>
      <c r="QF135" s="23"/>
      <c r="QG135" s="23"/>
      <c r="QH135" s="23"/>
      <c r="QI135" s="23"/>
      <c r="QJ135" s="23"/>
      <c r="QK135" s="23"/>
      <c r="QL135" s="23"/>
      <c r="QM135" s="23"/>
      <c r="QN135" s="23"/>
      <c r="QO135" s="23"/>
      <c r="QP135" s="23"/>
      <c r="QQ135" s="23"/>
      <c r="QR135" s="23"/>
      <c r="QS135" s="23"/>
      <c r="QT135" s="23"/>
      <c r="QU135" s="23"/>
      <c r="QV135" s="23"/>
      <c r="QW135" s="23"/>
      <c r="QX135" s="23"/>
      <c r="QY135" s="23"/>
      <c r="QZ135" s="23"/>
      <c r="RA135" s="23"/>
      <c r="RB135" s="23"/>
      <c r="RC135" s="23"/>
      <c r="RD135" s="23"/>
      <c r="RE135" s="23"/>
      <c r="RF135" s="23"/>
      <c r="RG135" s="23"/>
      <c r="RH135" s="23"/>
      <c r="RI135" s="23"/>
      <c r="RJ135" s="23"/>
      <c r="RK135" s="23"/>
      <c r="RL135" s="23"/>
      <c r="RM135" s="23"/>
      <c r="RN135" s="23"/>
      <c r="RO135" s="23"/>
      <c r="RP135" s="23"/>
      <c r="RQ135" s="23"/>
      <c r="RR135" s="23"/>
      <c r="RS135" s="23"/>
      <c r="RT135" s="23"/>
      <c r="RU135" s="23"/>
      <c r="RV135" s="23"/>
      <c r="RW135" s="23"/>
      <c r="RX135" s="23"/>
      <c r="RY135" s="23"/>
      <c r="RZ135" s="23"/>
      <c r="SA135" s="23"/>
      <c r="SB135" s="23"/>
      <c r="SC135" s="23"/>
      <c r="SD135" s="23"/>
      <c r="SE135" s="23"/>
      <c r="SF135" s="23"/>
      <c r="SG135" s="23"/>
      <c r="SH135" s="23"/>
      <c r="SI135" s="23"/>
      <c r="SJ135" s="23"/>
      <c r="SK135" s="23"/>
      <c r="SL135" s="23"/>
      <c r="SM135" s="23"/>
      <c r="SN135" s="23"/>
      <c r="SO135" s="23"/>
      <c r="SP135" s="23"/>
      <c r="SQ135" s="23"/>
      <c r="SR135" s="23"/>
      <c r="SS135" s="23"/>
      <c r="ST135" s="23"/>
      <c r="SU135" s="23"/>
      <c r="SV135" s="23"/>
      <c r="SW135" s="23"/>
      <c r="SX135" s="23"/>
      <c r="SY135" s="23"/>
      <c r="SZ135" s="23"/>
      <c r="TA135" s="23"/>
      <c r="TB135" s="23"/>
      <c r="TC135" s="23"/>
      <c r="TD135" s="23"/>
      <c r="TE135" s="23"/>
      <c r="TF135" s="23"/>
      <c r="TG135" s="23"/>
    </row>
    <row r="136" spans="1:527" s="22" customFormat="1" ht="36.75" customHeight="1" x14ac:dyDescent="0.25">
      <c r="A136" s="60" t="s">
        <v>179</v>
      </c>
      <c r="B136" s="97" t="str">
        <f>'дод 5'!A85</f>
        <v>2030</v>
      </c>
      <c r="C136" s="97" t="str">
        <f>'дод 5'!B85</f>
        <v>0733</v>
      </c>
      <c r="D136" s="61" t="s">
        <v>468</v>
      </c>
      <c r="E136" s="103">
        <f t="shared" si="53"/>
        <v>3742159</v>
      </c>
      <c r="F136" s="103">
        <f>3317600+424559</f>
        <v>3742159</v>
      </c>
      <c r="G136" s="119"/>
      <c r="H136" s="119"/>
      <c r="I136" s="117"/>
      <c r="J136" s="103">
        <f t="shared" si="55"/>
        <v>5100000</v>
      </c>
      <c r="K136" s="103">
        <v>5100000</v>
      </c>
      <c r="L136" s="103"/>
      <c r="M136" s="103"/>
      <c r="N136" s="103"/>
      <c r="O136" s="103">
        <v>5100000</v>
      </c>
      <c r="P136" s="103">
        <f t="shared" si="54"/>
        <v>8842159</v>
      </c>
      <c r="Q136" s="188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F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N136" s="23"/>
      <c r="MO136" s="23"/>
      <c r="MP136" s="23"/>
      <c r="MQ136" s="23"/>
      <c r="MR136" s="23"/>
      <c r="MS136" s="23"/>
      <c r="MT136" s="23"/>
      <c r="MU136" s="23"/>
      <c r="MV136" s="23"/>
      <c r="MW136" s="23"/>
      <c r="MX136" s="23"/>
      <c r="MY136" s="23"/>
      <c r="MZ136" s="23"/>
      <c r="NA136" s="23"/>
      <c r="NB136" s="23"/>
      <c r="NC136" s="23"/>
      <c r="ND136" s="23"/>
      <c r="NE136" s="23"/>
      <c r="NF136" s="23"/>
      <c r="NG136" s="23"/>
      <c r="NH136" s="23"/>
      <c r="NI136" s="23"/>
      <c r="NJ136" s="23"/>
      <c r="NK136" s="23"/>
      <c r="NL136" s="23"/>
      <c r="NM136" s="23"/>
      <c r="NN136" s="23"/>
      <c r="NO136" s="23"/>
      <c r="NP136" s="23"/>
      <c r="NQ136" s="23"/>
      <c r="NR136" s="23"/>
      <c r="NS136" s="23"/>
      <c r="NT136" s="23"/>
      <c r="NU136" s="23"/>
      <c r="NV136" s="23"/>
      <c r="NW136" s="23"/>
      <c r="NX136" s="23"/>
      <c r="NY136" s="23"/>
      <c r="NZ136" s="23"/>
      <c r="OA136" s="23"/>
      <c r="OB136" s="23"/>
      <c r="OC136" s="23"/>
      <c r="OD136" s="23"/>
      <c r="OE136" s="23"/>
      <c r="OF136" s="23"/>
      <c r="OG136" s="23"/>
      <c r="OH136" s="23"/>
      <c r="OI136" s="23"/>
      <c r="OJ136" s="23"/>
      <c r="OK136" s="23"/>
      <c r="OL136" s="23"/>
      <c r="OM136" s="23"/>
      <c r="ON136" s="23"/>
      <c r="OO136" s="23"/>
      <c r="OP136" s="23"/>
      <c r="OQ136" s="23"/>
      <c r="OR136" s="23"/>
      <c r="OS136" s="23"/>
      <c r="OT136" s="23"/>
      <c r="OU136" s="23"/>
      <c r="OV136" s="23"/>
      <c r="OW136" s="23"/>
      <c r="OX136" s="23"/>
      <c r="OY136" s="23"/>
      <c r="OZ136" s="23"/>
      <c r="PA136" s="23"/>
      <c r="PB136" s="23"/>
      <c r="PC136" s="23"/>
      <c r="PD136" s="23"/>
      <c r="PE136" s="23"/>
      <c r="PF136" s="23"/>
      <c r="PG136" s="23"/>
      <c r="PH136" s="23"/>
      <c r="PI136" s="23"/>
      <c r="PJ136" s="23"/>
      <c r="PK136" s="23"/>
      <c r="PL136" s="23"/>
      <c r="PM136" s="23"/>
      <c r="PN136" s="23"/>
      <c r="PO136" s="23"/>
      <c r="PP136" s="23"/>
      <c r="PQ136" s="23"/>
      <c r="PR136" s="23"/>
      <c r="PS136" s="23"/>
      <c r="PT136" s="23"/>
      <c r="PU136" s="23"/>
      <c r="PV136" s="23"/>
      <c r="PW136" s="23"/>
      <c r="PX136" s="23"/>
      <c r="PY136" s="23"/>
      <c r="PZ136" s="23"/>
      <c r="QA136" s="23"/>
      <c r="QB136" s="23"/>
      <c r="QC136" s="23"/>
      <c r="QD136" s="23"/>
      <c r="QE136" s="23"/>
      <c r="QF136" s="23"/>
      <c r="QG136" s="23"/>
      <c r="QH136" s="23"/>
      <c r="QI136" s="23"/>
      <c r="QJ136" s="23"/>
      <c r="QK136" s="23"/>
      <c r="QL136" s="23"/>
      <c r="QM136" s="23"/>
      <c r="QN136" s="23"/>
      <c r="QO136" s="23"/>
      <c r="QP136" s="23"/>
      <c r="QQ136" s="23"/>
      <c r="QR136" s="23"/>
      <c r="QS136" s="23"/>
      <c r="QT136" s="23"/>
      <c r="QU136" s="23"/>
      <c r="QV136" s="23"/>
      <c r="QW136" s="23"/>
      <c r="QX136" s="23"/>
      <c r="QY136" s="23"/>
      <c r="QZ136" s="23"/>
      <c r="RA136" s="23"/>
      <c r="RB136" s="23"/>
      <c r="RC136" s="23"/>
      <c r="RD136" s="23"/>
      <c r="RE136" s="23"/>
      <c r="RF136" s="23"/>
      <c r="RG136" s="23"/>
      <c r="RH136" s="23"/>
      <c r="RI136" s="23"/>
      <c r="RJ136" s="23"/>
      <c r="RK136" s="23"/>
      <c r="RL136" s="23"/>
      <c r="RM136" s="23"/>
      <c r="RN136" s="23"/>
      <c r="RO136" s="23"/>
      <c r="RP136" s="23"/>
      <c r="RQ136" s="23"/>
      <c r="RR136" s="23"/>
      <c r="RS136" s="23"/>
      <c r="RT136" s="23"/>
      <c r="RU136" s="23"/>
      <c r="RV136" s="23"/>
      <c r="RW136" s="23"/>
      <c r="RX136" s="23"/>
      <c r="RY136" s="23"/>
      <c r="RZ136" s="23"/>
      <c r="SA136" s="23"/>
      <c r="SB136" s="23"/>
      <c r="SC136" s="23"/>
      <c r="SD136" s="23"/>
      <c r="SE136" s="23"/>
      <c r="SF136" s="23"/>
      <c r="SG136" s="23"/>
      <c r="SH136" s="23"/>
      <c r="SI136" s="23"/>
      <c r="SJ136" s="23"/>
      <c r="SK136" s="23"/>
      <c r="SL136" s="23"/>
      <c r="SM136" s="23"/>
      <c r="SN136" s="23"/>
      <c r="SO136" s="23"/>
      <c r="SP136" s="23"/>
      <c r="SQ136" s="23"/>
      <c r="SR136" s="23"/>
      <c r="SS136" s="23"/>
      <c r="ST136" s="23"/>
      <c r="SU136" s="23"/>
      <c r="SV136" s="23"/>
      <c r="SW136" s="23"/>
      <c r="SX136" s="23"/>
      <c r="SY136" s="23"/>
      <c r="SZ136" s="23"/>
      <c r="TA136" s="23"/>
      <c r="TB136" s="23"/>
      <c r="TC136" s="23"/>
      <c r="TD136" s="23"/>
      <c r="TE136" s="23"/>
      <c r="TF136" s="23"/>
      <c r="TG136" s="23"/>
    </row>
    <row r="137" spans="1:527" s="24" customFormat="1" ht="30" hidden="1" customHeight="1" x14ac:dyDescent="0.25">
      <c r="A137" s="88"/>
      <c r="B137" s="115"/>
      <c r="C137" s="115"/>
      <c r="D137" s="91" t="s">
        <v>392</v>
      </c>
      <c r="E137" s="105">
        <f t="shared" si="53"/>
        <v>0</v>
      </c>
      <c r="F137" s="105"/>
      <c r="G137" s="118"/>
      <c r="H137" s="118"/>
      <c r="I137" s="118"/>
      <c r="J137" s="105"/>
      <c r="K137" s="105"/>
      <c r="L137" s="105"/>
      <c r="M137" s="105"/>
      <c r="N137" s="105"/>
      <c r="O137" s="105"/>
      <c r="P137" s="105">
        <f t="shared" si="54"/>
        <v>0</v>
      </c>
      <c r="Q137" s="188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  <c r="IW137" s="30"/>
      <c r="IX137" s="30"/>
      <c r="IY137" s="30"/>
      <c r="IZ137" s="30"/>
      <c r="JA137" s="30"/>
      <c r="JB137" s="30"/>
      <c r="JC137" s="30"/>
      <c r="JD137" s="30"/>
      <c r="JE137" s="30"/>
      <c r="JF137" s="30"/>
      <c r="JG137" s="30"/>
      <c r="JH137" s="30"/>
      <c r="JI137" s="30"/>
      <c r="JJ137" s="30"/>
      <c r="JK137" s="30"/>
      <c r="JL137" s="30"/>
      <c r="JM137" s="30"/>
      <c r="JN137" s="30"/>
      <c r="JO137" s="30"/>
      <c r="JP137" s="30"/>
      <c r="JQ137" s="30"/>
      <c r="JR137" s="30"/>
      <c r="JS137" s="30"/>
      <c r="JT137" s="30"/>
      <c r="JU137" s="30"/>
      <c r="JV137" s="30"/>
      <c r="JW137" s="30"/>
      <c r="JX137" s="30"/>
      <c r="JY137" s="30"/>
      <c r="JZ137" s="30"/>
      <c r="KA137" s="30"/>
      <c r="KB137" s="30"/>
      <c r="KC137" s="30"/>
      <c r="KD137" s="30"/>
      <c r="KE137" s="30"/>
      <c r="KF137" s="30"/>
      <c r="KG137" s="30"/>
      <c r="KH137" s="30"/>
      <c r="KI137" s="30"/>
      <c r="KJ137" s="30"/>
      <c r="KK137" s="30"/>
      <c r="KL137" s="30"/>
      <c r="KM137" s="30"/>
      <c r="KN137" s="30"/>
      <c r="KO137" s="30"/>
      <c r="KP137" s="30"/>
      <c r="KQ137" s="30"/>
      <c r="KR137" s="30"/>
      <c r="KS137" s="30"/>
      <c r="KT137" s="30"/>
      <c r="KU137" s="30"/>
      <c r="KV137" s="30"/>
      <c r="KW137" s="30"/>
      <c r="KX137" s="30"/>
      <c r="KY137" s="30"/>
      <c r="KZ137" s="30"/>
      <c r="LA137" s="30"/>
      <c r="LB137" s="30"/>
      <c r="LC137" s="30"/>
      <c r="LD137" s="30"/>
      <c r="LE137" s="30"/>
      <c r="LF137" s="30"/>
      <c r="LG137" s="30"/>
      <c r="LH137" s="30"/>
      <c r="LI137" s="30"/>
      <c r="LJ137" s="30"/>
      <c r="LK137" s="30"/>
      <c r="LL137" s="30"/>
      <c r="LM137" s="30"/>
      <c r="LN137" s="30"/>
      <c r="LO137" s="30"/>
      <c r="LP137" s="30"/>
      <c r="LQ137" s="30"/>
      <c r="LR137" s="30"/>
      <c r="LS137" s="30"/>
      <c r="LT137" s="30"/>
      <c r="LU137" s="30"/>
      <c r="LV137" s="30"/>
      <c r="LW137" s="30"/>
      <c r="LX137" s="30"/>
      <c r="LY137" s="30"/>
      <c r="LZ137" s="30"/>
      <c r="MA137" s="30"/>
      <c r="MB137" s="30"/>
      <c r="MC137" s="30"/>
      <c r="MD137" s="30"/>
      <c r="ME137" s="30"/>
      <c r="MF137" s="30"/>
      <c r="MG137" s="30"/>
      <c r="MH137" s="30"/>
      <c r="MI137" s="30"/>
      <c r="MJ137" s="30"/>
      <c r="MK137" s="30"/>
      <c r="ML137" s="30"/>
      <c r="MM137" s="30"/>
      <c r="MN137" s="30"/>
      <c r="MO137" s="30"/>
      <c r="MP137" s="30"/>
      <c r="MQ137" s="30"/>
      <c r="MR137" s="30"/>
      <c r="MS137" s="30"/>
      <c r="MT137" s="30"/>
      <c r="MU137" s="30"/>
      <c r="MV137" s="30"/>
      <c r="MW137" s="30"/>
      <c r="MX137" s="30"/>
      <c r="MY137" s="30"/>
      <c r="MZ137" s="30"/>
      <c r="NA137" s="30"/>
      <c r="NB137" s="30"/>
      <c r="NC137" s="30"/>
      <c r="ND137" s="30"/>
      <c r="NE137" s="30"/>
      <c r="NF137" s="30"/>
      <c r="NG137" s="30"/>
      <c r="NH137" s="30"/>
      <c r="NI137" s="30"/>
      <c r="NJ137" s="30"/>
      <c r="NK137" s="30"/>
      <c r="NL137" s="30"/>
      <c r="NM137" s="30"/>
      <c r="NN137" s="30"/>
      <c r="NO137" s="30"/>
      <c r="NP137" s="30"/>
      <c r="NQ137" s="30"/>
      <c r="NR137" s="30"/>
      <c r="NS137" s="30"/>
      <c r="NT137" s="30"/>
      <c r="NU137" s="30"/>
      <c r="NV137" s="30"/>
      <c r="NW137" s="30"/>
      <c r="NX137" s="30"/>
      <c r="NY137" s="30"/>
      <c r="NZ137" s="30"/>
      <c r="OA137" s="30"/>
      <c r="OB137" s="30"/>
      <c r="OC137" s="30"/>
      <c r="OD137" s="30"/>
      <c r="OE137" s="30"/>
      <c r="OF137" s="30"/>
      <c r="OG137" s="30"/>
      <c r="OH137" s="30"/>
      <c r="OI137" s="30"/>
      <c r="OJ137" s="30"/>
      <c r="OK137" s="30"/>
      <c r="OL137" s="30"/>
      <c r="OM137" s="30"/>
      <c r="ON137" s="30"/>
      <c r="OO137" s="30"/>
      <c r="OP137" s="30"/>
      <c r="OQ137" s="30"/>
      <c r="OR137" s="30"/>
      <c r="OS137" s="30"/>
      <c r="OT137" s="30"/>
      <c r="OU137" s="30"/>
      <c r="OV137" s="30"/>
      <c r="OW137" s="30"/>
      <c r="OX137" s="30"/>
      <c r="OY137" s="30"/>
      <c r="OZ137" s="30"/>
      <c r="PA137" s="30"/>
      <c r="PB137" s="30"/>
      <c r="PC137" s="30"/>
      <c r="PD137" s="30"/>
      <c r="PE137" s="30"/>
      <c r="PF137" s="30"/>
      <c r="PG137" s="30"/>
      <c r="PH137" s="30"/>
      <c r="PI137" s="30"/>
      <c r="PJ137" s="30"/>
      <c r="PK137" s="30"/>
      <c r="PL137" s="30"/>
      <c r="PM137" s="30"/>
      <c r="PN137" s="30"/>
      <c r="PO137" s="30"/>
      <c r="PP137" s="30"/>
      <c r="PQ137" s="30"/>
      <c r="PR137" s="30"/>
      <c r="PS137" s="30"/>
      <c r="PT137" s="30"/>
      <c r="PU137" s="30"/>
      <c r="PV137" s="30"/>
      <c r="PW137" s="30"/>
      <c r="PX137" s="30"/>
      <c r="PY137" s="30"/>
      <c r="PZ137" s="30"/>
      <c r="QA137" s="30"/>
      <c r="QB137" s="30"/>
      <c r="QC137" s="30"/>
      <c r="QD137" s="30"/>
      <c r="QE137" s="30"/>
      <c r="QF137" s="30"/>
      <c r="QG137" s="30"/>
      <c r="QH137" s="30"/>
      <c r="QI137" s="30"/>
      <c r="QJ137" s="30"/>
      <c r="QK137" s="30"/>
      <c r="QL137" s="30"/>
      <c r="QM137" s="30"/>
      <c r="QN137" s="30"/>
      <c r="QO137" s="30"/>
      <c r="QP137" s="30"/>
      <c r="QQ137" s="30"/>
      <c r="QR137" s="30"/>
      <c r="QS137" s="30"/>
      <c r="QT137" s="30"/>
      <c r="QU137" s="30"/>
      <c r="QV137" s="30"/>
      <c r="QW137" s="30"/>
      <c r="QX137" s="30"/>
      <c r="QY137" s="30"/>
      <c r="QZ137" s="30"/>
      <c r="RA137" s="30"/>
      <c r="RB137" s="30"/>
      <c r="RC137" s="30"/>
      <c r="RD137" s="30"/>
      <c r="RE137" s="30"/>
      <c r="RF137" s="30"/>
      <c r="RG137" s="30"/>
      <c r="RH137" s="30"/>
      <c r="RI137" s="30"/>
      <c r="RJ137" s="30"/>
      <c r="RK137" s="30"/>
      <c r="RL137" s="30"/>
      <c r="RM137" s="30"/>
      <c r="RN137" s="30"/>
      <c r="RO137" s="30"/>
      <c r="RP137" s="30"/>
      <c r="RQ137" s="30"/>
      <c r="RR137" s="30"/>
      <c r="RS137" s="30"/>
      <c r="RT137" s="30"/>
      <c r="RU137" s="30"/>
      <c r="RV137" s="30"/>
      <c r="RW137" s="30"/>
      <c r="RX137" s="30"/>
      <c r="RY137" s="30"/>
      <c r="RZ137" s="30"/>
      <c r="SA137" s="30"/>
      <c r="SB137" s="30"/>
      <c r="SC137" s="30"/>
      <c r="SD137" s="30"/>
      <c r="SE137" s="30"/>
      <c r="SF137" s="30"/>
      <c r="SG137" s="30"/>
      <c r="SH137" s="30"/>
      <c r="SI137" s="30"/>
      <c r="SJ137" s="30"/>
      <c r="SK137" s="30"/>
      <c r="SL137" s="30"/>
      <c r="SM137" s="30"/>
      <c r="SN137" s="30"/>
      <c r="SO137" s="30"/>
      <c r="SP137" s="30"/>
      <c r="SQ137" s="30"/>
      <c r="SR137" s="30"/>
      <c r="SS137" s="30"/>
      <c r="ST137" s="30"/>
      <c r="SU137" s="30"/>
      <c r="SV137" s="30"/>
      <c r="SW137" s="30"/>
      <c r="SX137" s="30"/>
      <c r="SY137" s="30"/>
      <c r="SZ137" s="30"/>
      <c r="TA137" s="30"/>
      <c r="TB137" s="30"/>
      <c r="TC137" s="30"/>
      <c r="TD137" s="30"/>
      <c r="TE137" s="30"/>
      <c r="TF137" s="30"/>
      <c r="TG137" s="30"/>
    </row>
    <row r="138" spans="1:527" s="22" customFormat="1" ht="24" customHeight="1" x14ac:dyDescent="0.25">
      <c r="A138" s="60" t="s">
        <v>178</v>
      </c>
      <c r="B138" s="97" t="str">
        <f>'дод 5'!A87</f>
        <v>2100</v>
      </c>
      <c r="C138" s="97" t="str">
        <f>'дод 5'!B87</f>
        <v>0722</v>
      </c>
      <c r="D138" s="61" t="str">
        <f>'дод 5'!C87</f>
        <v>Стоматологічна допомога населенню</v>
      </c>
      <c r="E138" s="103">
        <f t="shared" si="53"/>
        <v>7683806</v>
      </c>
      <c r="F138" s="103">
        <f>7602100+81706</f>
        <v>7683806</v>
      </c>
      <c r="G138" s="119"/>
      <c r="H138" s="119"/>
      <c r="I138" s="117"/>
      <c r="J138" s="103">
        <f t="shared" si="55"/>
        <v>0</v>
      </c>
      <c r="K138" s="103"/>
      <c r="L138" s="103"/>
      <c r="M138" s="103"/>
      <c r="N138" s="103"/>
      <c r="O138" s="103"/>
      <c r="P138" s="103">
        <f t="shared" si="54"/>
        <v>7683806</v>
      </c>
      <c r="Q138" s="188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  <c r="TG138" s="23"/>
    </row>
    <row r="139" spans="1:527" s="24" customFormat="1" ht="30" hidden="1" customHeight="1" x14ac:dyDescent="0.25">
      <c r="A139" s="88"/>
      <c r="B139" s="115"/>
      <c r="C139" s="115"/>
      <c r="D139" s="91" t="s">
        <v>392</v>
      </c>
      <c r="E139" s="105">
        <f t="shared" si="53"/>
        <v>0</v>
      </c>
      <c r="F139" s="105"/>
      <c r="G139" s="118"/>
      <c r="H139" s="118"/>
      <c r="I139" s="118"/>
      <c r="J139" s="105">
        <f t="shared" si="55"/>
        <v>0</v>
      </c>
      <c r="K139" s="105"/>
      <c r="L139" s="105"/>
      <c r="M139" s="105"/>
      <c r="N139" s="105"/>
      <c r="O139" s="105"/>
      <c r="P139" s="105">
        <f t="shared" si="54"/>
        <v>0</v>
      </c>
      <c r="Q139" s="188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  <c r="SO139" s="30"/>
      <c r="SP139" s="30"/>
      <c r="SQ139" s="30"/>
      <c r="SR139" s="30"/>
      <c r="SS139" s="30"/>
      <c r="ST139" s="30"/>
      <c r="SU139" s="30"/>
      <c r="SV139" s="30"/>
      <c r="SW139" s="30"/>
      <c r="SX139" s="30"/>
      <c r="SY139" s="30"/>
      <c r="SZ139" s="30"/>
      <c r="TA139" s="30"/>
      <c r="TB139" s="30"/>
      <c r="TC139" s="30"/>
      <c r="TD139" s="30"/>
      <c r="TE139" s="30"/>
      <c r="TF139" s="30"/>
      <c r="TG139" s="30"/>
    </row>
    <row r="140" spans="1:527" s="22" customFormat="1" ht="48" customHeight="1" x14ac:dyDescent="0.25">
      <c r="A140" s="60" t="s">
        <v>177</v>
      </c>
      <c r="B140" s="97" t="str">
        <f>'дод 5'!A89</f>
        <v>2111</v>
      </c>
      <c r="C140" s="97" t="str">
        <f>'дод 5'!B89</f>
        <v>0726</v>
      </c>
      <c r="D140" s="61" t="str">
        <f>'дод 5'!C89</f>
        <v>Первинна медична допомога населенню, що надається центрами первинної медичної (медико-санітарної) допомоги</v>
      </c>
      <c r="E140" s="103">
        <f t="shared" si="53"/>
        <v>2944631</v>
      </c>
      <c r="F140" s="103">
        <f>2736000-55800+264431</f>
        <v>2944631</v>
      </c>
      <c r="G140" s="117"/>
      <c r="H140" s="119"/>
      <c r="I140" s="117"/>
      <c r="J140" s="103">
        <f t="shared" si="55"/>
        <v>0</v>
      </c>
      <c r="K140" s="103"/>
      <c r="L140" s="103"/>
      <c r="M140" s="103"/>
      <c r="N140" s="103"/>
      <c r="O140" s="103"/>
      <c r="P140" s="103">
        <f t="shared" si="54"/>
        <v>2944631</v>
      </c>
      <c r="Q140" s="188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  <c r="OH140" s="23"/>
      <c r="OI140" s="23"/>
      <c r="OJ140" s="23"/>
      <c r="OK140" s="23"/>
      <c r="OL140" s="23"/>
      <c r="OM140" s="23"/>
      <c r="ON140" s="23"/>
      <c r="OO140" s="23"/>
      <c r="OP140" s="23"/>
      <c r="OQ140" s="23"/>
      <c r="OR140" s="23"/>
      <c r="OS140" s="23"/>
      <c r="OT140" s="23"/>
      <c r="OU140" s="23"/>
      <c r="OV140" s="23"/>
      <c r="OW140" s="23"/>
      <c r="OX140" s="23"/>
      <c r="OY140" s="23"/>
      <c r="OZ140" s="23"/>
      <c r="PA140" s="23"/>
      <c r="PB140" s="23"/>
      <c r="PC140" s="23"/>
      <c r="PD140" s="23"/>
      <c r="PE140" s="23"/>
      <c r="PF140" s="23"/>
      <c r="PG140" s="23"/>
      <c r="PH140" s="23"/>
      <c r="PI140" s="23"/>
      <c r="PJ140" s="23"/>
      <c r="PK140" s="23"/>
      <c r="PL140" s="23"/>
      <c r="PM140" s="23"/>
      <c r="PN140" s="23"/>
      <c r="PO140" s="23"/>
      <c r="PP140" s="23"/>
      <c r="PQ140" s="23"/>
      <c r="PR140" s="23"/>
      <c r="PS140" s="23"/>
      <c r="PT140" s="23"/>
      <c r="PU140" s="23"/>
      <c r="PV140" s="23"/>
      <c r="PW140" s="23"/>
      <c r="PX140" s="23"/>
      <c r="PY140" s="23"/>
      <c r="PZ140" s="23"/>
      <c r="QA140" s="23"/>
      <c r="QB140" s="23"/>
      <c r="QC140" s="23"/>
      <c r="QD140" s="23"/>
      <c r="QE140" s="23"/>
      <c r="QF140" s="23"/>
      <c r="QG140" s="23"/>
      <c r="QH140" s="23"/>
      <c r="QI140" s="23"/>
      <c r="QJ140" s="23"/>
      <c r="QK140" s="23"/>
      <c r="QL140" s="23"/>
      <c r="QM140" s="23"/>
      <c r="QN140" s="23"/>
      <c r="QO140" s="23"/>
      <c r="QP140" s="23"/>
      <c r="QQ140" s="23"/>
      <c r="QR140" s="23"/>
      <c r="QS140" s="23"/>
      <c r="QT140" s="23"/>
      <c r="QU140" s="23"/>
      <c r="QV140" s="23"/>
      <c r="QW140" s="23"/>
      <c r="QX140" s="23"/>
      <c r="QY140" s="23"/>
      <c r="QZ140" s="23"/>
      <c r="RA140" s="23"/>
      <c r="RB140" s="23"/>
      <c r="RC140" s="23"/>
      <c r="RD140" s="23"/>
      <c r="RE140" s="23"/>
      <c r="RF140" s="23"/>
      <c r="RG140" s="23"/>
      <c r="RH140" s="23"/>
      <c r="RI140" s="23"/>
      <c r="RJ140" s="23"/>
      <c r="RK140" s="23"/>
      <c r="RL140" s="23"/>
      <c r="RM140" s="23"/>
      <c r="RN140" s="23"/>
      <c r="RO140" s="23"/>
      <c r="RP140" s="23"/>
      <c r="RQ140" s="23"/>
      <c r="RR140" s="23"/>
      <c r="RS140" s="23"/>
      <c r="RT140" s="23"/>
      <c r="RU140" s="23"/>
      <c r="RV140" s="23"/>
      <c r="RW140" s="23"/>
      <c r="RX140" s="23"/>
      <c r="RY140" s="23"/>
      <c r="RZ140" s="23"/>
      <c r="SA140" s="23"/>
      <c r="SB140" s="23"/>
      <c r="SC140" s="23"/>
      <c r="SD140" s="23"/>
      <c r="SE140" s="23"/>
      <c r="SF140" s="23"/>
      <c r="SG140" s="23"/>
      <c r="SH140" s="23"/>
      <c r="SI140" s="23"/>
      <c r="SJ140" s="23"/>
      <c r="SK140" s="23"/>
      <c r="SL140" s="23"/>
      <c r="SM140" s="23"/>
      <c r="SN140" s="23"/>
      <c r="SO140" s="23"/>
      <c r="SP140" s="23"/>
      <c r="SQ140" s="23"/>
      <c r="SR140" s="23"/>
      <c r="SS140" s="23"/>
      <c r="ST140" s="23"/>
      <c r="SU140" s="23"/>
      <c r="SV140" s="23"/>
      <c r="SW140" s="23"/>
      <c r="SX140" s="23"/>
      <c r="SY140" s="23"/>
      <c r="SZ140" s="23"/>
      <c r="TA140" s="23"/>
      <c r="TB140" s="23"/>
      <c r="TC140" s="23"/>
      <c r="TD140" s="23"/>
      <c r="TE140" s="23"/>
      <c r="TF140" s="23"/>
      <c r="TG140" s="23"/>
    </row>
    <row r="141" spans="1:527" s="24" customFormat="1" ht="63" hidden="1" customHeight="1" x14ac:dyDescent="0.25">
      <c r="A141" s="88"/>
      <c r="B141" s="115"/>
      <c r="C141" s="115"/>
      <c r="D141" s="89" t="s">
        <v>394</v>
      </c>
      <c r="E141" s="105">
        <f t="shared" si="53"/>
        <v>0</v>
      </c>
      <c r="F141" s="105"/>
      <c r="G141" s="118"/>
      <c r="H141" s="118"/>
      <c r="I141" s="118"/>
      <c r="J141" s="105">
        <f t="shared" si="55"/>
        <v>0</v>
      </c>
      <c r="K141" s="105"/>
      <c r="L141" s="105"/>
      <c r="M141" s="105"/>
      <c r="N141" s="105"/>
      <c r="O141" s="105"/>
      <c r="P141" s="105">
        <f t="shared" si="54"/>
        <v>0</v>
      </c>
      <c r="Q141" s="188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  <c r="SO141" s="30"/>
      <c r="SP141" s="30"/>
      <c r="SQ141" s="30"/>
      <c r="SR141" s="30"/>
      <c r="SS141" s="30"/>
      <c r="ST141" s="30"/>
      <c r="SU141" s="30"/>
      <c r="SV141" s="30"/>
      <c r="SW141" s="30"/>
      <c r="SX141" s="30"/>
      <c r="SY141" s="30"/>
      <c r="SZ141" s="30"/>
      <c r="TA141" s="30"/>
      <c r="TB141" s="30"/>
      <c r="TC141" s="30"/>
      <c r="TD141" s="30"/>
      <c r="TE141" s="30"/>
      <c r="TF141" s="30"/>
      <c r="TG141" s="30"/>
    </row>
    <row r="142" spans="1:527" s="22" customFormat="1" ht="31.5" x14ac:dyDescent="0.25">
      <c r="A142" s="60" t="s">
        <v>176</v>
      </c>
      <c r="B142" s="97">
        <f>'дод 5'!A91</f>
        <v>2144</v>
      </c>
      <c r="C142" s="97" t="str">
        <f>'дод 5'!B91</f>
        <v>0763</v>
      </c>
      <c r="D142" s="129" t="str">
        <f>'дод 5'!C91</f>
        <v>Централізовані заходи з лікування хворих на цукровий та нецукровий діабет, у т.ч. за рахунок:</v>
      </c>
      <c r="E142" s="103">
        <f t="shared" si="53"/>
        <v>11403700</v>
      </c>
      <c r="F142" s="103">
        <f>7670800+3732900</f>
        <v>11403700</v>
      </c>
      <c r="G142" s="117"/>
      <c r="H142" s="117"/>
      <c r="I142" s="117"/>
      <c r="J142" s="103">
        <f t="shared" si="55"/>
        <v>0</v>
      </c>
      <c r="K142" s="103"/>
      <c r="L142" s="103"/>
      <c r="M142" s="103"/>
      <c r="N142" s="103"/>
      <c r="O142" s="103"/>
      <c r="P142" s="103">
        <f t="shared" si="54"/>
        <v>11403700</v>
      </c>
      <c r="Q142" s="188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  <c r="MJ142" s="23"/>
      <c r="MK142" s="23"/>
      <c r="ML142" s="23"/>
      <c r="MM142" s="23"/>
      <c r="MN142" s="23"/>
      <c r="MO142" s="23"/>
      <c r="MP142" s="23"/>
      <c r="MQ142" s="23"/>
      <c r="MR142" s="23"/>
      <c r="MS142" s="23"/>
      <c r="MT142" s="23"/>
      <c r="MU142" s="23"/>
      <c r="MV142" s="23"/>
      <c r="MW142" s="23"/>
      <c r="MX142" s="23"/>
      <c r="MY142" s="23"/>
      <c r="MZ142" s="23"/>
      <c r="NA142" s="23"/>
      <c r="NB142" s="23"/>
      <c r="NC142" s="23"/>
      <c r="ND142" s="23"/>
      <c r="NE142" s="23"/>
      <c r="NF142" s="23"/>
      <c r="NG142" s="23"/>
      <c r="NH142" s="23"/>
      <c r="NI142" s="23"/>
      <c r="NJ142" s="23"/>
      <c r="NK142" s="23"/>
      <c r="NL142" s="23"/>
      <c r="NM142" s="23"/>
      <c r="NN142" s="23"/>
      <c r="NO142" s="23"/>
      <c r="NP142" s="23"/>
      <c r="NQ142" s="23"/>
      <c r="NR142" s="23"/>
      <c r="NS142" s="23"/>
      <c r="NT142" s="23"/>
      <c r="NU142" s="23"/>
      <c r="NV142" s="23"/>
      <c r="NW142" s="23"/>
      <c r="NX142" s="23"/>
      <c r="NY142" s="23"/>
      <c r="NZ142" s="23"/>
      <c r="OA142" s="23"/>
      <c r="OB142" s="23"/>
      <c r="OC142" s="23"/>
      <c r="OD142" s="23"/>
      <c r="OE142" s="23"/>
      <c r="OF142" s="23"/>
      <c r="OG142" s="23"/>
      <c r="OH142" s="23"/>
      <c r="OI142" s="23"/>
      <c r="OJ142" s="23"/>
      <c r="OK142" s="23"/>
      <c r="OL142" s="23"/>
      <c r="OM142" s="23"/>
      <c r="ON142" s="23"/>
      <c r="OO142" s="23"/>
      <c r="OP142" s="23"/>
      <c r="OQ142" s="23"/>
      <c r="OR142" s="23"/>
      <c r="OS142" s="23"/>
      <c r="OT142" s="23"/>
      <c r="OU142" s="23"/>
      <c r="OV142" s="23"/>
      <c r="OW142" s="23"/>
      <c r="OX142" s="23"/>
      <c r="OY142" s="23"/>
      <c r="OZ142" s="23"/>
      <c r="PA142" s="23"/>
      <c r="PB142" s="23"/>
      <c r="PC142" s="23"/>
      <c r="PD142" s="23"/>
      <c r="PE142" s="23"/>
      <c r="PF142" s="23"/>
      <c r="PG142" s="23"/>
      <c r="PH142" s="23"/>
      <c r="PI142" s="23"/>
      <c r="PJ142" s="23"/>
      <c r="PK142" s="23"/>
      <c r="PL142" s="23"/>
      <c r="PM142" s="23"/>
      <c r="PN142" s="23"/>
      <c r="PO142" s="23"/>
      <c r="PP142" s="23"/>
      <c r="PQ142" s="23"/>
      <c r="PR142" s="23"/>
      <c r="PS142" s="23"/>
      <c r="PT142" s="23"/>
      <c r="PU142" s="23"/>
      <c r="PV142" s="23"/>
      <c r="PW142" s="23"/>
      <c r="PX142" s="23"/>
      <c r="PY142" s="23"/>
      <c r="PZ142" s="23"/>
      <c r="QA142" s="23"/>
      <c r="QB142" s="23"/>
      <c r="QC142" s="23"/>
      <c r="QD142" s="23"/>
      <c r="QE142" s="23"/>
      <c r="QF142" s="23"/>
      <c r="QG142" s="23"/>
      <c r="QH142" s="23"/>
      <c r="QI142" s="23"/>
      <c r="QJ142" s="23"/>
      <c r="QK142" s="23"/>
      <c r="QL142" s="23"/>
      <c r="QM142" s="23"/>
      <c r="QN142" s="23"/>
      <c r="QO142" s="23"/>
      <c r="QP142" s="23"/>
      <c r="QQ142" s="23"/>
      <c r="QR142" s="23"/>
      <c r="QS142" s="23"/>
      <c r="QT142" s="23"/>
      <c r="QU142" s="23"/>
      <c r="QV142" s="23"/>
      <c r="QW142" s="23"/>
      <c r="QX142" s="23"/>
      <c r="QY142" s="23"/>
      <c r="QZ142" s="23"/>
      <c r="RA142" s="23"/>
      <c r="RB142" s="23"/>
      <c r="RC142" s="23"/>
      <c r="RD142" s="23"/>
      <c r="RE142" s="23"/>
      <c r="RF142" s="23"/>
      <c r="RG142" s="23"/>
      <c r="RH142" s="23"/>
      <c r="RI142" s="23"/>
      <c r="RJ142" s="23"/>
      <c r="RK142" s="23"/>
      <c r="RL142" s="23"/>
      <c r="RM142" s="23"/>
      <c r="RN142" s="23"/>
      <c r="RO142" s="23"/>
      <c r="RP142" s="23"/>
      <c r="RQ142" s="23"/>
      <c r="RR142" s="23"/>
      <c r="RS142" s="23"/>
      <c r="RT142" s="23"/>
      <c r="RU142" s="23"/>
      <c r="RV142" s="23"/>
      <c r="RW142" s="23"/>
      <c r="RX142" s="23"/>
      <c r="RY142" s="23"/>
      <c r="RZ142" s="23"/>
      <c r="SA142" s="23"/>
      <c r="SB142" s="23"/>
      <c r="SC142" s="23"/>
      <c r="SD142" s="23"/>
      <c r="SE142" s="23"/>
      <c r="SF142" s="23"/>
      <c r="SG142" s="23"/>
      <c r="SH142" s="23"/>
      <c r="SI142" s="23"/>
      <c r="SJ142" s="23"/>
      <c r="SK142" s="23"/>
      <c r="SL142" s="23"/>
      <c r="SM142" s="23"/>
      <c r="SN142" s="23"/>
      <c r="SO142" s="23"/>
      <c r="SP142" s="23"/>
      <c r="SQ142" s="23"/>
      <c r="SR142" s="23"/>
      <c r="SS142" s="23"/>
      <c r="ST142" s="23"/>
      <c r="SU142" s="23"/>
      <c r="SV142" s="23"/>
      <c r="SW142" s="23"/>
      <c r="SX142" s="23"/>
      <c r="SY142" s="23"/>
      <c r="SZ142" s="23"/>
      <c r="TA142" s="23"/>
      <c r="TB142" s="23"/>
      <c r="TC142" s="23"/>
      <c r="TD142" s="23"/>
      <c r="TE142" s="23"/>
      <c r="TF142" s="23"/>
      <c r="TG142" s="23"/>
    </row>
    <row r="143" spans="1:527" s="24" customFormat="1" ht="47.25" hidden="1" customHeight="1" x14ac:dyDescent="0.25">
      <c r="A143" s="88"/>
      <c r="B143" s="115"/>
      <c r="C143" s="115"/>
      <c r="D143" s="130" t="s">
        <v>393</v>
      </c>
      <c r="E143" s="105">
        <f t="shared" si="53"/>
        <v>0</v>
      </c>
      <c r="F143" s="105"/>
      <c r="G143" s="105"/>
      <c r="H143" s="105"/>
      <c r="I143" s="105"/>
      <c r="J143" s="105">
        <f t="shared" si="55"/>
        <v>0</v>
      </c>
      <c r="K143" s="105"/>
      <c r="L143" s="105"/>
      <c r="M143" s="105"/>
      <c r="N143" s="105"/>
      <c r="O143" s="105"/>
      <c r="P143" s="105">
        <f t="shared" si="54"/>
        <v>0</v>
      </c>
      <c r="Q143" s="164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  <c r="SP143" s="30"/>
      <c r="SQ143" s="30"/>
      <c r="SR143" s="30"/>
      <c r="SS143" s="30"/>
      <c r="ST143" s="30"/>
      <c r="SU143" s="30"/>
      <c r="SV143" s="30"/>
      <c r="SW143" s="30"/>
      <c r="SX143" s="30"/>
      <c r="SY143" s="30"/>
      <c r="SZ143" s="30"/>
      <c r="TA143" s="30"/>
      <c r="TB143" s="30"/>
      <c r="TC143" s="30"/>
      <c r="TD143" s="30"/>
      <c r="TE143" s="30"/>
      <c r="TF143" s="30"/>
      <c r="TG143" s="30"/>
    </row>
    <row r="144" spans="1:527" s="24" customFormat="1" ht="63" x14ac:dyDescent="0.25">
      <c r="A144" s="88"/>
      <c r="B144" s="115"/>
      <c r="C144" s="115"/>
      <c r="D144" s="130" t="s">
        <v>394</v>
      </c>
      <c r="E144" s="105">
        <f t="shared" si="53"/>
        <v>11403700</v>
      </c>
      <c r="F144" s="105">
        <f>7670800+3732900</f>
        <v>11403700</v>
      </c>
      <c r="G144" s="118"/>
      <c r="H144" s="118"/>
      <c r="I144" s="118"/>
      <c r="J144" s="105">
        <f t="shared" si="55"/>
        <v>0</v>
      </c>
      <c r="K144" s="105"/>
      <c r="L144" s="105"/>
      <c r="M144" s="105"/>
      <c r="N144" s="105"/>
      <c r="O144" s="105"/>
      <c r="P144" s="105">
        <f t="shared" si="54"/>
        <v>11403700</v>
      </c>
      <c r="Q144" s="188">
        <v>10</v>
      </c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  <c r="SO144" s="30"/>
      <c r="SP144" s="30"/>
      <c r="SQ144" s="30"/>
      <c r="SR144" s="30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  <c r="TF144" s="30"/>
      <c r="TG144" s="30"/>
    </row>
    <row r="145" spans="1:527" s="22" customFormat="1" ht="30" customHeight="1" x14ac:dyDescent="0.25">
      <c r="A145" s="60" t="s">
        <v>327</v>
      </c>
      <c r="B145" s="42" t="str">
        <f>'дод 5'!A94</f>
        <v>2151</v>
      </c>
      <c r="C145" s="42" t="str">
        <f>'дод 5'!B94</f>
        <v>0763</v>
      </c>
      <c r="D145" s="61" t="str">
        <f>'дод 5'!C94</f>
        <v>Забезпечення діяльності інших закладів у сфері охорони здоров’я</v>
      </c>
      <c r="E145" s="103">
        <f t="shared" si="53"/>
        <v>3062384</v>
      </c>
      <c r="F145" s="103">
        <f>3049300+13084</f>
        <v>3062384</v>
      </c>
      <c r="G145" s="119">
        <v>2387600</v>
      </c>
      <c r="H145" s="119">
        <f>48700+13084</f>
        <v>61784</v>
      </c>
      <c r="I145" s="117"/>
      <c r="J145" s="103">
        <f t="shared" si="55"/>
        <v>0</v>
      </c>
      <c r="K145" s="103"/>
      <c r="L145" s="103"/>
      <c r="M145" s="103"/>
      <c r="N145" s="103"/>
      <c r="O145" s="103"/>
      <c r="P145" s="103">
        <f t="shared" si="54"/>
        <v>3062384</v>
      </c>
      <c r="Q145" s="188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  <c r="SQ145" s="23"/>
      <c r="SR145" s="23"/>
      <c r="SS145" s="23"/>
      <c r="ST145" s="23"/>
      <c r="SU145" s="23"/>
      <c r="SV145" s="23"/>
      <c r="SW145" s="23"/>
      <c r="SX145" s="23"/>
      <c r="SY145" s="23"/>
      <c r="SZ145" s="23"/>
      <c r="TA145" s="23"/>
      <c r="TB145" s="23"/>
      <c r="TC145" s="23"/>
      <c r="TD145" s="23"/>
      <c r="TE145" s="23"/>
      <c r="TF145" s="23"/>
      <c r="TG145" s="23"/>
    </row>
    <row r="146" spans="1:527" s="22" customFormat="1" ht="24.75" customHeight="1" x14ac:dyDescent="0.25">
      <c r="A146" s="60" t="s">
        <v>328</v>
      </c>
      <c r="B146" s="42" t="str">
        <f>'дод 5'!A95</f>
        <v>2152</v>
      </c>
      <c r="C146" s="42" t="str">
        <f>'дод 5'!B95</f>
        <v>0763</v>
      </c>
      <c r="D146" s="36" t="str">
        <f>'дод 5'!C95</f>
        <v>Інші програми та заходи у сфері охорони здоров’я</v>
      </c>
      <c r="E146" s="103">
        <f>F146+I146</f>
        <v>19853800</v>
      </c>
      <c r="F146" s="103">
        <f>19783800+70000</f>
        <v>19853800</v>
      </c>
      <c r="G146" s="103"/>
      <c r="H146" s="103"/>
      <c r="I146" s="103"/>
      <c r="J146" s="103">
        <f t="shared" si="55"/>
        <v>23031354</v>
      </c>
      <c r="K146" s="103">
        <f>19737500+2000000+793854+500000</f>
        <v>23031354</v>
      </c>
      <c r="L146" s="103"/>
      <c r="M146" s="103"/>
      <c r="N146" s="103"/>
      <c r="O146" s="103">
        <f>19737500+2000000+793854+500000</f>
        <v>23031354</v>
      </c>
      <c r="P146" s="103">
        <f t="shared" si="54"/>
        <v>42885154</v>
      </c>
      <c r="Q146" s="188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  <c r="TF146" s="23"/>
      <c r="TG146" s="23"/>
    </row>
    <row r="147" spans="1:527" s="22" customFormat="1" ht="24.75" customHeight="1" x14ac:dyDescent="0.25">
      <c r="A147" s="60" t="s">
        <v>418</v>
      </c>
      <c r="B147" s="42">
        <v>7322</v>
      </c>
      <c r="C147" s="107" t="s">
        <v>113</v>
      </c>
      <c r="D147" s="6" t="s">
        <v>563</v>
      </c>
      <c r="E147" s="103">
        <f>F147+I147</f>
        <v>0</v>
      </c>
      <c r="F147" s="103"/>
      <c r="G147" s="103"/>
      <c r="H147" s="103"/>
      <c r="I147" s="103"/>
      <c r="J147" s="103">
        <f t="shared" si="55"/>
        <v>30933372</v>
      </c>
      <c r="K147" s="103">
        <f>20000000+378711+1600000+3000000+1000000+1024661+1150000-58661+200000+180000+58661+2400000+2201745.9-2201745.9</f>
        <v>30933372</v>
      </c>
      <c r="L147" s="103"/>
      <c r="M147" s="103"/>
      <c r="N147" s="103"/>
      <c r="O147" s="103">
        <f>20000000+378711+1600000+3000000+1000000+1024661+1150000-58661+200000+180000+58661+2400000+2201745.9-2201745.9</f>
        <v>30933372</v>
      </c>
      <c r="P147" s="103">
        <f t="shared" si="54"/>
        <v>30933372</v>
      </c>
      <c r="Q147" s="188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  <c r="SQ147" s="23"/>
      <c r="SR147" s="23"/>
      <c r="SS147" s="23"/>
      <c r="ST147" s="23"/>
      <c r="SU147" s="23"/>
      <c r="SV147" s="23"/>
      <c r="SW147" s="23"/>
      <c r="SX147" s="23"/>
      <c r="SY147" s="23"/>
      <c r="SZ147" s="23"/>
      <c r="TA147" s="23"/>
      <c r="TB147" s="23"/>
      <c r="TC147" s="23"/>
      <c r="TD147" s="23"/>
      <c r="TE147" s="23"/>
      <c r="TF147" s="23"/>
      <c r="TG147" s="23"/>
    </row>
    <row r="148" spans="1:527" s="22" customFormat="1" ht="47.25" x14ac:dyDescent="0.25">
      <c r="A148" s="60" t="s">
        <v>375</v>
      </c>
      <c r="B148" s="42">
        <f>'дод 5'!A180</f>
        <v>7361</v>
      </c>
      <c r="C148" s="42" t="str">
        <f>'дод 5'!B180</f>
        <v>0490</v>
      </c>
      <c r="D148" s="36" t="str">
        <f>'дод 5'!C180</f>
        <v>Співфінансування інвестиційних проектів, що реалізуються за рахунок коштів державного фонду регіонального розвитку</v>
      </c>
      <c r="E148" s="103">
        <f t="shared" si="53"/>
        <v>0</v>
      </c>
      <c r="F148" s="103"/>
      <c r="G148" s="103"/>
      <c r="H148" s="103"/>
      <c r="I148" s="103"/>
      <c r="J148" s="103">
        <f t="shared" si="55"/>
        <v>4289000</v>
      </c>
      <c r="K148" s="103">
        <f>2289000+2000000</f>
        <v>4289000</v>
      </c>
      <c r="L148" s="103"/>
      <c r="M148" s="103"/>
      <c r="N148" s="103"/>
      <c r="O148" s="103">
        <f>2289000+2000000</f>
        <v>4289000</v>
      </c>
      <c r="P148" s="103">
        <f t="shared" si="54"/>
        <v>4289000</v>
      </c>
      <c r="Q148" s="188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  <c r="SQ148" s="23"/>
      <c r="SR148" s="23"/>
      <c r="SS148" s="23"/>
      <c r="ST148" s="23"/>
      <c r="SU148" s="23"/>
      <c r="SV148" s="23"/>
      <c r="SW148" s="23"/>
      <c r="SX148" s="23"/>
      <c r="SY148" s="23"/>
      <c r="SZ148" s="23"/>
      <c r="TA148" s="23"/>
      <c r="TB148" s="23"/>
      <c r="TC148" s="23"/>
      <c r="TD148" s="23"/>
      <c r="TE148" s="23"/>
      <c r="TF148" s="23"/>
      <c r="TG148" s="23"/>
    </row>
    <row r="149" spans="1:527" s="22" customFormat="1" ht="47.25" x14ac:dyDescent="0.25">
      <c r="A149" s="60" t="s">
        <v>425</v>
      </c>
      <c r="B149" s="42">
        <v>7363</v>
      </c>
      <c r="C149" s="107" t="s">
        <v>84</v>
      </c>
      <c r="D149" s="61" t="s">
        <v>400</v>
      </c>
      <c r="E149" s="103">
        <f t="shared" si="53"/>
        <v>0</v>
      </c>
      <c r="F149" s="103"/>
      <c r="G149" s="103"/>
      <c r="H149" s="103"/>
      <c r="I149" s="103"/>
      <c r="J149" s="103">
        <f t="shared" si="55"/>
        <v>156000</v>
      </c>
      <c r="K149" s="103">
        <v>156000</v>
      </c>
      <c r="L149" s="103"/>
      <c r="M149" s="103"/>
      <c r="N149" s="103"/>
      <c r="O149" s="103">
        <v>156000</v>
      </c>
      <c r="P149" s="103">
        <f t="shared" si="54"/>
        <v>156000</v>
      </c>
      <c r="Q149" s="188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  <c r="PA149" s="23"/>
      <c r="PB149" s="23"/>
      <c r="PC149" s="23"/>
      <c r="PD149" s="23"/>
      <c r="PE149" s="23"/>
      <c r="PF149" s="23"/>
      <c r="PG149" s="23"/>
      <c r="PH149" s="23"/>
      <c r="PI149" s="23"/>
      <c r="PJ149" s="23"/>
      <c r="PK149" s="23"/>
      <c r="PL149" s="23"/>
      <c r="PM149" s="23"/>
      <c r="PN149" s="23"/>
      <c r="PO149" s="23"/>
      <c r="PP149" s="23"/>
      <c r="PQ149" s="23"/>
      <c r="PR149" s="23"/>
      <c r="PS149" s="23"/>
      <c r="PT149" s="23"/>
      <c r="PU149" s="23"/>
      <c r="PV149" s="23"/>
      <c r="PW149" s="23"/>
      <c r="PX149" s="23"/>
      <c r="PY149" s="23"/>
      <c r="PZ149" s="23"/>
      <c r="QA149" s="23"/>
      <c r="QB149" s="23"/>
      <c r="QC149" s="23"/>
      <c r="QD149" s="23"/>
      <c r="QE149" s="23"/>
      <c r="QF149" s="23"/>
      <c r="QG149" s="23"/>
      <c r="QH149" s="23"/>
      <c r="QI149" s="23"/>
      <c r="QJ149" s="23"/>
      <c r="QK149" s="23"/>
      <c r="QL149" s="23"/>
      <c r="QM149" s="23"/>
      <c r="QN149" s="23"/>
      <c r="QO149" s="23"/>
      <c r="QP149" s="23"/>
      <c r="QQ149" s="23"/>
      <c r="QR149" s="23"/>
      <c r="QS149" s="23"/>
      <c r="QT149" s="23"/>
      <c r="QU149" s="23"/>
      <c r="QV149" s="23"/>
      <c r="QW149" s="23"/>
      <c r="QX149" s="23"/>
      <c r="QY149" s="23"/>
      <c r="QZ149" s="23"/>
      <c r="RA149" s="23"/>
      <c r="RB149" s="23"/>
      <c r="RC149" s="23"/>
      <c r="RD149" s="23"/>
      <c r="RE149" s="23"/>
      <c r="RF149" s="23"/>
      <c r="RG149" s="23"/>
      <c r="RH149" s="23"/>
      <c r="RI149" s="23"/>
      <c r="RJ149" s="23"/>
      <c r="RK149" s="23"/>
      <c r="RL149" s="23"/>
      <c r="RM149" s="23"/>
      <c r="RN149" s="23"/>
      <c r="RO149" s="23"/>
      <c r="RP149" s="23"/>
      <c r="RQ149" s="23"/>
      <c r="RR149" s="23"/>
      <c r="RS149" s="23"/>
      <c r="RT149" s="23"/>
      <c r="RU149" s="23"/>
      <c r="RV149" s="23"/>
      <c r="RW149" s="23"/>
      <c r="RX149" s="23"/>
      <c r="RY149" s="23"/>
      <c r="RZ149" s="23"/>
      <c r="SA149" s="23"/>
      <c r="SB149" s="23"/>
      <c r="SC149" s="23"/>
      <c r="SD149" s="23"/>
      <c r="SE149" s="23"/>
      <c r="SF149" s="23"/>
      <c r="SG149" s="23"/>
      <c r="SH149" s="23"/>
      <c r="SI149" s="23"/>
      <c r="SJ149" s="23"/>
      <c r="SK149" s="23"/>
      <c r="SL149" s="23"/>
      <c r="SM149" s="23"/>
      <c r="SN149" s="23"/>
      <c r="SO149" s="23"/>
      <c r="SP149" s="23"/>
      <c r="SQ149" s="23"/>
      <c r="SR149" s="23"/>
      <c r="SS149" s="23"/>
      <c r="ST149" s="23"/>
      <c r="SU149" s="23"/>
      <c r="SV149" s="23"/>
      <c r="SW149" s="23"/>
      <c r="SX149" s="23"/>
      <c r="SY149" s="23"/>
      <c r="SZ149" s="23"/>
      <c r="TA149" s="23"/>
      <c r="TB149" s="23"/>
      <c r="TC149" s="23"/>
      <c r="TD149" s="23"/>
      <c r="TE149" s="23"/>
      <c r="TF149" s="23"/>
      <c r="TG149" s="23"/>
    </row>
    <row r="150" spans="1:527" s="22" customFormat="1" ht="47.25" x14ac:dyDescent="0.25">
      <c r="A150" s="60"/>
      <c r="B150" s="42"/>
      <c r="C150" s="42"/>
      <c r="D150" s="91" t="s">
        <v>569</v>
      </c>
      <c r="E150" s="105">
        <f t="shared" si="53"/>
        <v>0</v>
      </c>
      <c r="F150" s="105"/>
      <c r="G150" s="105"/>
      <c r="H150" s="105"/>
      <c r="I150" s="105"/>
      <c r="J150" s="105">
        <f t="shared" si="55"/>
        <v>156000</v>
      </c>
      <c r="K150" s="105">
        <v>156000</v>
      </c>
      <c r="L150" s="105"/>
      <c r="M150" s="105"/>
      <c r="N150" s="105"/>
      <c r="O150" s="105">
        <v>156000</v>
      </c>
      <c r="P150" s="105">
        <f t="shared" si="54"/>
        <v>156000</v>
      </c>
      <c r="Q150" s="188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  <c r="SQ150" s="23"/>
      <c r="SR150" s="23"/>
      <c r="SS150" s="23"/>
      <c r="ST150" s="23"/>
      <c r="SU150" s="23"/>
      <c r="SV150" s="23"/>
      <c r="SW150" s="23"/>
      <c r="SX150" s="23"/>
      <c r="SY150" s="23"/>
      <c r="SZ150" s="23"/>
      <c r="TA150" s="23"/>
      <c r="TB150" s="23"/>
      <c r="TC150" s="23"/>
      <c r="TD150" s="23"/>
      <c r="TE150" s="23"/>
      <c r="TF150" s="23"/>
      <c r="TG150" s="23"/>
    </row>
    <row r="151" spans="1:527" s="22" customFormat="1" ht="18.75" customHeight="1" x14ac:dyDescent="0.25">
      <c r="A151" s="60" t="s">
        <v>175</v>
      </c>
      <c r="B151" s="97" t="str">
        <f>'дод 5'!A203</f>
        <v>7640</v>
      </c>
      <c r="C151" s="97" t="str">
        <f>'дод 5'!B203</f>
        <v>0470</v>
      </c>
      <c r="D151" s="61" t="s">
        <v>420</v>
      </c>
      <c r="E151" s="103">
        <f t="shared" si="53"/>
        <v>121500</v>
      </c>
      <c r="F151" s="103">
        <v>121500</v>
      </c>
      <c r="G151" s="103"/>
      <c r="H151" s="103"/>
      <c r="I151" s="103"/>
      <c r="J151" s="103">
        <f t="shared" si="55"/>
        <v>10527570.120000001</v>
      </c>
      <c r="K151" s="103">
        <f>7336970+3190600.12</f>
        <v>10527570.120000001</v>
      </c>
      <c r="L151" s="103"/>
      <c r="M151" s="103"/>
      <c r="N151" s="103"/>
      <c r="O151" s="103">
        <f>7336970+3190600.12</f>
        <v>10527570.120000001</v>
      </c>
      <c r="P151" s="103">
        <f t="shared" si="54"/>
        <v>10649070.120000001</v>
      </c>
      <c r="Q151" s="188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  <c r="SQ151" s="23"/>
      <c r="SR151" s="23"/>
      <c r="SS151" s="23"/>
      <c r="ST151" s="23"/>
      <c r="SU151" s="23"/>
      <c r="SV151" s="23"/>
      <c r="SW151" s="23"/>
      <c r="SX151" s="23"/>
      <c r="SY151" s="23"/>
      <c r="SZ151" s="23"/>
      <c r="TA151" s="23"/>
      <c r="TB151" s="23"/>
      <c r="TC151" s="23"/>
      <c r="TD151" s="23"/>
      <c r="TE151" s="23"/>
      <c r="TF151" s="23"/>
      <c r="TG151" s="23"/>
    </row>
    <row r="152" spans="1:527" s="24" customFormat="1" ht="15" customHeight="1" x14ac:dyDescent="0.25">
      <c r="A152" s="88"/>
      <c r="B152" s="115"/>
      <c r="C152" s="115"/>
      <c r="D152" s="89" t="s">
        <v>421</v>
      </c>
      <c r="E152" s="105">
        <f t="shared" si="53"/>
        <v>0</v>
      </c>
      <c r="F152" s="105"/>
      <c r="G152" s="105"/>
      <c r="H152" s="105"/>
      <c r="I152" s="105"/>
      <c r="J152" s="105">
        <f t="shared" si="55"/>
        <v>4662070.12</v>
      </c>
      <c r="K152" s="105">
        <f>1471470+3190600.12</f>
        <v>4662070.12</v>
      </c>
      <c r="L152" s="105"/>
      <c r="M152" s="105"/>
      <c r="N152" s="105"/>
      <c r="O152" s="105">
        <f>1471470+3190600.12</f>
        <v>4662070.12</v>
      </c>
      <c r="P152" s="105">
        <f t="shared" si="54"/>
        <v>4662070.12</v>
      </c>
      <c r="Q152" s="188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  <c r="SQ152" s="30"/>
      <c r="SR152" s="30"/>
      <c r="SS152" s="30"/>
      <c r="ST152" s="30"/>
      <c r="SU152" s="30"/>
      <c r="SV152" s="30"/>
      <c r="SW152" s="30"/>
      <c r="SX152" s="30"/>
      <c r="SY152" s="30"/>
      <c r="SZ152" s="30"/>
      <c r="TA152" s="30"/>
      <c r="TB152" s="30"/>
      <c r="TC152" s="30"/>
      <c r="TD152" s="30"/>
      <c r="TE152" s="30"/>
      <c r="TF152" s="30"/>
      <c r="TG152" s="30"/>
    </row>
    <row r="153" spans="1:527" s="22" customFormat="1" ht="45" hidden="1" customHeight="1" x14ac:dyDescent="0.25">
      <c r="A153" s="60" t="s">
        <v>363</v>
      </c>
      <c r="B153" s="97">
        <v>7700</v>
      </c>
      <c r="C153" s="60" t="s">
        <v>95</v>
      </c>
      <c r="D153" s="61" t="s">
        <v>364</v>
      </c>
      <c r="E153" s="103">
        <f t="shared" si="53"/>
        <v>0</v>
      </c>
      <c r="F153" s="103"/>
      <c r="G153" s="103"/>
      <c r="H153" s="103"/>
      <c r="I153" s="103"/>
      <c r="J153" s="103">
        <f t="shared" si="55"/>
        <v>0</v>
      </c>
      <c r="K153" s="103"/>
      <c r="L153" s="103"/>
      <c r="M153" s="103"/>
      <c r="N153" s="103"/>
      <c r="O153" s="103">
        <f>630000-630000</f>
        <v>0</v>
      </c>
      <c r="P153" s="103">
        <f t="shared" si="54"/>
        <v>0</v>
      </c>
      <c r="Q153" s="188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</row>
    <row r="154" spans="1:527" s="22" customFormat="1" ht="15.75" x14ac:dyDescent="0.25">
      <c r="A154" s="60" t="s">
        <v>435</v>
      </c>
      <c r="B154" s="97">
        <v>9770</v>
      </c>
      <c r="C154" s="60" t="s">
        <v>46</v>
      </c>
      <c r="D154" s="61" t="s">
        <v>436</v>
      </c>
      <c r="E154" s="103">
        <f t="shared" si="53"/>
        <v>0</v>
      </c>
      <c r="F154" s="103"/>
      <c r="G154" s="103"/>
      <c r="H154" s="103"/>
      <c r="I154" s="103"/>
      <c r="J154" s="103">
        <f t="shared" si="55"/>
        <v>18000111.600000001</v>
      </c>
      <c r="K154" s="103">
        <f>2000000+1000111.6+15000000</f>
        <v>18000111.600000001</v>
      </c>
      <c r="L154" s="103"/>
      <c r="M154" s="103"/>
      <c r="N154" s="103"/>
      <c r="O154" s="103">
        <f>2000000+1000111.6+15000000</f>
        <v>18000111.600000001</v>
      </c>
      <c r="P154" s="103">
        <f t="shared" si="54"/>
        <v>18000111.600000001</v>
      </c>
      <c r="Q154" s="188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  <c r="TG154" s="23"/>
    </row>
    <row r="155" spans="1:527" s="27" customFormat="1" ht="36" customHeight="1" x14ac:dyDescent="0.25">
      <c r="A155" s="114" t="s">
        <v>180</v>
      </c>
      <c r="B155" s="116"/>
      <c r="C155" s="116"/>
      <c r="D155" s="111" t="s">
        <v>39</v>
      </c>
      <c r="E155" s="99">
        <f>E156</f>
        <v>201754752.35000002</v>
      </c>
      <c r="F155" s="99">
        <f t="shared" ref="F155:J155" si="56">F156</f>
        <v>201754752.35000002</v>
      </c>
      <c r="G155" s="99">
        <f t="shared" si="56"/>
        <v>60937100</v>
      </c>
      <c r="H155" s="99">
        <f t="shared" si="56"/>
        <v>1606689</v>
      </c>
      <c r="I155" s="99">
        <f t="shared" si="56"/>
        <v>0</v>
      </c>
      <c r="J155" s="99">
        <f t="shared" si="56"/>
        <v>2995024.05</v>
      </c>
      <c r="K155" s="99">
        <f t="shared" ref="K155" si="57">K156</f>
        <v>2898824.05</v>
      </c>
      <c r="L155" s="99">
        <f t="shared" ref="L155" si="58">L156</f>
        <v>96200</v>
      </c>
      <c r="M155" s="99">
        <f t="shared" ref="M155" si="59">M156</f>
        <v>75000</v>
      </c>
      <c r="N155" s="99">
        <f t="shared" ref="N155" si="60">N156</f>
        <v>0</v>
      </c>
      <c r="O155" s="99">
        <f t="shared" ref="O155:P155" si="61">O156</f>
        <v>2898824.05</v>
      </c>
      <c r="P155" s="99">
        <f t="shared" si="61"/>
        <v>204749776.40000004</v>
      </c>
      <c r="Q155" s="188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2"/>
      <c r="GE155" s="32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2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32"/>
      <c r="HO155" s="32"/>
      <c r="HP155" s="32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32"/>
      <c r="IE155" s="32"/>
      <c r="IF155" s="32"/>
      <c r="IG155" s="32"/>
      <c r="IH155" s="32"/>
      <c r="II155" s="32"/>
      <c r="IJ155" s="32"/>
      <c r="IK155" s="32"/>
      <c r="IL155" s="32"/>
      <c r="IM155" s="32"/>
      <c r="IN155" s="32"/>
      <c r="IO155" s="32"/>
      <c r="IP155" s="32"/>
      <c r="IQ155" s="32"/>
      <c r="IR155" s="32"/>
      <c r="IS155" s="32"/>
      <c r="IT155" s="32"/>
      <c r="IU155" s="32"/>
      <c r="IV155" s="32"/>
      <c r="IW155" s="32"/>
      <c r="IX155" s="32"/>
      <c r="IY155" s="32"/>
      <c r="IZ155" s="32"/>
      <c r="JA155" s="32"/>
      <c r="JB155" s="32"/>
      <c r="JC155" s="32"/>
      <c r="JD155" s="32"/>
      <c r="JE155" s="32"/>
      <c r="JF155" s="32"/>
      <c r="JG155" s="32"/>
      <c r="JH155" s="32"/>
      <c r="JI155" s="32"/>
      <c r="JJ155" s="32"/>
      <c r="JK155" s="32"/>
      <c r="JL155" s="32"/>
      <c r="JM155" s="32"/>
      <c r="JN155" s="32"/>
      <c r="JO155" s="32"/>
      <c r="JP155" s="32"/>
      <c r="JQ155" s="32"/>
      <c r="JR155" s="32"/>
      <c r="JS155" s="32"/>
      <c r="JT155" s="32"/>
      <c r="JU155" s="32"/>
      <c r="JV155" s="32"/>
      <c r="JW155" s="32"/>
      <c r="JX155" s="32"/>
      <c r="JY155" s="32"/>
      <c r="JZ155" s="32"/>
      <c r="KA155" s="32"/>
      <c r="KB155" s="32"/>
      <c r="KC155" s="32"/>
      <c r="KD155" s="32"/>
      <c r="KE155" s="32"/>
      <c r="KF155" s="32"/>
      <c r="KG155" s="32"/>
      <c r="KH155" s="32"/>
      <c r="KI155" s="32"/>
      <c r="KJ155" s="32"/>
      <c r="KK155" s="32"/>
      <c r="KL155" s="32"/>
      <c r="KM155" s="32"/>
      <c r="KN155" s="32"/>
      <c r="KO155" s="32"/>
      <c r="KP155" s="32"/>
      <c r="KQ155" s="32"/>
      <c r="KR155" s="32"/>
      <c r="KS155" s="32"/>
      <c r="KT155" s="32"/>
      <c r="KU155" s="32"/>
      <c r="KV155" s="32"/>
      <c r="KW155" s="32"/>
      <c r="KX155" s="32"/>
      <c r="KY155" s="32"/>
      <c r="KZ155" s="32"/>
      <c r="LA155" s="32"/>
      <c r="LB155" s="32"/>
      <c r="LC155" s="32"/>
      <c r="LD155" s="32"/>
      <c r="LE155" s="32"/>
      <c r="LF155" s="32"/>
      <c r="LG155" s="32"/>
      <c r="LH155" s="32"/>
      <c r="LI155" s="32"/>
      <c r="LJ155" s="32"/>
      <c r="LK155" s="32"/>
      <c r="LL155" s="32"/>
      <c r="LM155" s="32"/>
      <c r="LN155" s="32"/>
      <c r="LO155" s="32"/>
      <c r="LP155" s="32"/>
      <c r="LQ155" s="32"/>
      <c r="LR155" s="32"/>
      <c r="LS155" s="32"/>
      <c r="LT155" s="32"/>
      <c r="LU155" s="32"/>
      <c r="LV155" s="32"/>
      <c r="LW155" s="32"/>
      <c r="LX155" s="32"/>
      <c r="LY155" s="32"/>
      <c r="LZ155" s="32"/>
      <c r="MA155" s="32"/>
      <c r="MB155" s="32"/>
      <c r="MC155" s="32"/>
      <c r="MD155" s="32"/>
      <c r="ME155" s="32"/>
      <c r="MF155" s="32"/>
      <c r="MG155" s="32"/>
      <c r="MH155" s="32"/>
      <c r="MI155" s="32"/>
      <c r="MJ155" s="32"/>
      <c r="MK155" s="32"/>
      <c r="ML155" s="32"/>
      <c r="MM155" s="32"/>
      <c r="MN155" s="32"/>
      <c r="MO155" s="32"/>
      <c r="MP155" s="32"/>
      <c r="MQ155" s="32"/>
      <c r="MR155" s="32"/>
      <c r="MS155" s="32"/>
      <c r="MT155" s="32"/>
      <c r="MU155" s="32"/>
      <c r="MV155" s="32"/>
      <c r="MW155" s="32"/>
      <c r="MX155" s="32"/>
      <c r="MY155" s="32"/>
      <c r="MZ155" s="32"/>
      <c r="NA155" s="32"/>
      <c r="NB155" s="32"/>
      <c r="NC155" s="32"/>
      <c r="ND155" s="32"/>
      <c r="NE155" s="32"/>
      <c r="NF155" s="32"/>
      <c r="NG155" s="32"/>
      <c r="NH155" s="32"/>
      <c r="NI155" s="32"/>
      <c r="NJ155" s="32"/>
      <c r="NK155" s="32"/>
      <c r="NL155" s="32"/>
      <c r="NM155" s="32"/>
      <c r="NN155" s="32"/>
      <c r="NO155" s="32"/>
      <c r="NP155" s="32"/>
      <c r="NQ155" s="32"/>
      <c r="NR155" s="32"/>
      <c r="NS155" s="32"/>
      <c r="NT155" s="32"/>
      <c r="NU155" s="32"/>
      <c r="NV155" s="32"/>
      <c r="NW155" s="32"/>
      <c r="NX155" s="32"/>
      <c r="NY155" s="32"/>
      <c r="NZ155" s="32"/>
      <c r="OA155" s="32"/>
      <c r="OB155" s="32"/>
      <c r="OC155" s="32"/>
      <c r="OD155" s="32"/>
      <c r="OE155" s="32"/>
      <c r="OF155" s="32"/>
      <c r="OG155" s="32"/>
      <c r="OH155" s="32"/>
      <c r="OI155" s="32"/>
      <c r="OJ155" s="32"/>
      <c r="OK155" s="32"/>
      <c r="OL155" s="32"/>
      <c r="OM155" s="32"/>
      <c r="ON155" s="32"/>
      <c r="OO155" s="32"/>
      <c r="OP155" s="32"/>
      <c r="OQ155" s="32"/>
      <c r="OR155" s="32"/>
      <c r="OS155" s="32"/>
      <c r="OT155" s="32"/>
      <c r="OU155" s="32"/>
      <c r="OV155" s="32"/>
      <c r="OW155" s="32"/>
      <c r="OX155" s="32"/>
      <c r="OY155" s="32"/>
      <c r="OZ155" s="32"/>
      <c r="PA155" s="32"/>
      <c r="PB155" s="32"/>
      <c r="PC155" s="32"/>
      <c r="PD155" s="32"/>
      <c r="PE155" s="32"/>
      <c r="PF155" s="32"/>
      <c r="PG155" s="32"/>
      <c r="PH155" s="32"/>
      <c r="PI155" s="32"/>
      <c r="PJ155" s="32"/>
      <c r="PK155" s="32"/>
      <c r="PL155" s="32"/>
      <c r="PM155" s="32"/>
      <c r="PN155" s="32"/>
      <c r="PO155" s="32"/>
      <c r="PP155" s="32"/>
      <c r="PQ155" s="32"/>
      <c r="PR155" s="32"/>
      <c r="PS155" s="32"/>
      <c r="PT155" s="32"/>
      <c r="PU155" s="32"/>
      <c r="PV155" s="32"/>
      <c r="PW155" s="32"/>
      <c r="PX155" s="32"/>
      <c r="PY155" s="32"/>
      <c r="PZ155" s="32"/>
      <c r="QA155" s="32"/>
      <c r="QB155" s="32"/>
      <c r="QC155" s="32"/>
      <c r="QD155" s="32"/>
      <c r="QE155" s="32"/>
      <c r="QF155" s="32"/>
      <c r="QG155" s="32"/>
      <c r="QH155" s="32"/>
      <c r="QI155" s="32"/>
      <c r="QJ155" s="32"/>
      <c r="QK155" s="32"/>
      <c r="QL155" s="32"/>
      <c r="QM155" s="32"/>
      <c r="QN155" s="32"/>
      <c r="QO155" s="32"/>
      <c r="QP155" s="32"/>
      <c r="QQ155" s="32"/>
      <c r="QR155" s="32"/>
      <c r="QS155" s="32"/>
      <c r="QT155" s="32"/>
      <c r="QU155" s="32"/>
      <c r="QV155" s="32"/>
      <c r="QW155" s="32"/>
      <c r="QX155" s="32"/>
      <c r="QY155" s="32"/>
      <c r="QZ155" s="32"/>
      <c r="RA155" s="32"/>
      <c r="RB155" s="32"/>
      <c r="RC155" s="32"/>
      <c r="RD155" s="32"/>
      <c r="RE155" s="32"/>
      <c r="RF155" s="32"/>
      <c r="RG155" s="32"/>
      <c r="RH155" s="32"/>
      <c r="RI155" s="32"/>
      <c r="RJ155" s="32"/>
      <c r="RK155" s="32"/>
      <c r="RL155" s="32"/>
      <c r="RM155" s="32"/>
      <c r="RN155" s="32"/>
      <c r="RO155" s="32"/>
      <c r="RP155" s="32"/>
      <c r="RQ155" s="32"/>
      <c r="RR155" s="32"/>
      <c r="RS155" s="32"/>
      <c r="RT155" s="32"/>
      <c r="RU155" s="32"/>
      <c r="RV155" s="32"/>
      <c r="RW155" s="32"/>
      <c r="RX155" s="32"/>
      <c r="RY155" s="32"/>
      <c r="RZ155" s="32"/>
      <c r="SA155" s="32"/>
      <c r="SB155" s="32"/>
      <c r="SC155" s="32"/>
      <c r="SD155" s="32"/>
      <c r="SE155" s="32"/>
      <c r="SF155" s="32"/>
      <c r="SG155" s="32"/>
      <c r="SH155" s="32"/>
      <c r="SI155" s="32"/>
      <c r="SJ155" s="32"/>
      <c r="SK155" s="32"/>
      <c r="SL155" s="32"/>
      <c r="SM155" s="32"/>
      <c r="SN155" s="32"/>
      <c r="SO155" s="32"/>
      <c r="SP155" s="32"/>
      <c r="SQ155" s="32"/>
      <c r="SR155" s="32"/>
      <c r="SS155" s="32"/>
      <c r="ST155" s="32"/>
      <c r="SU155" s="32"/>
      <c r="SV155" s="32"/>
      <c r="SW155" s="32"/>
      <c r="SX155" s="32"/>
      <c r="SY155" s="32"/>
      <c r="SZ155" s="32"/>
      <c r="TA155" s="32"/>
      <c r="TB155" s="32"/>
      <c r="TC155" s="32"/>
      <c r="TD155" s="32"/>
      <c r="TE155" s="32"/>
      <c r="TF155" s="32"/>
      <c r="TG155" s="32"/>
    </row>
    <row r="156" spans="1:527" s="34" customFormat="1" ht="32.25" customHeight="1" x14ac:dyDescent="0.25">
      <c r="A156" s="100" t="s">
        <v>181</v>
      </c>
      <c r="B156" s="113"/>
      <c r="C156" s="113"/>
      <c r="D156" s="81" t="s">
        <v>396</v>
      </c>
      <c r="E156" s="102">
        <f>E162+E163+E164+E165+E166+E168+E169+E170+E172+E174+E175+E176+E178+E180+E181+E182+E183+E184+E185+E187+E189+E191+E192+E194+E195</f>
        <v>201754752.35000002</v>
      </c>
      <c r="F156" s="102">
        <f t="shared" ref="F156:P156" si="62">F162+F163+F164+F165+F166+F168+F169+F170+F172+F174+F175+F176+F178+F180+F181+F182+F183+F184+F185+F187+F189+F191+F192+F194+F195</f>
        <v>201754752.35000002</v>
      </c>
      <c r="G156" s="102">
        <f t="shared" si="62"/>
        <v>60937100</v>
      </c>
      <c r="H156" s="102">
        <f t="shared" si="62"/>
        <v>1606689</v>
      </c>
      <c r="I156" s="102">
        <f t="shared" si="62"/>
        <v>0</v>
      </c>
      <c r="J156" s="102">
        <f t="shared" si="62"/>
        <v>2995024.05</v>
      </c>
      <c r="K156" s="102">
        <f t="shared" si="62"/>
        <v>2898824.05</v>
      </c>
      <c r="L156" s="102">
        <f t="shared" si="62"/>
        <v>96200</v>
      </c>
      <c r="M156" s="102">
        <f t="shared" si="62"/>
        <v>75000</v>
      </c>
      <c r="N156" s="102">
        <f t="shared" si="62"/>
        <v>0</v>
      </c>
      <c r="O156" s="102">
        <f t="shared" si="62"/>
        <v>2898824.05</v>
      </c>
      <c r="P156" s="102">
        <f t="shared" si="62"/>
        <v>204749776.40000004</v>
      </c>
      <c r="Q156" s="188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  <c r="GB156" s="33"/>
      <c r="GC156" s="33"/>
      <c r="GD156" s="33"/>
      <c r="GE156" s="33"/>
      <c r="GF156" s="33"/>
      <c r="GG156" s="33"/>
      <c r="GH156" s="33"/>
      <c r="GI156" s="33"/>
      <c r="GJ156" s="33"/>
      <c r="GK156" s="33"/>
      <c r="GL156" s="33"/>
      <c r="GM156" s="33"/>
      <c r="GN156" s="33"/>
      <c r="GO156" s="33"/>
      <c r="GP156" s="33"/>
      <c r="GQ156" s="33"/>
      <c r="GR156" s="33"/>
      <c r="GS156" s="33"/>
      <c r="GT156" s="33"/>
      <c r="GU156" s="33"/>
      <c r="GV156" s="33"/>
      <c r="GW156" s="33"/>
      <c r="GX156" s="33"/>
      <c r="GY156" s="33"/>
      <c r="GZ156" s="33"/>
      <c r="HA156" s="33"/>
      <c r="HB156" s="33"/>
      <c r="HC156" s="33"/>
      <c r="HD156" s="33"/>
      <c r="HE156" s="33"/>
      <c r="HF156" s="33"/>
      <c r="HG156" s="33"/>
      <c r="HH156" s="33"/>
      <c r="HI156" s="33"/>
      <c r="HJ156" s="33"/>
      <c r="HK156" s="33"/>
      <c r="HL156" s="33"/>
      <c r="HM156" s="33"/>
      <c r="HN156" s="33"/>
      <c r="HO156" s="33"/>
      <c r="HP156" s="33"/>
      <c r="HQ156" s="33"/>
      <c r="HR156" s="33"/>
      <c r="HS156" s="33"/>
      <c r="HT156" s="33"/>
      <c r="HU156" s="33"/>
      <c r="HV156" s="33"/>
      <c r="HW156" s="33"/>
      <c r="HX156" s="33"/>
      <c r="HY156" s="33"/>
      <c r="HZ156" s="33"/>
      <c r="IA156" s="33"/>
      <c r="IB156" s="33"/>
      <c r="IC156" s="33"/>
      <c r="ID156" s="33"/>
      <c r="IE156" s="33"/>
      <c r="IF156" s="33"/>
      <c r="IG156" s="33"/>
      <c r="IH156" s="33"/>
      <c r="II156" s="33"/>
      <c r="IJ156" s="33"/>
      <c r="IK156" s="33"/>
      <c r="IL156" s="33"/>
      <c r="IM156" s="33"/>
      <c r="IN156" s="33"/>
      <c r="IO156" s="33"/>
      <c r="IP156" s="33"/>
      <c r="IQ156" s="33"/>
      <c r="IR156" s="33"/>
      <c r="IS156" s="33"/>
      <c r="IT156" s="33"/>
      <c r="IU156" s="33"/>
      <c r="IV156" s="33"/>
      <c r="IW156" s="33"/>
      <c r="IX156" s="33"/>
      <c r="IY156" s="33"/>
      <c r="IZ156" s="33"/>
      <c r="JA156" s="33"/>
      <c r="JB156" s="33"/>
      <c r="JC156" s="33"/>
      <c r="JD156" s="33"/>
      <c r="JE156" s="33"/>
      <c r="JF156" s="33"/>
      <c r="JG156" s="33"/>
      <c r="JH156" s="33"/>
      <c r="JI156" s="33"/>
      <c r="JJ156" s="33"/>
      <c r="JK156" s="33"/>
      <c r="JL156" s="33"/>
      <c r="JM156" s="33"/>
      <c r="JN156" s="33"/>
      <c r="JO156" s="33"/>
      <c r="JP156" s="33"/>
      <c r="JQ156" s="33"/>
      <c r="JR156" s="33"/>
      <c r="JS156" s="33"/>
      <c r="JT156" s="33"/>
      <c r="JU156" s="33"/>
      <c r="JV156" s="33"/>
      <c r="JW156" s="33"/>
      <c r="JX156" s="33"/>
      <c r="JY156" s="33"/>
      <c r="JZ156" s="33"/>
      <c r="KA156" s="33"/>
      <c r="KB156" s="33"/>
      <c r="KC156" s="33"/>
      <c r="KD156" s="33"/>
      <c r="KE156" s="33"/>
      <c r="KF156" s="33"/>
      <c r="KG156" s="33"/>
      <c r="KH156" s="33"/>
      <c r="KI156" s="33"/>
      <c r="KJ156" s="33"/>
      <c r="KK156" s="33"/>
      <c r="KL156" s="33"/>
      <c r="KM156" s="33"/>
      <c r="KN156" s="33"/>
      <c r="KO156" s="33"/>
      <c r="KP156" s="33"/>
      <c r="KQ156" s="33"/>
      <c r="KR156" s="33"/>
      <c r="KS156" s="33"/>
      <c r="KT156" s="33"/>
      <c r="KU156" s="33"/>
      <c r="KV156" s="33"/>
      <c r="KW156" s="33"/>
      <c r="KX156" s="33"/>
      <c r="KY156" s="33"/>
      <c r="KZ156" s="33"/>
      <c r="LA156" s="33"/>
      <c r="LB156" s="33"/>
      <c r="LC156" s="33"/>
      <c r="LD156" s="33"/>
      <c r="LE156" s="33"/>
      <c r="LF156" s="33"/>
      <c r="LG156" s="33"/>
      <c r="LH156" s="33"/>
      <c r="LI156" s="33"/>
      <c r="LJ156" s="33"/>
      <c r="LK156" s="33"/>
      <c r="LL156" s="33"/>
      <c r="LM156" s="33"/>
      <c r="LN156" s="33"/>
      <c r="LO156" s="33"/>
      <c r="LP156" s="33"/>
      <c r="LQ156" s="33"/>
      <c r="LR156" s="33"/>
      <c r="LS156" s="33"/>
      <c r="LT156" s="33"/>
      <c r="LU156" s="33"/>
      <c r="LV156" s="33"/>
      <c r="LW156" s="33"/>
      <c r="LX156" s="33"/>
      <c r="LY156" s="33"/>
      <c r="LZ156" s="33"/>
      <c r="MA156" s="33"/>
      <c r="MB156" s="33"/>
      <c r="MC156" s="33"/>
      <c r="MD156" s="33"/>
      <c r="ME156" s="33"/>
      <c r="MF156" s="33"/>
      <c r="MG156" s="33"/>
      <c r="MH156" s="33"/>
      <c r="MI156" s="33"/>
      <c r="MJ156" s="33"/>
      <c r="MK156" s="33"/>
      <c r="ML156" s="33"/>
      <c r="MM156" s="33"/>
      <c r="MN156" s="33"/>
      <c r="MO156" s="33"/>
      <c r="MP156" s="33"/>
      <c r="MQ156" s="33"/>
      <c r="MR156" s="33"/>
      <c r="MS156" s="33"/>
      <c r="MT156" s="33"/>
      <c r="MU156" s="33"/>
      <c r="MV156" s="33"/>
      <c r="MW156" s="33"/>
      <c r="MX156" s="33"/>
      <c r="MY156" s="33"/>
      <c r="MZ156" s="33"/>
      <c r="NA156" s="33"/>
      <c r="NB156" s="33"/>
      <c r="NC156" s="33"/>
      <c r="ND156" s="33"/>
      <c r="NE156" s="33"/>
      <c r="NF156" s="33"/>
      <c r="NG156" s="33"/>
      <c r="NH156" s="33"/>
      <c r="NI156" s="33"/>
      <c r="NJ156" s="33"/>
      <c r="NK156" s="33"/>
      <c r="NL156" s="33"/>
      <c r="NM156" s="33"/>
      <c r="NN156" s="33"/>
      <c r="NO156" s="33"/>
      <c r="NP156" s="33"/>
      <c r="NQ156" s="33"/>
      <c r="NR156" s="33"/>
      <c r="NS156" s="33"/>
      <c r="NT156" s="33"/>
      <c r="NU156" s="33"/>
      <c r="NV156" s="33"/>
      <c r="NW156" s="33"/>
      <c r="NX156" s="33"/>
      <c r="NY156" s="33"/>
      <c r="NZ156" s="33"/>
      <c r="OA156" s="33"/>
      <c r="OB156" s="33"/>
      <c r="OC156" s="33"/>
      <c r="OD156" s="33"/>
      <c r="OE156" s="33"/>
      <c r="OF156" s="33"/>
      <c r="OG156" s="33"/>
      <c r="OH156" s="33"/>
      <c r="OI156" s="33"/>
      <c r="OJ156" s="33"/>
      <c r="OK156" s="33"/>
      <c r="OL156" s="33"/>
      <c r="OM156" s="33"/>
      <c r="ON156" s="33"/>
      <c r="OO156" s="33"/>
      <c r="OP156" s="33"/>
      <c r="OQ156" s="33"/>
      <c r="OR156" s="33"/>
      <c r="OS156" s="33"/>
      <c r="OT156" s="33"/>
      <c r="OU156" s="33"/>
      <c r="OV156" s="33"/>
      <c r="OW156" s="33"/>
      <c r="OX156" s="33"/>
      <c r="OY156" s="33"/>
      <c r="OZ156" s="33"/>
      <c r="PA156" s="33"/>
      <c r="PB156" s="33"/>
      <c r="PC156" s="33"/>
      <c r="PD156" s="33"/>
      <c r="PE156" s="33"/>
      <c r="PF156" s="33"/>
      <c r="PG156" s="33"/>
      <c r="PH156" s="33"/>
      <c r="PI156" s="33"/>
      <c r="PJ156" s="33"/>
      <c r="PK156" s="33"/>
      <c r="PL156" s="33"/>
      <c r="PM156" s="33"/>
      <c r="PN156" s="33"/>
      <c r="PO156" s="33"/>
      <c r="PP156" s="33"/>
      <c r="PQ156" s="33"/>
      <c r="PR156" s="33"/>
      <c r="PS156" s="33"/>
      <c r="PT156" s="33"/>
      <c r="PU156" s="33"/>
      <c r="PV156" s="33"/>
      <c r="PW156" s="33"/>
      <c r="PX156" s="33"/>
      <c r="PY156" s="33"/>
      <c r="PZ156" s="33"/>
      <c r="QA156" s="33"/>
      <c r="QB156" s="33"/>
      <c r="QC156" s="33"/>
      <c r="QD156" s="33"/>
      <c r="QE156" s="33"/>
      <c r="QF156" s="33"/>
      <c r="QG156" s="33"/>
      <c r="QH156" s="33"/>
      <c r="QI156" s="33"/>
      <c r="QJ156" s="33"/>
      <c r="QK156" s="33"/>
      <c r="QL156" s="33"/>
      <c r="QM156" s="33"/>
      <c r="QN156" s="33"/>
      <c r="QO156" s="33"/>
      <c r="QP156" s="33"/>
      <c r="QQ156" s="33"/>
      <c r="QR156" s="33"/>
      <c r="QS156" s="33"/>
      <c r="QT156" s="33"/>
      <c r="QU156" s="33"/>
      <c r="QV156" s="33"/>
      <c r="QW156" s="33"/>
      <c r="QX156" s="33"/>
      <c r="QY156" s="33"/>
      <c r="QZ156" s="33"/>
      <c r="RA156" s="33"/>
      <c r="RB156" s="33"/>
      <c r="RC156" s="33"/>
      <c r="RD156" s="33"/>
      <c r="RE156" s="33"/>
      <c r="RF156" s="33"/>
      <c r="RG156" s="33"/>
      <c r="RH156" s="33"/>
      <c r="RI156" s="33"/>
      <c r="RJ156" s="33"/>
      <c r="RK156" s="33"/>
      <c r="RL156" s="33"/>
      <c r="RM156" s="33"/>
      <c r="RN156" s="33"/>
      <c r="RO156" s="33"/>
      <c r="RP156" s="33"/>
      <c r="RQ156" s="33"/>
      <c r="RR156" s="33"/>
      <c r="RS156" s="33"/>
      <c r="RT156" s="33"/>
      <c r="RU156" s="33"/>
      <c r="RV156" s="33"/>
      <c r="RW156" s="33"/>
      <c r="RX156" s="33"/>
      <c r="RY156" s="33"/>
      <c r="RZ156" s="33"/>
      <c r="SA156" s="33"/>
      <c r="SB156" s="33"/>
      <c r="SC156" s="33"/>
      <c r="SD156" s="33"/>
      <c r="SE156" s="33"/>
      <c r="SF156" s="33"/>
      <c r="SG156" s="33"/>
      <c r="SH156" s="33"/>
      <c r="SI156" s="33"/>
      <c r="SJ156" s="33"/>
      <c r="SK156" s="33"/>
      <c r="SL156" s="33"/>
      <c r="SM156" s="33"/>
      <c r="SN156" s="33"/>
      <c r="SO156" s="33"/>
      <c r="SP156" s="33"/>
      <c r="SQ156" s="33"/>
      <c r="SR156" s="33"/>
      <c r="SS156" s="33"/>
      <c r="ST156" s="33"/>
      <c r="SU156" s="33"/>
      <c r="SV156" s="33"/>
      <c r="SW156" s="33"/>
      <c r="SX156" s="33"/>
      <c r="SY156" s="33"/>
      <c r="SZ156" s="33"/>
      <c r="TA156" s="33"/>
      <c r="TB156" s="33"/>
      <c r="TC156" s="33"/>
      <c r="TD156" s="33"/>
      <c r="TE156" s="33"/>
      <c r="TF156" s="33"/>
      <c r="TG156" s="33"/>
    </row>
    <row r="157" spans="1:527" s="34" customFormat="1" ht="275.25" hidden="1" customHeight="1" x14ac:dyDescent="0.25">
      <c r="A157" s="100"/>
      <c r="B157" s="113"/>
      <c r="C157" s="113"/>
      <c r="D157" s="81" t="str">
        <f>'дод 5'!C97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57" s="102">
        <f>E186</f>
        <v>0</v>
      </c>
      <c r="F157" s="102">
        <f>L186</f>
        <v>0</v>
      </c>
      <c r="G157" s="102">
        <f t="shared" ref="G157:P157" si="63">G186</f>
        <v>0</v>
      </c>
      <c r="H157" s="102">
        <f t="shared" si="63"/>
        <v>0</v>
      </c>
      <c r="I157" s="102">
        <f t="shared" si="63"/>
        <v>0</v>
      </c>
      <c r="J157" s="102">
        <f t="shared" si="63"/>
        <v>975480.06</v>
      </c>
      <c r="K157" s="102">
        <f t="shared" si="63"/>
        <v>975480.06</v>
      </c>
      <c r="L157" s="102">
        <f t="shared" si="63"/>
        <v>0</v>
      </c>
      <c r="M157" s="102">
        <f t="shared" si="63"/>
        <v>0</v>
      </c>
      <c r="N157" s="102">
        <f t="shared" si="63"/>
        <v>0</v>
      </c>
      <c r="O157" s="102">
        <f t="shared" si="63"/>
        <v>975480.06</v>
      </c>
      <c r="P157" s="102">
        <f t="shared" si="63"/>
        <v>975480.06</v>
      </c>
      <c r="Q157" s="188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  <c r="IM157" s="33"/>
      <c r="IN157" s="33"/>
      <c r="IO157" s="33"/>
      <c r="IP157" s="33"/>
      <c r="IQ157" s="33"/>
      <c r="IR157" s="33"/>
      <c r="IS157" s="33"/>
      <c r="IT157" s="33"/>
      <c r="IU157" s="33"/>
      <c r="IV157" s="33"/>
      <c r="IW157" s="33"/>
      <c r="IX157" s="33"/>
      <c r="IY157" s="33"/>
      <c r="IZ157" s="33"/>
      <c r="JA157" s="33"/>
      <c r="JB157" s="33"/>
      <c r="JC157" s="33"/>
      <c r="JD157" s="33"/>
      <c r="JE157" s="33"/>
      <c r="JF157" s="33"/>
      <c r="JG157" s="33"/>
      <c r="JH157" s="33"/>
      <c r="JI157" s="33"/>
      <c r="JJ157" s="33"/>
      <c r="JK157" s="33"/>
      <c r="JL157" s="33"/>
      <c r="JM157" s="33"/>
      <c r="JN157" s="33"/>
      <c r="JO157" s="33"/>
      <c r="JP157" s="33"/>
      <c r="JQ157" s="33"/>
      <c r="JR157" s="33"/>
      <c r="JS157" s="33"/>
      <c r="JT157" s="33"/>
      <c r="JU157" s="33"/>
      <c r="JV157" s="33"/>
      <c r="JW157" s="33"/>
      <c r="JX157" s="33"/>
      <c r="JY157" s="33"/>
      <c r="JZ157" s="33"/>
      <c r="KA157" s="33"/>
      <c r="KB157" s="33"/>
      <c r="KC157" s="33"/>
      <c r="KD157" s="33"/>
      <c r="KE157" s="33"/>
      <c r="KF157" s="33"/>
      <c r="KG157" s="33"/>
      <c r="KH157" s="33"/>
      <c r="KI157" s="33"/>
      <c r="KJ157" s="33"/>
      <c r="KK157" s="33"/>
      <c r="KL157" s="33"/>
      <c r="KM157" s="33"/>
      <c r="KN157" s="33"/>
      <c r="KO157" s="33"/>
      <c r="KP157" s="33"/>
      <c r="KQ157" s="33"/>
      <c r="KR157" s="33"/>
      <c r="KS157" s="33"/>
      <c r="KT157" s="33"/>
      <c r="KU157" s="33"/>
      <c r="KV157" s="33"/>
      <c r="KW157" s="33"/>
      <c r="KX157" s="33"/>
      <c r="KY157" s="33"/>
      <c r="KZ157" s="33"/>
      <c r="LA157" s="33"/>
      <c r="LB157" s="33"/>
      <c r="LC157" s="33"/>
      <c r="LD157" s="33"/>
      <c r="LE157" s="33"/>
      <c r="LF157" s="33"/>
      <c r="LG157" s="33"/>
      <c r="LH157" s="33"/>
      <c r="LI157" s="33"/>
      <c r="LJ157" s="33"/>
      <c r="LK157" s="33"/>
      <c r="LL157" s="33"/>
      <c r="LM157" s="33"/>
      <c r="LN157" s="33"/>
      <c r="LO157" s="33"/>
      <c r="LP157" s="33"/>
      <c r="LQ157" s="33"/>
      <c r="LR157" s="33"/>
      <c r="LS157" s="33"/>
      <c r="LT157" s="33"/>
      <c r="LU157" s="33"/>
      <c r="LV157" s="33"/>
      <c r="LW157" s="33"/>
      <c r="LX157" s="33"/>
      <c r="LY157" s="33"/>
      <c r="LZ157" s="33"/>
      <c r="MA157" s="33"/>
      <c r="MB157" s="33"/>
      <c r="MC157" s="33"/>
      <c r="MD157" s="33"/>
      <c r="ME157" s="33"/>
      <c r="MF157" s="33"/>
      <c r="MG157" s="33"/>
      <c r="MH157" s="33"/>
      <c r="MI157" s="33"/>
      <c r="MJ157" s="33"/>
      <c r="MK157" s="33"/>
      <c r="ML157" s="33"/>
      <c r="MM157" s="33"/>
      <c r="MN157" s="33"/>
      <c r="MO157" s="33"/>
      <c r="MP157" s="33"/>
      <c r="MQ157" s="33"/>
      <c r="MR157" s="33"/>
      <c r="MS157" s="33"/>
      <c r="MT157" s="33"/>
      <c r="MU157" s="33"/>
      <c r="MV157" s="33"/>
      <c r="MW157" s="33"/>
      <c r="MX157" s="33"/>
      <c r="MY157" s="33"/>
      <c r="MZ157" s="33"/>
      <c r="NA157" s="33"/>
      <c r="NB157" s="33"/>
      <c r="NC157" s="33"/>
      <c r="ND157" s="33"/>
      <c r="NE157" s="33"/>
      <c r="NF157" s="33"/>
      <c r="NG157" s="33"/>
      <c r="NH157" s="33"/>
      <c r="NI157" s="33"/>
      <c r="NJ157" s="33"/>
      <c r="NK157" s="33"/>
      <c r="NL157" s="33"/>
      <c r="NM157" s="33"/>
      <c r="NN157" s="33"/>
      <c r="NO157" s="33"/>
      <c r="NP157" s="33"/>
      <c r="NQ157" s="33"/>
      <c r="NR157" s="33"/>
      <c r="NS157" s="33"/>
      <c r="NT157" s="33"/>
      <c r="NU157" s="33"/>
      <c r="NV157" s="33"/>
      <c r="NW157" s="33"/>
      <c r="NX157" s="33"/>
      <c r="NY157" s="33"/>
      <c r="NZ157" s="33"/>
      <c r="OA157" s="33"/>
      <c r="OB157" s="33"/>
      <c r="OC157" s="33"/>
      <c r="OD157" s="33"/>
      <c r="OE157" s="33"/>
      <c r="OF157" s="33"/>
      <c r="OG157" s="33"/>
      <c r="OH157" s="33"/>
      <c r="OI157" s="33"/>
      <c r="OJ157" s="33"/>
      <c r="OK157" s="33"/>
      <c r="OL157" s="33"/>
      <c r="OM157" s="33"/>
      <c r="ON157" s="33"/>
      <c r="OO157" s="33"/>
      <c r="OP157" s="33"/>
      <c r="OQ157" s="33"/>
      <c r="OR157" s="33"/>
      <c r="OS157" s="33"/>
      <c r="OT157" s="33"/>
      <c r="OU157" s="33"/>
      <c r="OV157" s="33"/>
      <c r="OW157" s="33"/>
      <c r="OX157" s="33"/>
      <c r="OY157" s="33"/>
      <c r="OZ157" s="33"/>
      <c r="PA157" s="33"/>
      <c r="PB157" s="33"/>
      <c r="PC157" s="33"/>
      <c r="PD157" s="33"/>
      <c r="PE157" s="33"/>
      <c r="PF157" s="33"/>
      <c r="PG157" s="33"/>
      <c r="PH157" s="33"/>
      <c r="PI157" s="33"/>
      <c r="PJ157" s="33"/>
      <c r="PK157" s="33"/>
      <c r="PL157" s="33"/>
      <c r="PM157" s="33"/>
      <c r="PN157" s="33"/>
      <c r="PO157" s="33"/>
      <c r="PP157" s="33"/>
      <c r="PQ157" s="33"/>
      <c r="PR157" s="33"/>
      <c r="PS157" s="33"/>
      <c r="PT157" s="33"/>
      <c r="PU157" s="33"/>
      <c r="PV157" s="33"/>
      <c r="PW157" s="33"/>
      <c r="PX157" s="33"/>
      <c r="PY157" s="33"/>
      <c r="PZ157" s="33"/>
      <c r="QA157" s="33"/>
      <c r="QB157" s="33"/>
      <c r="QC157" s="33"/>
      <c r="QD157" s="33"/>
      <c r="QE157" s="33"/>
      <c r="QF157" s="33"/>
      <c r="QG157" s="33"/>
      <c r="QH157" s="33"/>
      <c r="QI157" s="33"/>
      <c r="QJ157" s="33"/>
      <c r="QK157" s="33"/>
      <c r="QL157" s="33"/>
      <c r="QM157" s="33"/>
      <c r="QN157" s="33"/>
      <c r="QO157" s="33"/>
      <c r="QP157" s="33"/>
      <c r="QQ157" s="33"/>
      <c r="QR157" s="33"/>
      <c r="QS157" s="33"/>
      <c r="QT157" s="33"/>
      <c r="QU157" s="33"/>
      <c r="QV157" s="33"/>
      <c r="QW157" s="33"/>
      <c r="QX157" s="33"/>
      <c r="QY157" s="33"/>
      <c r="QZ157" s="33"/>
      <c r="RA157" s="33"/>
      <c r="RB157" s="33"/>
      <c r="RC157" s="33"/>
      <c r="RD157" s="33"/>
      <c r="RE157" s="33"/>
      <c r="RF157" s="33"/>
      <c r="RG157" s="33"/>
      <c r="RH157" s="33"/>
      <c r="RI157" s="33"/>
      <c r="RJ157" s="33"/>
      <c r="RK157" s="33"/>
      <c r="RL157" s="33"/>
      <c r="RM157" s="33"/>
      <c r="RN157" s="33"/>
      <c r="RO157" s="33"/>
      <c r="RP157" s="33"/>
      <c r="RQ157" s="33"/>
      <c r="RR157" s="33"/>
      <c r="RS157" s="33"/>
      <c r="RT157" s="33"/>
      <c r="RU157" s="33"/>
      <c r="RV157" s="33"/>
      <c r="RW157" s="33"/>
      <c r="RX157" s="33"/>
      <c r="RY157" s="33"/>
      <c r="RZ157" s="33"/>
      <c r="SA157" s="33"/>
      <c r="SB157" s="33"/>
      <c r="SC157" s="33"/>
      <c r="SD157" s="33"/>
      <c r="SE157" s="33"/>
      <c r="SF157" s="33"/>
      <c r="SG157" s="33"/>
      <c r="SH157" s="33"/>
      <c r="SI157" s="33"/>
      <c r="SJ157" s="33"/>
      <c r="SK157" s="33"/>
      <c r="SL157" s="33"/>
      <c r="SM157" s="33"/>
      <c r="SN157" s="33"/>
      <c r="SO157" s="33"/>
      <c r="SP157" s="33"/>
      <c r="SQ157" s="33"/>
      <c r="SR157" s="33"/>
      <c r="SS157" s="33"/>
      <c r="ST157" s="33"/>
      <c r="SU157" s="33"/>
      <c r="SV157" s="33"/>
      <c r="SW157" s="33"/>
      <c r="SX157" s="33"/>
      <c r="SY157" s="33"/>
      <c r="SZ157" s="33"/>
      <c r="TA157" s="33"/>
      <c r="TB157" s="33"/>
      <c r="TC157" s="33"/>
      <c r="TD157" s="33"/>
      <c r="TE157" s="33"/>
      <c r="TF157" s="33"/>
      <c r="TG157" s="33"/>
    </row>
    <row r="158" spans="1:527" s="34" customFormat="1" ht="255" hidden="1" customHeight="1" x14ac:dyDescent="0.25">
      <c r="A158" s="100"/>
      <c r="B158" s="113"/>
      <c r="C158" s="113"/>
      <c r="D158" s="81" t="str">
        <f>'дод 5'!C98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58" s="102">
        <f>E190</f>
        <v>0</v>
      </c>
      <c r="F158" s="102">
        <f t="shared" ref="F158:P158" si="64">F190</f>
        <v>0</v>
      </c>
      <c r="G158" s="102">
        <f t="shared" si="64"/>
        <v>0</v>
      </c>
      <c r="H158" s="102">
        <f t="shared" si="64"/>
        <v>0</v>
      </c>
      <c r="I158" s="102">
        <f t="shared" si="64"/>
        <v>0</v>
      </c>
      <c r="J158" s="102">
        <f t="shared" si="64"/>
        <v>0</v>
      </c>
      <c r="K158" s="102">
        <f t="shared" si="64"/>
        <v>0</v>
      </c>
      <c r="L158" s="102">
        <f t="shared" si="64"/>
        <v>0</v>
      </c>
      <c r="M158" s="102">
        <f t="shared" si="64"/>
        <v>0</v>
      </c>
      <c r="N158" s="102">
        <f t="shared" si="64"/>
        <v>0</v>
      </c>
      <c r="O158" s="102">
        <f t="shared" si="64"/>
        <v>0</v>
      </c>
      <c r="P158" s="102">
        <f t="shared" si="64"/>
        <v>0</v>
      </c>
      <c r="Q158" s="188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3"/>
      <c r="GD158" s="33"/>
      <c r="GE158" s="33"/>
      <c r="GF158" s="33"/>
      <c r="GG158" s="33"/>
      <c r="GH158" s="33"/>
      <c r="GI158" s="33"/>
      <c r="GJ158" s="33"/>
      <c r="GK158" s="33"/>
      <c r="GL158" s="33"/>
      <c r="GM158" s="33"/>
      <c r="GN158" s="33"/>
      <c r="GO158" s="33"/>
      <c r="GP158" s="33"/>
      <c r="GQ158" s="33"/>
      <c r="GR158" s="33"/>
      <c r="GS158" s="33"/>
      <c r="GT158" s="33"/>
      <c r="GU158" s="33"/>
      <c r="GV158" s="33"/>
      <c r="GW158" s="33"/>
      <c r="GX158" s="33"/>
      <c r="GY158" s="33"/>
      <c r="GZ158" s="33"/>
      <c r="HA158" s="33"/>
      <c r="HB158" s="33"/>
      <c r="HC158" s="33"/>
      <c r="HD158" s="33"/>
      <c r="HE158" s="33"/>
      <c r="HF158" s="33"/>
      <c r="HG158" s="33"/>
      <c r="HH158" s="33"/>
      <c r="HI158" s="33"/>
      <c r="HJ158" s="33"/>
      <c r="HK158" s="33"/>
      <c r="HL158" s="33"/>
      <c r="HM158" s="33"/>
      <c r="HN158" s="33"/>
      <c r="HO158" s="33"/>
      <c r="HP158" s="33"/>
      <c r="HQ158" s="33"/>
      <c r="HR158" s="33"/>
      <c r="HS158" s="33"/>
      <c r="HT158" s="33"/>
      <c r="HU158" s="33"/>
      <c r="HV158" s="33"/>
      <c r="HW158" s="33"/>
      <c r="HX158" s="33"/>
      <c r="HY158" s="33"/>
      <c r="HZ158" s="33"/>
      <c r="IA158" s="33"/>
      <c r="IB158" s="33"/>
      <c r="IC158" s="33"/>
      <c r="ID158" s="33"/>
      <c r="IE158" s="33"/>
      <c r="IF158" s="33"/>
      <c r="IG158" s="33"/>
      <c r="IH158" s="33"/>
      <c r="II158" s="33"/>
      <c r="IJ158" s="33"/>
      <c r="IK158" s="33"/>
      <c r="IL158" s="33"/>
      <c r="IM158" s="33"/>
      <c r="IN158" s="33"/>
      <c r="IO158" s="33"/>
      <c r="IP158" s="33"/>
      <c r="IQ158" s="33"/>
      <c r="IR158" s="33"/>
      <c r="IS158" s="33"/>
      <c r="IT158" s="33"/>
      <c r="IU158" s="33"/>
      <c r="IV158" s="33"/>
      <c r="IW158" s="33"/>
      <c r="IX158" s="33"/>
      <c r="IY158" s="33"/>
      <c r="IZ158" s="33"/>
      <c r="JA158" s="33"/>
      <c r="JB158" s="33"/>
      <c r="JC158" s="33"/>
      <c r="JD158" s="33"/>
      <c r="JE158" s="33"/>
      <c r="JF158" s="33"/>
      <c r="JG158" s="33"/>
      <c r="JH158" s="33"/>
      <c r="JI158" s="33"/>
      <c r="JJ158" s="33"/>
      <c r="JK158" s="33"/>
      <c r="JL158" s="33"/>
      <c r="JM158" s="33"/>
      <c r="JN158" s="33"/>
      <c r="JO158" s="33"/>
      <c r="JP158" s="33"/>
      <c r="JQ158" s="33"/>
      <c r="JR158" s="33"/>
      <c r="JS158" s="33"/>
      <c r="JT158" s="33"/>
      <c r="JU158" s="33"/>
      <c r="JV158" s="33"/>
      <c r="JW158" s="33"/>
      <c r="JX158" s="33"/>
      <c r="JY158" s="33"/>
      <c r="JZ158" s="33"/>
      <c r="KA158" s="33"/>
      <c r="KB158" s="33"/>
      <c r="KC158" s="33"/>
      <c r="KD158" s="33"/>
      <c r="KE158" s="33"/>
      <c r="KF158" s="33"/>
      <c r="KG158" s="33"/>
      <c r="KH158" s="33"/>
      <c r="KI158" s="33"/>
      <c r="KJ158" s="33"/>
      <c r="KK158" s="33"/>
      <c r="KL158" s="33"/>
      <c r="KM158" s="33"/>
      <c r="KN158" s="33"/>
      <c r="KO158" s="33"/>
      <c r="KP158" s="33"/>
      <c r="KQ158" s="33"/>
      <c r="KR158" s="33"/>
      <c r="KS158" s="33"/>
      <c r="KT158" s="33"/>
      <c r="KU158" s="33"/>
      <c r="KV158" s="33"/>
      <c r="KW158" s="33"/>
      <c r="KX158" s="33"/>
      <c r="KY158" s="33"/>
      <c r="KZ158" s="33"/>
      <c r="LA158" s="33"/>
      <c r="LB158" s="33"/>
      <c r="LC158" s="33"/>
      <c r="LD158" s="33"/>
      <c r="LE158" s="33"/>
      <c r="LF158" s="33"/>
      <c r="LG158" s="33"/>
      <c r="LH158" s="33"/>
      <c r="LI158" s="33"/>
      <c r="LJ158" s="33"/>
      <c r="LK158" s="33"/>
      <c r="LL158" s="33"/>
      <c r="LM158" s="33"/>
      <c r="LN158" s="33"/>
      <c r="LO158" s="33"/>
      <c r="LP158" s="33"/>
      <c r="LQ158" s="33"/>
      <c r="LR158" s="33"/>
      <c r="LS158" s="33"/>
      <c r="LT158" s="33"/>
      <c r="LU158" s="33"/>
      <c r="LV158" s="33"/>
      <c r="LW158" s="33"/>
      <c r="LX158" s="33"/>
      <c r="LY158" s="33"/>
      <c r="LZ158" s="33"/>
      <c r="MA158" s="33"/>
      <c r="MB158" s="33"/>
      <c r="MC158" s="33"/>
      <c r="MD158" s="33"/>
      <c r="ME158" s="33"/>
      <c r="MF158" s="33"/>
      <c r="MG158" s="33"/>
      <c r="MH158" s="33"/>
      <c r="MI158" s="33"/>
      <c r="MJ158" s="33"/>
      <c r="MK158" s="33"/>
      <c r="ML158" s="33"/>
      <c r="MM158" s="33"/>
      <c r="MN158" s="33"/>
      <c r="MO158" s="33"/>
      <c r="MP158" s="33"/>
      <c r="MQ158" s="33"/>
      <c r="MR158" s="33"/>
      <c r="MS158" s="33"/>
      <c r="MT158" s="33"/>
      <c r="MU158" s="33"/>
      <c r="MV158" s="33"/>
      <c r="MW158" s="33"/>
      <c r="MX158" s="33"/>
      <c r="MY158" s="33"/>
      <c r="MZ158" s="33"/>
      <c r="NA158" s="33"/>
      <c r="NB158" s="33"/>
      <c r="NC158" s="33"/>
      <c r="ND158" s="33"/>
      <c r="NE158" s="33"/>
      <c r="NF158" s="33"/>
      <c r="NG158" s="33"/>
      <c r="NH158" s="33"/>
      <c r="NI158" s="33"/>
      <c r="NJ158" s="33"/>
      <c r="NK158" s="33"/>
      <c r="NL158" s="33"/>
      <c r="NM158" s="33"/>
      <c r="NN158" s="33"/>
      <c r="NO158" s="33"/>
      <c r="NP158" s="33"/>
      <c r="NQ158" s="33"/>
      <c r="NR158" s="33"/>
      <c r="NS158" s="33"/>
      <c r="NT158" s="33"/>
      <c r="NU158" s="33"/>
      <c r="NV158" s="33"/>
      <c r="NW158" s="33"/>
      <c r="NX158" s="33"/>
      <c r="NY158" s="33"/>
      <c r="NZ158" s="33"/>
      <c r="OA158" s="33"/>
      <c r="OB158" s="33"/>
      <c r="OC158" s="33"/>
      <c r="OD158" s="33"/>
      <c r="OE158" s="33"/>
      <c r="OF158" s="33"/>
      <c r="OG158" s="33"/>
      <c r="OH158" s="33"/>
      <c r="OI158" s="33"/>
      <c r="OJ158" s="33"/>
      <c r="OK158" s="33"/>
      <c r="OL158" s="33"/>
      <c r="OM158" s="33"/>
      <c r="ON158" s="33"/>
      <c r="OO158" s="33"/>
      <c r="OP158" s="33"/>
      <c r="OQ158" s="33"/>
      <c r="OR158" s="33"/>
      <c r="OS158" s="33"/>
      <c r="OT158" s="33"/>
      <c r="OU158" s="33"/>
      <c r="OV158" s="33"/>
      <c r="OW158" s="33"/>
      <c r="OX158" s="33"/>
      <c r="OY158" s="33"/>
      <c r="OZ158" s="33"/>
      <c r="PA158" s="33"/>
      <c r="PB158" s="33"/>
      <c r="PC158" s="33"/>
      <c r="PD158" s="33"/>
      <c r="PE158" s="33"/>
      <c r="PF158" s="33"/>
      <c r="PG158" s="33"/>
      <c r="PH158" s="33"/>
      <c r="PI158" s="33"/>
      <c r="PJ158" s="33"/>
      <c r="PK158" s="33"/>
      <c r="PL158" s="33"/>
      <c r="PM158" s="33"/>
      <c r="PN158" s="33"/>
      <c r="PO158" s="33"/>
      <c r="PP158" s="33"/>
      <c r="PQ158" s="33"/>
      <c r="PR158" s="33"/>
      <c r="PS158" s="33"/>
      <c r="PT158" s="33"/>
      <c r="PU158" s="33"/>
      <c r="PV158" s="33"/>
      <c r="PW158" s="33"/>
      <c r="PX158" s="33"/>
      <c r="PY158" s="33"/>
      <c r="PZ158" s="33"/>
      <c r="QA158" s="33"/>
      <c r="QB158" s="33"/>
      <c r="QC158" s="33"/>
      <c r="QD158" s="33"/>
      <c r="QE158" s="33"/>
      <c r="QF158" s="33"/>
      <c r="QG158" s="33"/>
      <c r="QH158" s="33"/>
      <c r="QI158" s="33"/>
      <c r="QJ158" s="33"/>
      <c r="QK158" s="33"/>
      <c r="QL158" s="33"/>
      <c r="QM158" s="33"/>
      <c r="QN158" s="33"/>
      <c r="QO158" s="33"/>
      <c r="QP158" s="33"/>
      <c r="QQ158" s="33"/>
      <c r="QR158" s="33"/>
      <c r="QS158" s="33"/>
      <c r="QT158" s="33"/>
      <c r="QU158" s="33"/>
      <c r="QV158" s="33"/>
      <c r="QW158" s="33"/>
      <c r="QX158" s="33"/>
      <c r="QY158" s="33"/>
      <c r="QZ158" s="33"/>
      <c r="RA158" s="33"/>
      <c r="RB158" s="33"/>
      <c r="RC158" s="33"/>
      <c r="RD158" s="33"/>
      <c r="RE158" s="33"/>
      <c r="RF158" s="33"/>
      <c r="RG158" s="33"/>
      <c r="RH158" s="33"/>
      <c r="RI158" s="33"/>
      <c r="RJ158" s="33"/>
      <c r="RK158" s="33"/>
      <c r="RL158" s="33"/>
      <c r="RM158" s="33"/>
      <c r="RN158" s="33"/>
      <c r="RO158" s="33"/>
      <c r="RP158" s="33"/>
      <c r="RQ158" s="33"/>
      <c r="RR158" s="33"/>
      <c r="RS158" s="33"/>
      <c r="RT158" s="33"/>
      <c r="RU158" s="33"/>
      <c r="RV158" s="33"/>
      <c r="RW158" s="33"/>
      <c r="RX158" s="33"/>
      <c r="RY158" s="33"/>
      <c r="RZ158" s="33"/>
      <c r="SA158" s="33"/>
      <c r="SB158" s="33"/>
      <c r="SC158" s="33"/>
      <c r="SD158" s="33"/>
      <c r="SE158" s="33"/>
      <c r="SF158" s="33"/>
      <c r="SG158" s="33"/>
      <c r="SH158" s="33"/>
      <c r="SI158" s="33"/>
      <c r="SJ158" s="33"/>
      <c r="SK158" s="33"/>
      <c r="SL158" s="33"/>
      <c r="SM158" s="33"/>
      <c r="SN158" s="33"/>
      <c r="SO158" s="33"/>
      <c r="SP158" s="33"/>
      <c r="SQ158" s="33"/>
      <c r="SR158" s="33"/>
      <c r="SS158" s="33"/>
      <c r="ST158" s="33"/>
      <c r="SU158" s="33"/>
      <c r="SV158" s="33"/>
      <c r="SW158" s="33"/>
      <c r="SX158" s="33"/>
      <c r="SY158" s="33"/>
      <c r="SZ158" s="33"/>
      <c r="TA158" s="33"/>
      <c r="TB158" s="33"/>
      <c r="TC158" s="33"/>
      <c r="TD158" s="33"/>
      <c r="TE158" s="33"/>
      <c r="TF158" s="33"/>
      <c r="TG158" s="33"/>
    </row>
    <row r="159" spans="1:527" s="34" customFormat="1" ht="15.75" x14ac:dyDescent="0.25">
      <c r="A159" s="100"/>
      <c r="B159" s="113"/>
      <c r="C159" s="113"/>
      <c r="D159" s="81" t="s">
        <v>397</v>
      </c>
      <c r="E159" s="102">
        <f>E167+E171+E173+E177+E179+E193</f>
        <v>4858460.24</v>
      </c>
      <c r="F159" s="102">
        <f t="shared" ref="F159:P159" si="65">F167+F171+F173+F177+F179+F193</f>
        <v>4858460.24</v>
      </c>
      <c r="G159" s="102">
        <f t="shared" si="65"/>
        <v>0</v>
      </c>
      <c r="H159" s="102">
        <f t="shared" si="65"/>
        <v>0</v>
      </c>
      <c r="I159" s="102">
        <f t="shared" si="65"/>
        <v>0</v>
      </c>
      <c r="J159" s="102">
        <f t="shared" si="65"/>
        <v>0</v>
      </c>
      <c r="K159" s="102">
        <f t="shared" si="65"/>
        <v>0</v>
      </c>
      <c r="L159" s="102">
        <f t="shared" si="65"/>
        <v>0</v>
      </c>
      <c r="M159" s="102">
        <f t="shared" si="65"/>
        <v>0</v>
      </c>
      <c r="N159" s="102">
        <f t="shared" si="65"/>
        <v>0</v>
      </c>
      <c r="O159" s="102">
        <f t="shared" si="65"/>
        <v>0</v>
      </c>
      <c r="P159" s="102">
        <f t="shared" si="65"/>
        <v>4858460.24</v>
      </c>
      <c r="Q159" s="188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  <c r="IU159" s="33"/>
      <c r="IV159" s="33"/>
      <c r="IW159" s="33"/>
      <c r="IX159" s="33"/>
      <c r="IY159" s="33"/>
      <c r="IZ159" s="33"/>
      <c r="JA159" s="33"/>
      <c r="JB159" s="33"/>
      <c r="JC159" s="33"/>
      <c r="JD159" s="33"/>
      <c r="JE159" s="33"/>
      <c r="JF159" s="33"/>
      <c r="JG159" s="33"/>
      <c r="JH159" s="33"/>
      <c r="JI159" s="33"/>
      <c r="JJ159" s="33"/>
      <c r="JK159" s="33"/>
      <c r="JL159" s="33"/>
      <c r="JM159" s="33"/>
      <c r="JN159" s="33"/>
      <c r="JO159" s="33"/>
      <c r="JP159" s="33"/>
      <c r="JQ159" s="33"/>
      <c r="JR159" s="33"/>
      <c r="JS159" s="33"/>
      <c r="JT159" s="33"/>
      <c r="JU159" s="33"/>
      <c r="JV159" s="33"/>
      <c r="JW159" s="33"/>
      <c r="JX159" s="33"/>
      <c r="JY159" s="33"/>
      <c r="JZ159" s="33"/>
      <c r="KA159" s="33"/>
      <c r="KB159" s="33"/>
      <c r="KC159" s="33"/>
      <c r="KD159" s="33"/>
      <c r="KE159" s="33"/>
      <c r="KF159" s="33"/>
      <c r="KG159" s="33"/>
      <c r="KH159" s="33"/>
      <c r="KI159" s="33"/>
      <c r="KJ159" s="33"/>
      <c r="KK159" s="33"/>
      <c r="KL159" s="33"/>
      <c r="KM159" s="33"/>
      <c r="KN159" s="33"/>
      <c r="KO159" s="33"/>
      <c r="KP159" s="33"/>
      <c r="KQ159" s="33"/>
      <c r="KR159" s="33"/>
      <c r="KS159" s="33"/>
      <c r="KT159" s="33"/>
      <c r="KU159" s="33"/>
      <c r="KV159" s="33"/>
      <c r="KW159" s="33"/>
      <c r="KX159" s="33"/>
      <c r="KY159" s="33"/>
      <c r="KZ159" s="33"/>
      <c r="LA159" s="33"/>
      <c r="LB159" s="33"/>
      <c r="LC159" s="33"/>
      <c r="LD159" s="33"/>
      <c r="LE159" s="33"/>
      <c r="LF159" s="33"/>
      <c r="LG159" s="33"/>
      <c r="LH159" s="33"/>
      <c r="LI159" s="33"/>
      <c r="LJ159" s="33"/>
      <c r="LK159" s="33"/>
      <c r="LL159" s="33"/>
      <c r="LM159" s="33"/>
      <c r="LN159" s="33"/>
      <c r="LO159" s="33"/>
      <c r="LP159" s="33"/>
      <c r="LQ159" s="33"/>
      <c r="LR159" s="33"/>
      <c r="LS159" s="33"/>
      <c r="LT159" s="33"/>
      <c r="LU159" s="33"/>
      <c r="LV159" s="33"/>
      <c r="LW159" s="33"/>
      <c r="LX159" s="33"/>
      <c r="LY159" s="33"/>
      <c r="LZ159" s="33"/>
      <c r="MA159" s="33"/>
      <c r="MB159" s="33"/>
      <c r="MC159" s="33"/>
      <c r="MD159" s="33"/>
      <c r="ME159" s="33"/>
      <c r="MF159" s="33"/>
      <c r="MG159" s="33"/>
      <c r="MH159" s="33"/>
      <c r="MI159" s="33"/>
      <c r="MJ159" s="33"/>
      <c r="MK159" s="33"/>
      <c r="ML159" s="33"/>
      <c r="MM159" s="33"/>
      <c r="MN159" s="33"/>
      <c r="MO159" s="33"/>
      <c r="MP159" s="33"/>
      <c r="MQ159" s="33"/>
      <c r="MR159" s="33"/>
      <c r="MS159" s="33"/>
      <c r="MT159" s="33"/>
      <c r="MU159" s="33"/>
      <c r="MV159" s="33"/>
      <c r="MW159" s="33"/>
      <c r="MX159" s="33"/>
      <c r="MY159" s="33"/>
      <c r="MZ159" s="33"/>
      <c r="NA159" s="33"/>
      <c r="NB159" s="33"/>
      <c r="NC159" s="33"/>
      <c r="ND159" s="33"/>
      <c r="NE159" s="33"/>
      <c r="NF159" s="33"/>
      <c r="NG159" s="33"/>
      <c r="NH159" s="33"/>
      <c r="NI159" s="33"/>
      <c r="NJ159" s="33"/>
      <c r="NK159" s="33"/>
      <c r="NL159" s="33"/>
      <c r="NM159" s="33"/>
      <c r="NN159" s="33"/>
      <c r="NO159" s="33"/>
      <c r="NP159" s="33"/>
      <c r="NQ159" s="33"/>
      <c r="NR159" s="33"/>
      <c r="NS159" s="33"/>
      <c r="NT159" s="33"/>
      <c r="NU159" s="33"/>
      <c r="NV159" s="33"/>
      <c r="NW159" s="33"/>
      <c r="NX159" s="33"/>
      <c r="NY159" s="33"/>
      <c r="NZ159" s="33"/>
      <c r="OA159" s="33"/>
      <c r="OB159" s="33"/>
      <c r="OC159" s="33"/>
      <c r="OD159" s="33"/>
      <c r="OE159" s="33"/>
      <c r="OF159" s="33"/>
      <c r="OG159" s="33"/>
      <c r="OH159" s="33"/>
      <c r="OI159" s="33"/>
      <c r="OJ159" s="33"/>
      <c r="OK159" s="33"/>
      <c r="OL159" s="33"/>
      <c r="OM159" s="33"/>
      <c r="ON159" s="33"/>
      <c r="OO159" s="33"/>
      <c r="OP159" s="33"/>
      <c r="OQ159" s="33"/>
      <c r="OR159" s="33"/>
      <c r="OS159" s="33"/>
      <c r="OT159" s="33"/>
      <c r="OU159" s="33"/>
      <c r="OV159" s="33"/>
      <c r="OW159" s="33"/>
      <c r="OX159" s="33"/>
      <c r="OY159" s="33"/>
      <c r="OZ159" s="33"/>
      <c r="PA159" s="33"/>
      <c r="PB159" s="33"/>
      <c r="PC159" s="33"/>
      <c r="PD159" s="33"/>
      <c r="PE159" s="33"/>
      <c r="PF159" s="33"/>
      <c r="PG159" s="33"/>
      <c r="PH159" s="33"/>
      <c r="PI159" s="33"/>
      <c r="PJ159" s="33"/>
      <c r="PK159" s="33"/>
      <c r="PL159" s="33"/>
      <c r="PM159" s="33"/>
      <c r="PN159" s="33"/>
      <c r="PO159" s="33"/>
      <c r="PP159" s="33"/>
      <c r="PQ159" s="33"/>
      <c r="PR159" s="33"/>
      <c r="PS159" s="33"/>
      <c r="PT159" s="33"/>
      <c r="PU159" s="33"/>
      <c r="PV159" s="33"/>
      <c r="PW159" s="33"/>
      <c r="PX159" s="33"/>
      <c r="PY159" s="33"/>
      <c r="PZ159" s="33"/>
      <c r="QA159" s="33"/>
      <c r="QB159" s="33"/>
      <c r="QC159" s="33"/>
      <c r="QD159" s="33"/>
      <c r="QE159" s="33"/>
      <c r="QF159" s="33"/>
      <c r="QG159" s="33"/>
      <c r="QH159" s="33"/>
      <c r="QI159" s="33"/>
      <c r="QJ159" s="33"/>
      <c r="QK159" s="33"/>
      <c r="QL159" s="33"/>
      <c r="QM159" s="33"/>
      <c r="QN159" s="33"/>
      <c r="QO159" s="33"/>
      <c r="QP159" s="33"/>
      <c r="QQ159" s="33"/>
      <c r="QR159" s="33"/>
      <c r="QS159" s="33"/>
      <c r="QT159" s="33"/>
      <c r="QU159" s="33"/>
      <c r="QV159" s="33"/>
      <c r="QW159" s="33"/>
      <c r="QX159" s="33"/>
      <c r="QY159" s="33"/>
      <c r="QZ159" s="33"/>
      <c r="RA159" s="33"/>
      <c r="RB159" s="33"/>
      <c r="RC159" s="33"/>
      <c r="RD159" s="33"/>
      <c r="RE159" s="33"/>
      <c r="RF159" s="33"/>
      <c r="RG159" s="33"/>
      <c r="RH159" s="33"/>
      <c r="RI159" s="33"/>
      <c r="RJ159" s="33"/>
      <c r="RK159" s="33"/>
      <c r="RL159" s="33"/>
      <c r="RM159" s="33"/>
      <c r="RN159" s="33"/>
      <c r="RO159" s="33"/>
      <c r="RP159" s="33"/>
      <c r="RQ159" s="33"/>
      <c r="RR159" s="33"/>
      <c r="RS159" s="33"/>
      <c r="RT159" s="33"/>
      <c r="RU159" s="33"/>
      <c r="RV159" s="33"/>
      <c r="RW159" s="33"/>
      <c r="RX159" s="33"/>
      <c r="RY159" s="33"/>
      <c r="RZ159" s="33"/>
      <c r="SA159" s="33"/>
      <c r="SB159" s="33"/>
      <c r="SC159" s="33"/>
      <c r="SD159" s="33"/>
      <c r="SE159" s="33"/>
      <c r="SF159" s="33"/>
      <c r="SG159" s="33"/>
      <c r="SH159" s="33"/>
      <c r="SI159" s="33"/>
      <c r="SJ159" s="33"/>
      <c r="SK159" s="33"/>
      <c r="SL159" s="33"/>
      <c r="SM159" s="33"/>
      <c r="SN159" s="33"/>
      <c r="SO159" s="33"/>
      <c r="SP159" s="33"/>
      <c r="SQ159" s="33"/>
      <c r="SR159" s="33"/>
      <c r="SS159" s="33"/>
      <c r="ST159" s="33"/>
      <c r="SU159" s="33"/>
      <c r="SV159" s="33"/>
      <c r="SW159" s="33"/>
      <c r="SX159" s="33"/>
      <c r="SY159" s="33"/>
      <c r="SZ159" s="33"/>
      <c r="TA159" s="33"/>
      <c r="TB159" s="33"/>
      <c r="TC159" s="33"/>
      <c r="TD159" s="33"/>
      <c r="TE159" s="33"/>
      <c r="TF159" s="33"/>
      <c r="TG159" s="33"/>
    </row>
    <row r="160" spans="1:527" s="34" customFormat="1" ht="306.75" customHeight="1" x14ac:dyDescent="0.25">
      <c r="A160" s="100"/>
      <c r="B160" s="113"/>
      <c r="C160" s="113"/>
      <c r="D160" s="81" t="s">
        <v>603</v>
      </c>
      <c r="E160" s="102">
        <f>E186</f>
        <v>0</v>
      </c>
      <c r="F160" s="102">
        <f t="shared" ref="F160:P160" si="66">F186</f>
        <v>0</v>
      </c>
      <c r="G160" s="102">
        <f t="shared" si="66"/>
        <v>0</v>
      </c>
      <c r="H160" s="102">
        <f t="shared" si="66"/>
        <v>0</v>
      </c>
      <c r="I160" s="102">
        <f t="shared" si="66"/>
        <v>0</v>
      </c>
      <c r="J160" s="102">
        <f t="shared" si="66"/>
        <v>975480.06</v>
      </c>
      <c r="K160" s="102">
        <f t="shared" si="66"/>
        <v>975480.06</v>
      </c>
      <c r="L160" s="102">
        <f t="shared" si="66"/>
        <v>0</v>
      </c>
      <c r="M160" s="102">
        <f t="shared" si="66"/>
        <v>0</v>
      </c>
      <c r="N160" s="102">
        <f t="shared" si="66"/>
        <v>0</v>
      </c>
      <c r="O160" s="102">
        <f t="shared" si="66"/>
        <v>975480.06</v>
      </c>
      <c r="P160" s="102">
        <f t="shared" si="66"/>
        <v>975480.06</v>
      </c>
      <c r="Q160" s="188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  <c r="IJ160" s="33"/>
      <c r="IK160" s="33"/>
      <c r="IL160" s="33"/>
      <c r="IM160" s="33"/>
      <c r="IN160" s="33"/>
      <c r="IO160" s="33"/>
      <c r="IP160" s="33"/>
      <c r="IQ160" s="33"/>
      <c r="IR160" s="33"/>
      <c r="IS160" s="33"/>
      <c r="IT160" s="33"/>
      <c r="IU160" s="33"/>
      <c r="IV160" s="33"/>
      <c r="IW160" s="33"/>
      <c r="IX160" s="33"/>
      <c r="IY160" s="33"/>
      <c r="IZ160" s="33"/>
      <c r="JA160" s="33"/>
      <c r="JB160" s="33"/>
      <c r="JC160" s="33"/>
      <c r="JD160" s="33"/>
      <c r="JE160" s="33"/>
      <c r="JF160" s="33"/>
      <c r="JG160" s="33"/>
      <c r="JH160" s="33"/>
      <c r="JI160" s="33"/>
      <c r="JJ160" s="33"/>
      <c r="JK160" s="33"/>
      <c r="JL160" s="33"/>
      <c r="JM160" s="33"/>
      <c r="JN160" s="33"/>
      <c r="JO160" s="33"/>
      <c r="JP160" s="33"/>
      <c r="JQ160" s="33"/>
      <c r="JR160" s="33"/>
      <c r="JS160" s="33"/>
      <c r="JT160" s="33"/>
      <c r="JU160" s="33"/>
      <c r="JV160" s="33"/>
      <c r="JW160" s="33"/>
      <c r="JX160" s="33"/>
      <c r="JY160" s="33"/>
      <c r="JZ160" s="33"/>
      <c r="KA160" s="33"/>
      <c r="KB160" s="33"/>
      <c r="KC160" s="33"/>
      <c r="KD160" s="33"/>
      <c r="KE160" s="33"/>
      <c r="KF160" s="33"/>
      <c r="KG160" s="33"/>
      <c r="KH160" s="33"/>
      <c r="KI160" s="33"/>
      <c r="KJ160" s="33"/>
      <c r="KK160" s="33"/>
      <c r="KL160" s="33"/>
      <c r="KM160" s="33"/>
      <c r="KN160" s="33"/>
      <c r="KO160" s="33"/>
      <c r="KP160" s="33"/>
      <c r="KQ160" s="33"/>
      <c r="KR160" s="33"/>
      <c r="KS160" s="33"/>
      <c r="KT160" s="33"/>
      <c r="KU160" s="33"/>
      <c r="KV160" s="33"/>
      <c r="KW160" s="33"/>
      <c r="KX160" s="33"/>
      <c r="KY160" s="33"/>
      <c r="KZ160" s="33"/>
      <c r="LA160" s="33"/>
      <c r="LB160" s="33"/>
      <c r="LC160" s="33"/>
      <c r="LD160" s="33"/>
      <c r="LE160" s="33"/>
      <c r="LF160" s="33"/>
      <c r="LG160" s="33"/>
      <c r="LH160" s="33"/>
      <c r="LI160" s="33"/>
      <c r="LJ160" s="33"/>
      <c r="LK160" s="33"/>
      <c r="LL160" s="33"/>
      <c r="LM160" s="33"/>
      <c r="LN160" s="33"/>
      <c r="LO160" s="33"/>
      <c r="LP160" s="33"/>
      <c r="LQ160" s="33"/>
      <c r="LR160" s="33"/>
      <c r="LS160" s="33"/>
      <c r="LT160" s="33"/>
      <c r="LU160" s="33"/>
      <c r="LV160" s="33"/>
      <c r="LW160" s="33"/>
      <c r="LX160" s="33"/>
      <c r="LY160" s="33"/>
      <c r="LZ160" s="33"/>
      <c r="MA160" s="33"/>
      <c r="MB160" s="33"/>
      <c r="MC160" s="33"/>
      <c r="MD160" s="33"/>
      <c r="ME160" s="33"/>
      <c r="MF160" s="33"/>
      <c r="MG160" s="33"/>
      <c r="MH160" s="33"/>
      <c r="MI160" s="33"/>
      <c r="MJ160" s="33"/>
      <c r="MK160" s="33"/>
      <c r="ML160" s="33"/>
      <c r="MM160" s="33"/>
      <c r="MN160" s="33"/>
      <c r="MO160" s="33"/>
      <c r="MP160" s="33"/>
      <c r="MQ160" s="33"/>
      <c r="MR160" s="33"/>
      <c r="MS160" s="33"/>
      <c r="MT160" s="33"/>
      <c r="MU160" s="33"/>
      <c r="MV160" s="33"/>
      <c r="MW160" s="33"/>
      <c r="MX160" s="33"/>
      <c r="MY160" s="33"/>
      <c r="MZ160" s="33"/>
      <c r="NA160" s="33"/>
      <c r="NB160" s="33"/>
      <c r="NC160" s="33"/>
      <c r="ND160" s="33"/>
      <c r="NE160" s="33"/>
      <c r="NF160" s="33"/>
      <c r="NG160" s="33"/>
      <c r="NH160" s="33"/>
      <c r="NI160" s="33"/>
      <c r="NJ160" s="33"/>
      <c r="NK160" s="33"/>
      <c r="NL160" s="33"/>
      <c r="NM160" s="33"/>
      <c r="NN160" s="33"/>
      <c r="NO160" s="33"/>
      <c r="NP160" s="33"/>
      <c r="NQ160" s="33"/>
      <c r="NR160" s="33"/>
      <c r="NS160" s="33"/>
      <c r="NT160" s="33"/>
      <c r="NU160" s="33"/>
      <c r="NV160" s="33"/>
      <c r="NW160" s="33"/>
      <c r="NX160" s="33"/>
      <c r="NY160" s="33"/>
      <c r="NZ160" s="33"/>
      <c r="OA160" s="33"/>
      <c r="OB160" s="33"/>
      <c r="OC160" s="33"/>
      <c r="OD160" s="33"/>
      <c r="OE160" s="33"/>
      <c r="OF160" s="33"/>
      <c r="OG160" s="33"/>
      <c r="OH160" s="33"/>
      <c r="OI160" s="33"/>
      <c r="OJ160" s="33"/>
      <c r="OK160" s="33"/>
      <c r="OL160" s="33"/>
      <c r="OM160" s="33"/>
      <c r="ON160" s="33"/>
      <c r="OO160" s="33"/>
      <c r="OP160" s="33"/>
      <c r="OQ160" s="33"/>
      <c r="OR160" s="33"/>
      <c r="OS160" s="33"/>
      <c r="OT160" s="33"/>
      <c r="OU160" s="33"/>
      <c r="OV160" s="33"/>
      <c r="OW160" s="33"/>
      <c r="OX160" s="33"/>
      <c r="OY160" s="33"/>
      <c r="OZ160" s="33"/>
      <c r="PA160" s="33"/>
      <c r="PB160" s="33"/>
      <c r="PC160" s="33"/>
      <c r="PD160" s="33"/>
      <c r="PE160" s="33"/>
      <c r="PF160" s="33"/>
      <c r="PG160" s="33"/>
      <c r="PH160" s="33"/>
      <c r="PI160" s="33"/>
      <c r="PJ160" s="33"/>
      <c r="PK160" s="33"/>
      <c r="PL160" s="33"/>
      <c r="PM160" s="33"/>
      <c r="PN160" s="33"/>
      <c r="PO160" s="33"/>
      <c r="PP160" s="33"/>
      <c r="PQ160" s="33"/>
      <c r="PR160" s="33"/>
      <c r="PS160" s="33"/>
      <c r="PT160" s="33"/>
      <c r="PU160" s="33"/>
      <c r="PV160" s="33"/>
      <c r="PW160" s="33"/>
      <c r="PX160" s="33"/>
      <c r="PY160" s="33"/>
      <c r="PZ160" s="33"/>
      <c r="QA160" s="33"/>
      <c r="QB160" s="33"/>
      <c r="QC160" s="33"/>
      <c r="QD160" s="33"/>
      <c r="QE160" s="33"/>
      <c r="QF160" s="33"/>
      <c r="QG160" s="33"/>
      <c r="QH160" s="33"/>
      <c r="QI160" s="33"/>
      <c r="QJ160" s="33"/>
      <c r="QK160" s="33"/>
      <c r="QL160" s="33"/>
      <c r="QM160" s="33"/>
      <c r="QN160" s="33"/>
      <c r="QO160" s="33"/>
      <c r="QP160" s="33"/>
      <c r="QQ160" s="33"/>
      <c r="QR160" s="33"/>
      <c r="QS160" s="33"/>
      <c r="QT160" s="33"/>
      <c r="QU160" s="33"/>
      <c r="QV160" s="33"/>
      <c r="QW160" s="33"/>
      <c r="QX160" s="33"/>
      <c r="QY160" s="33"/>
      <c r="QZ160" s="33"/>
      <c r="RA160" s="33"/>
      <c r="RB160" s="33"/>
      <c r="RC160" s="33"/>
      <c r="RD160" s="33"/>
      <c r="RE160" s="33"/>
      <c r="RF160" s="33"/>
      <c r="RG160" s="33"/>
      <c r="RH160" s="33"/>
      <c r="RI160" s="33"/>
      <c r="RJ160" s="33"/>
      <c r="RK160" s="33"/>
      <c r="RL160" s="33"/>
      <c r="RM160" s="33"/>
      <c r="RN160" s="33"/>
      <c r="RO160" s="33"/>
      <c r="RP160" s="33"/>
      <c r="RQ160" s="33"/>
      <c r="RR160" s="33"/>
      <c r="RS160" s="33"/>
      <c r="RT160" s="33"/>
      <c r="RU160" s="33"/>
      <c r="RV160" s="33"/>
      <c r="RW160" s="33"/>
      <c r="RX160" s="33"/>
      <c r="RY160" s="33"/>
      <c r="RZ160" s="33"/>
      <c r="SA160" s="33"/>
      <c r="SB160" s="33"/>
      <c r="SC160" s="33"/>
      <c r="SD160" s="33"/>
      <c r="SE160" s="33"/>
      <c r="SF160" s="33"/>
      <c r="SG160" s="33"/>
      <c r="SH160" s="33"/>
      <c r="SI160" s="33"/>
      <c r="SJ160" s="33"/>
      <c r="SK160" s="33"/>
      <c r="SL160" s="33"/>
      <c r="SM160" s="33"/>
      <c r="SN160" s="33"/>
      <c r="SO160" s="33"/>
      <c r="SP160" s="33"/>
      <c r="SQ160" s="33"/>
      <c r="SR160" s="33"/>
      <c r="SS160" s="33"/>
      <c r="ST160" s="33"/>
      <c r="SU160" s="33"/>
      <c r="SV160" s="33"/>
      <c r="SW160" s="33"/>
      <c r="SX160" s="33"/>
      <c r="SY160" s="33"/>
      <c r="SZ160" s="33"/>
      <c r="TA160" s="33"/>
      <c r="TB160" s="33"/>
      <c r="TC160" s="33"/>
      <c r="TD160" s="33"/>
      <c r="TE160" s="33"/>
      <c r="TF160" s="33"/>
      <c r="TG160" s="33"/>
    </row>
    <row r="161" spans="1:527" s="34" customFormat="1" ht="369.75" customHeight="1" x14ac:dyDescent="0.25">
      <c r="A161" s="100"/>
      <c r="B161" s="113"/>
      <c r="C161" s="113"/>
      <c r="D161" s="81" t="s">
        <v>604</v>
      </c>
      <c r="E161" s="102">
        <f>E188</f>
        <v>0</v>
      </c>
      <c r="F161" s="102">
        <f t="shared" ref="F161:P161" si="67">F188</f>
        <v>0</v>
      </c>
      <c r="G161" s="102">
        <f t="shared" si="67"/>
        <v>0</v>
      </c>
      <c r="H161" s="102">
        <f t="shared" si="67"/>
        <v>0</v>
      </c>
      <c r="I161" s="102">
        <f t="shared" si="67"/>
        <v>0</v>
      </c>
      <c r="J161" s="102">
        <f t="shared" si="67"/>
        <v>1176130.99</v>
      </c>
      <c r="K161" s="102">
        <f t="shared" si="67"/>
        <v>1176130.99</v>
      </c>
      <c r="L161" s="102">
        <f t="shared" si="67"/>
        <v>0</v>
      </c>
      <c r="M161" s="102">
        <f t="shared" si="67"/>
        <v>0</v>
      </c>
      <c r="N161" s="102">
        <f t="shared" si="67"/>
        <v>0</v>
      </c>
      <c r="O161" s="102">
        <f t="shared" si="67"/>
        <v>1176130.99</v>
      </c>
      <c r="P161" s="102">
        <f t="shared" si="67"/>
        <v>1176130.99</v>
      </c>
      <c r="Q161" s="188">
        <v>11</v>
      </c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3"/>
      <c r="HG161" s="33"/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  <c r="IA161" s="33"/>
      <c r="IB161" s="33"/>
      <c r="IC161" s="33"/>
      <c r="ID161" s="33"/>
      <c r="IE161" s="33"/>
      <c r="IF161" s="33"/>
      <c r="IG161" s="33"/>
      <c r="IH161" s="33"/>
      <c r="II161" s="33"/>
      <c r="IJ161" s="33"/>
      <c r="IK161" s="33"/>
      <c r="IL161" s="33"/>
      <c r="IM161" s="33"/>
      <c r="IN161" s="33"/>
      <c r="IO161" s="33"/>
      <c r="IP161" s="33"/>
      <c r="IQ161" s="33"/>
      <c r="IR161" s="33"/>
      <c r="IS161" s="33"/>
      <c r="IT161" s="33"/>
      <c r="IU161" s="33"/>
      <c r="IV161" s="33"/>
      <c r="IW161" s="33"/>
      <c r="IX161" s="33"/>
      <c r="IY161" s="33"/>
      <c r="IZ161" s="33"/>
      <c r="JA161" s="33"/>
      <c r="JB161" s="33"/>
      <c r="JC161" s="33"/>
      <c r="JD161" s="33"/>
      <c r="JE161" s="33"/>
      <c r="JF161" s="33"/>
      <c r="JG161" s="33"/>
      <c r="JH161" s="33"/>
      <c r="JI161" s="33"/>
      <c r="JJ161" s="33"/>
      <c r="JK161" s="33"/>
      <c r="JL161" s="33"/>
      <c r="JM161" s="33"/>
      <c r="JN161" s="33"/>
      <c r="JO161" s="33"/>
      <c r="JP161" s="33"/>
      <c r="JQ161" s="33"/>
      <c r="JR161" s="33"/>
      <c r="JS161" s="33"/>
      <c r="JT161" s="33"/>
      <c r="JU161" s="33"/>
      <c r="JV161" s="33"/>
      <c r="JW161" s="33"/>
      <c r="JX161" s="33"/>
      <c r="JY161" s="33"/>
      <c r="JZ161" s="33"/>
      <c r="KA161" s="33"/>
      <c r="KB161" s="33"/>
      <c r="KC161" s="33"/>
      <c r="KD161" s="33"/>
      <c r="KE161" s="33"/>
      <c r="KF161" s="33"/>
      <c r="KG161" s="33"/>
      <c r="KH161" s="33"/>
      <c r="KI161" s="33"/>
      <c r="KJ161" s="33"/>
      <c r="KK161" s="33"/>
      <c r="KL161" s="33"/>
      <c r="KM161" s="33"/>
      <c r="KN161" s="33"/>
      <c r="KO161" s="33"/>
      <c r="KP161" s="33"/>
      <c r="KQ161" s="33"/>
      <c r="KR161" s="33"/>
      <c r="KS161" s="33"/>
      <c r="KT161" s="33"/>
      <c r="KU161" s="33"/>
      <c r="KV161" s="33"/>
      <c r="KW161" s="33"/>
      <c r="KX161" s="33"/>
      <c r="KY161" s="33"/>
      <c r="KZ161" s="33"/>
      <c r="LA161" s="33"/>
      <c r="LB161" s="33"/>
      <c r="LC161" s="33"/>
      <c r="LD161" s="33"/>
      <c r="LE161" s="33"/>
      <c r="LF161" s="33"/>
      <c r="LG161" s="33"/>
      <c r="LH161" s="33"/>
      <c r="LI161" s="33"/>
      <c r="LJ161" s="33"/>
      <c r="LK161" s="33"/>
      <c r="LL161" s="33"/>
      <c r="LM161" s="33"/>
      <c r="LN161" s="33"/>
      <c r="LO161" s="33"/>
      <c r="LP161" s="33"/>
      <c r="LQ161" s="33"/>
      <c r="LR161" s="33"/>
      <c r="LS161" s="33"/>
      <c r="LT161" s="33"/>
      <c r="LU161" s="33"/>
      <c r="LV161" s="33"/>
      <c r="LW161" s="33"/>
      <c r="LX161" s="33"/>
      <c r="LY161" s="33"/>
      <c r="LZ161" s="33"/>
      <c r="MA161" s="33"/>
      <c r="MB161" s="33"/>
      <c r="MC161" s="33"/>
      <c r="MD161" s="33"/>
      <c r="ME161" s="33"/>
      <c r="MF161" s="33"/>
      <c r="MG161" s="33"/>
      <c r="MH161" s="33"/>
      <c r="MI161" s="33"/>
      <c r="MJ161" s="33"/>
      <c r="MK161" s="33"/>
      <c r="ML161" s="33"/>
      <c r="MM161" s="33"/>
      <c r="MN161" s="33"/>
      <c r="MO161" s="33"/>
      <c r="MP161" s="33"/>
      <c r="MQ161" s="33"/>
      <c r="MR161" s="33"/>
      <c r="MS161" s="33"/>
      <c r="MT161" s="33"/>
      <c r="MU161" s="33"/>
      <c r="MV161" s="33"/>
      <c r="MW161" s="33"/>
      <c r="MX161" s="33"/>
      <c r="MY161" s="33"/>
      <c r="MZ161" s="33"/>
      <c r="NA161" s="33"/>
      <c r="NB161" s="33"/>
      <c r="NC161" s="33"/>
      <c r="ND161" s="33"/>
      <c r="NE161" s="33"/>
      <c r="NF161" s="33"/>
      <c r="NG161" s="33"/>
      <c r="NH161" s="33"/>
      <c r="NI161" s="33"/>
      <c r="NJ161" s="33"/>
      <c r="NK161" s="33"/>
      <c r="NL161" s="33"/>
      <c r="NM161" s="33"/>
      <c r="NN161" s="33"/>
      <c r="NO161" s="33"/>
      <c r="NP161" s="33"/>
      <c r="NQ161" s="33"/>
      <c r="NR161" s="33"/>
      <c r="NS161" s="33"/>
      <c r="NT161" s="33"/>
      <c r="NU161" s="33"/>
      <c r="NV161" s="33"/>
      <c r="NW161" s="33"/>
      <c r="NX161" s="33"/>
      <c r="NY161" s="33"/>
      <c r="NZ161" s="33"/>
      <c r="OA161" s="33"/>
      <c r="OB161" s="33"/>
      <c r="OC161" s="33"/>
      <c r="OD161" s="33"/>
      <c r="OE161" s="33"/>
      <c r="OF161" s="33"/>
      <c r="OG161" s="33"/>
      <c r="OH161" s="33"/>
      <c r="OI161" s="33"/>
      <c r="OJ161" s="33"/>
      <c r="OK161" s="33"/>
      <c r="OL161" s="33"/>
      <c r="OM161" s="33"/>
      <c r="ON161" s="33"/>
      <c r="OO161" s="33"/>
      <c r="OP161" s="33"/>
      <c r="OQ161" s="33"/>
      <c r="OR161" s="33"/>
      <c r="OS161" s="33"/>
      <c r="OT161" s="33"/>
      <c r="OU161" s="33"/>
      <c r="OV161" s="33"/>
      <c r="OW161" s="33"/>
      <c r="OX161" s="33"/>
      <c r="OY161" s="33"/>
      <c r="OZ161" s="33"/>
      <c r="PA161" s="33"/>
      <c r="PB161" s="33"/>
      <c r="PC161" s="33"/>
      <c r="PD161" s="33"/>
      <c r="PE161" s="33"/>
      <c r="PF161" s="33"/>
      <c r="PG161" s="33"/>
      <c r="PH161" s="33"/>
      <c r="PI161" s="33"/>
      <c r="PJ161" s="33"/>
      <c r="PK161" s="33"/>
      <c r="PL161" s="33"/>
      <c r="PM161" s="33"/>
      <c r="PN161" s="33"/>
      <c r="PO161" s="33"/>
      <c r="PP161" s="33"/>
      <c r="PQ161" s="33"/>
      <c r="PR161" s="33"/>
      <c r="PS161" s="33"/>
      <c r="PT161" s="33"/>
      <c r="PU161" s="33"/>
      <c r="PV161" s="33"/>
      <c r="PW161" s="33"/>
      <c r="PX161" s="33"/>
      <c r="PY161" s="33"/>
      <c r="PZ161" s="33"/>
      <c r="QA161" s="33"/>
      <c r="QB161" s="33"/>
      <c r="QC161" s="33"/>
      <c r="QD161" s="33"/>
      <c r="QE161" s="33"/>
      <c r="QF161" s="33"/>
      <c r="QG161" s="33"/>
      <c r="QH161" s="33"/>
      <c r="QI161" s="33"/>
      <c r="QJ161" s="33"/>
      <c r="QK161" s="33"/>
      <c r="QL161" s="33"/>
      <c r="QM161" s="33"/>
      <c r="QN161" s="33"/>
      <c r="QO161" s="33"/>
      <c r="QP161" s="33"/>
      <c r="QQ161" s="33"/>
      <c r="QR161" s="33"/>
      <c r="QS161" s="33"/>
      <c r="QT161" s="33"/>
      <c r="QU161" s="33"/>
      <c r="QV161" s="33"/>
      <c r="QW161" s="33"/>
      <c r="QX161" s="33"/>
      <c r="QY161" s="33"/>
      <c r="QZ161" s="33"/>
      <c r="RA161" s="33"/>
      <c r="RB161" s="33"/>
      <c r="RC161" s="33"/>
      <c r="RD161" s="33"/>
      <c r="RE161" s="33"/>
      <c r="RF161" s="33"/>
      <c r="RG161" s="33"/>
      <c r="RH161" s="33"/>
      <c r="RI161" s="33"/>
      <c r="RJ161" s="33"/>
      <c r="RK161" s="33"/>
      <c r="RL161" s="33"/>
      <c r="RM161" s="33"/>
      <c r="RN161" s="33"/>
      <c r="RO161" s="33"/>
      <c r="RP161" s="33"/>
      <c r="RQ161" s="33"/>
      <c r="RR161" s="33"/>
      <c r="RS161" s="33"/>
      <c r="RT161" s="33"/>
      <c r="RU161" s="33"/>
      <c r="RV161" s="33"/>
      <c r="RW161" s="33"/>
      <c r="RX161" s="33"/>
      <c r="RY161" s="33"/>
      <c r="RZ161" s="33"/>
      <c r="SA161" s="33"/>
      <c r="SB161" s="33"/>
      <c r="SC161" s="33"/>
      <c r="SD161" s="33"/>
      <c r="SE161" s="33"/>
      <c r="SF161" s="33"/>
      <c r="SG161" s="33"/>
      <c r="SH161" s="33"/>
      <c r="SI161" s="33"/>
      <c r="SJ161" s="33"/>
      <c r="SK161" s="33"/>
      <c r="SL161" s="33"/>
      <c r="SM161" s="33"/>
      <c r="SN161" s="33"/>
      <c r="SO161" s="33"/>
      <c r="SP161" s="33"/>
      <c r="SQ161" s="33"/>
      <c r="SR161" s="33"/>
      <c r="SS161" s="33"/>
      <c r="ST161" s="33"/>
      <c r="SU161" s="33"/>
      <c r="SV161" s="33"/>
      <c r="SW161" s="33"/>
      <c r="SX161" s="33"/>
      <c r="SY161" s="33"/>
      <c r="SZ161" s="33"/>
      <c r="TA161" s="33"/>
      <c r="TB161" s="33"/>
      <c r="TC161" s="33"/>
      <c r="TD161" s="33"/>
      <c r="TE161" s="33"/>
      <c r="TF161" s="33"/>
      <c r="TG161" s="33"/>
    </row>
    <row r="162" spans="1:527" s="22" customFormat="1" ht="45.75" customHeight="1" x14ac:dyDescent="0.25">
      <c r="A162" s="60" t="s">
        <v>182</v>
      </c>
      <c r="B162" s="97" t="str">
        <f>'дод 5'!A20</f>
        <v>0160</v>
      </c>
      <c r="C162" s="97" t="str">
        <f>'дод 5'!B20</f>
        <v>0111</v>
      </c>
      <c r="D162" s="36" t="s">
        <v>503</v>
      </c>
      <c r="E162" s="103">
        <f t="shared" ref="E162:E195" si="68">F162+I162</f>
        <v>55520560</v>
      </c>
      <c r="F162" s="103">
        <f>55404100-2500-39500+158460</f>
        <v>55520560</v>
      </c>
      <c r="G162" s="103">
        <v>43270200</v>
      </c>
      <c r="H162" s="103">
        <f>762000+158460</f>
        <v>920460</v>
      </c>
      <c r="I162" s="103"/>
      <c r="J162" s="103">
        <f>L162+O162</f>
        <v>68000</v>
      </c>
      <c r="K162" s="103">
        <v>68000</v>
      </c>
      <c r="L162" s="103"/>
      <c r="M162" s="103"/>
      <c r="N162" s="103"/>
      <c r="O162" s="103">
        <v>68000</v>
      </c>
      <c r="P162" s="103">
        <f t="shared" ref="P162:P195" si="69">E162+J162</f>
        <v>55588560</v>
      </c>
      <c r="Q162" s="188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  <c r="TG162" s="23"/>
    </row>
    <row r="163" spans="1:527" s="22" customFormat="1" ht="23.25" customHeight="1" x14ac:dyDescent="0.25">
      <c r="A163" s="60" t="s">
        <v>547</v>
      </c>
      <c r="B163" s="60" t="s">
        <v>46</v>
      </c>
      <c r="C163" s="60" t="s">
        <v>95</v>
      </c>
      <c r="D163" s="36" t="s">
        <v>244</v>
      </c>
      <c r="E163" s="103">
        <f t="shared" si="68"/>
        <v>39500</v>
      </c>
      <c r="F163" s="103">
        <v>39500</v>
      </c>
      <c r="G163" s="103"/>
      <c r="H163" s="103"/>
      <c r="I163" s="103"/>
      <c r="J163" s="103">
        <f>L163+O163</f>
        <v>0</v>
      </c>
      <c r="K163" s="103"/>
      <c r="L163" s="103"/>
      <c r="M163" s="103"/>
      <c r="N163" s="103"/>
      <c r="O163" s="103"/>
      <c r="P163" s="103">
        <f t="shared" si="69"/>
        <v>39500</v>
      </c>
      <c r="Q163" s="188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</row>
    <row r="164" spans="1:527" s="23" customFormat="1" ht="36" customHeight="1" x14ac:dyDescent="0.25">
      <c r="A164" s="60" t="s">
        <v>183</v>
      </c>
      <c r="B164" s="97" t="str">
        <f>'дод 5'!A102</f>
        <v>3031</v>
      </c>
      <c r="C164" s="97" t="str">
        <f>'дод 5'!B102</f>
        <v>1030</v>
      </c>
      <c r="D164" s="61" t="str">
        <f>'дод 5'!C102</f>
        <v>Надання інших пільг окремим категоріям громадян відповідно до законодавства</v>
      </c>
      <c r="E164" s="103">
        <f t="shared" si="68"/>
        <v>604900</v>
      </c>
      <c r="F164" s="103">
        <v>604900</v>
      </c>
      <c r="G164" s="103"/>
      <c r="H164" s="103"/>
      <c r="I164" s="103"/>
      <c r="J164" s="103">
        <f t="shared" ref="J164:J190" si="70">L164+O164</f>
        <v>0</v>
      </c>
      <c r="K164" s="103"/>
      <c r="L164" s="103"/>
      <c r="M164" s="103"/>
      <c r="N164" s="103"/>
      <c r="O164" s="103"/>
      <c r="P164" s="103">
        <f t="shared" si="69"/>
        <v>604900</v>
      </c>
      <c r="Q164" s="188"/>
    </row>
    <row r="165" spans="1:527" s="23" customFormat="1" ht="33" customHeight="1" x14ac:dyDescent="0.25">
      <c r="A165" s="60" t="s">
        <v>184</v>
      </c>
      <c r="B165" s="97" t="str">
        <f>'дод 5'!A103</f>
        <v>3032</v>
      </c>
      <c r="C165" s="97" t="str">
        <f>'дод 5'!B103</f>
        <v>1070</v>
      </c>
      <c r="D165" s="61" t="str">
        <f>'дод 5'!C103</f>
        <v>Надання пільг окремим категоріям громадян з оплати послуг зв'язку</v>
      </c>
      <c r="E165" s="103">
        <f t="shared" si="68"/>
        <v>1129230</v>
      </c>
      <c r="F165" s="103">
        <f>1150000-20770</f>
        <v>1129230</v>
      </c>
      <c r="G165" s="103"/>
      <c r="H165" s="103"/>
      <c r="I165" s="103"/>
      <c r="J165" s="103">
        <f t="shared" si="70"/>
        <v>0</v>
      </c>
      <c r="K165" s="103"/>
      <c r="L165" s="103"/>
      <c r="M165" s="103"/>
      <c r="N165" s="103"/>
      <c r="O165" s="103"/>
      <c r="P165" s="103">
        <f t="shared" si="69"/>
        <v>1129230</v>
      </c>
      <c r="Q165" s="188"/>
    </row>
    <row r="166" spans="1:527" s="23" customFormat="1" ht="48.75" customHeight="1" x14ac:dyDescent="0.25">
      <c r="A166" s="60" t="s">
        <v>354</v>
      </c>
      <c r="B166" s="97" t="str">
        <f>'дод 5'!A104</f>
        <v>3033</v>
      </c>
      <c r="C166" s="97" t="str">
        <f>'дод 5'!B104</f>
        <v>1070</v>
      </c>
      <c r="D166" s="61" t="str">
        <f>'дод 5'!C104</f>
        <v>Компенсаційні виплати на пільговий проїзд автомобільним транспортом окремим категоріям громадян</v>
      </c>
      <c r="E166" s="103">
        <f t="shared" si="68"/>
        <v>24277961.240000002</v>
      </c>
      <c r="F166" s="103">
        <f>3342111.24+19700200+44220+1920+11410+500000+678100</f>
        <v>24277961.240000002</v>
      </c>
      <c r="G166" s="103"/>
      <c r="H166" s="103"/>
      <c r="I166" s="103"/>
      <c r="J166" s="103">
        <f t="shared" si="70"/>
        <v>0</v>
      </c>
      <c r="K166" s="103"/>
      <c r="L166" s="103"/>
      <c r="M166" s="103"/>
      <c r="N166" s="103"/>
      <c r="O166" s="103"/>
      <c r="P166" s="103">
        <f t="shared" si="69"/>
        <v>24277961.240000002</v>
      </c>
      <c r="Q166" s="188"/>
    </row>
    <row r="167" spans="1:527" s="30" customFormat="1" ht="20.25" customHeight="1" x14ac:dyDescent="0.25">
      <c r="A167" s="88"/>
      <c r="B167" s="115"/>
      <c r="C167" s="115"/>
      <c r="D167" s="89" t="s">
        <v>395</v>
      </c>
      <c r="E167" s="105">
        <f t="shared" si="68"/>
        <v>3399661.24</v>
      </c>
      <c r="F167" s="105">
        <f>3342111.24+44220+1920+11410</f>
        <v>3399661.24</v>
      </c>
      <c r="G167" s="105"/>
      <c r="H167" s="105"/>
      <c r="I167" s="105"/>
      <c r="J167" s="105">
        <f t="shared" si="70"/>
        <v>0</v>
      </c>
      <c r="K167" s="105"/>
      <c r="L167" s="105"/>
      <c r="M167" s="105"/>
      <c r="N167" s="105"/>
      <c r="O167" s="105"/>
      <c r="P167" s="105">
        <f t="shared" si="69"/>
        <v>3399661.24</v>
      </c>
      <c r="Q167" s="188"/>
    </row>
    <row r="168" spans="1:527" s="23" customFormat="1" ht="35.25" customHeight="1" x14ac:dyDescent="0.25">
      <c r="A168" s="60" t="s">
        <v>326</v>
      </c>
      <c r="B168" s="97" t="str">
        <f>'дод 5'!A106</f>
        <v>3035</v>
      </c>
      <c r="C168" s="97" t="str">
        <f>'дод 5'!B106</f>
        <v>1070</v>
      </c>
      <c r="D168" s="61" t="str">
        <f>'дод 5'!C106</f>
        <v>Компенсаційні виплати за пільговий проїзд окремих категорій громадян на залізничному транспорті</v>
      </c>
      <c r="E168" s="103">
        <f t="shared" si="68"/>
        <v>1500000</v>
      </c>
      <c r="F168" s="103">
        <v>1500000</v>
      </c>
      <c r="G168" s="103"/>
      <c r="H168" s="103"/>
      <c r="I168" s="103"/>
      <c r="J168" s="103">
        <f t="shared" si="70"/>
        <v>0</v>
      </c>
      <c r="K168" s="103"/>
      <c r="L168" s="103"/>
      <c r="M168" s="103"/>
      <c r="N168" s="103"/>
      <c r="O168" s="103"/>
      <c r="P168" s="103">
        <f t="shared" si="69"/>
        <v>1500000</v>
      </c>
      <c r="Q168" s="188"/>
    </row>
    <row r="169" spans="1:527" s="23" customFormat="1" ht="36" customHeight="1" x14ac:dyDescent="0.25">
      <c r="A169" s="60" t="s">
        <v>185</v>
      </c>
      <c r="B169" s="97" t="str">
        <f>'дод 5'!A107</f>
        <v>3036</v>
      </c>
      <c r="C169" s="97" t="str">
        <f>'дод 5'!B107</f>
        <v>1070</v>
      </c>
      <c r="D169" s="61" t="str">
        <f>'дод 5'!C107</f>
        <v>Компенсаційні виплати на пільговий проїзд електротранспортом окремим категоріям громадян</v>
      </c>
      <c r="E169" s="103">
        <f t="shared" si="68"/>
        <v>41093700</v>
      </c>
      <c r="F169" s="103">
        <f>37333000+3760700</f>
        <v>41093700</v>
      </c>
      <c r="G169" s="103"/>
      <c r="H169" s="103"/>
      <c r="I169" s="103"/>
      <c r="J169" s="103">
        <f t="shared" si="70"/>
        <v>0</v>
      </c>
      <c r="K169" s="103"/>
      <c r="L169" s="103"/>
      <c r="M169" s="103"/>
      <c r="N169" s="103"/>
      <c r="O169" s="103"/>
      <c r="P169" s="103">
        <f t="shared" si="69"/>
        <v>41093700</v>
      </c>
      <c r="Q169" s="188"/>
    </row>
    <row r="170" spans="1:527" s="22" customFormat="1" ht="47.25" x14ac:dyDescent="0.25">
      <c r="A170" s="60" t="s">
        <v>352</v>
      </c>
      <c r="B170" s="97" t="str">
        <f>'дод 5'!A108</f>
        <v>3050</v>
      </c>
      <c r="C170" s="97" t="str">
        <f>'дод 5'!B108</f>
        <v>1070</v>
      </c>
      <c r="D170" s="61" t="str">
        <f>'дод 5'!C108</f>
        <v>Пільгове медичне обслуговування осіб, які постраждали внаслідок Чорнобильської катастрофи, у т.ч. за рахунок:</v>
      </c>
      <c r="E170" s="103">
        <f t="shared" si="68"/>
        <v>667500</v>
      </c>
      <c r="F170" s="103">
        <v>667500</v>
      </c>
      <c r="G170" s="103"/>
      <c r="H170" s="103"/>
      <c r="I170" s="103"/>
      <c r="J170" s="103">
        <f t="shared" si="70"/>
        <v>0</v>
      </c>
      <c r="K170" s="103"/>
      <c r="L170" s="103"/>
      <c r="M170" s="103"/>
      <c r="N170" s="103"/>
      <c r="O170" s="103"/>
      <c r="P170" s="103">
        <f t="shared" si="69"/>
        <v>667500</v>
      </c>
      <c r="Q170" s="188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</row>
    <row r="171" spans="1:527" s="24" customFormat="1" ht="15.75" x14ac:dyDescent="0.25">
      <c r="A171" s="88"/>
      <c r="B171" s="115"/>
      <c r="C171" s="115"/>
      <c r="D171" s="89" t="s">
        <v>395</v>
      </c>
      <c r="E171" s="105">
        <f t="shared" si="68"/>
        <v>667500</v>
      </c>
      <c r="F171" s="105">
        <v>667500</v>
      </c>
      <c r="G171" s="105"/>
      <c r="H171" s="105"/>
      <c r="I171" s="105"/>
      <c r="J171" s="105">
        <f t="shared" si="70"/>
        <v>0</v>
      </c>
      <c r="K171" s="105"/>
      <c r="L171" s="105"/>
      <c r="M171" s="105"/>
      <c r="N171" s="105"/>
      <c r="O171" s="105"/>
      <c r="P171" s="105">
        <f t="shared" si="69"/>
        <v>667500</v>
      </c>
      <c r="Q171" s="188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/>
      <c r="IE171" s="30"/>
      <c r="IF171" s="30"/>
      <c r="IG171" s="30"/>
      <c r="IH171" s="30"/>
      <c r="II171" s="30"/>
      <c r="IJ171" s="30"/>
      <c r="IK171" s="30"/>
      <c r="IL171" s="30"/>
      <c r="IM171" s="30"/>
      <c r="IN171" s="30"/>
      <c r="IO171" s="30"/>
      <c r="IP171" s="30"/>
      <c r="IQ171" s="30"/>
      <c r="IR171" s="30"/>
      <c r="IS171" s="30"/>
      <c r="IT171" s="30"/>
      <c r="IU171" s="30"/>
      <c r="IV171" s="30"/>
      <c r="IW171" s="30"/>
      <c r="IX171" s="30"/>
      <c r="IY171" s="30"/>
      <c r="IZ171" s="30"/>
      <c r="JA171" s="30"/>
      <c r="JB171" s="30"/>
      <c r="JC171" s="30"/>
      <c r="JD171" s="30"/>
      <c r="JE171" s="30"/>
      <c r="JF171" s="30"/>
      <c r="JG171" s="30"/>
      <c r="JH171" s="30"/>
      <c r="JI171" s="30"/>
      <c r="JJ171" s="30"/>
      <c r="JK171" s="30"/>
      <c r="JL171" s="30"/>
      <c r="JM171" s="30"/>
      <c r="JN171" s="30"/>
      <c r="JO171" s="30"/>
      <c r="JP171" s="30"/>
      <c r="JQ171" s="30"/>
      <c r="JR171" s="30"/>
      <c r="JS171" s="30"/>
      <c r="JT171" s="30"/>
      <c r="JU171" s="30"/>
      <c r="JV171" s="30"/>
      <c r="JW171" s="30"/>
      <c r="JX171" s="30"/>
      <c r="JY171" s="30"/>
      <c r="JZ171" s="30"/>
      <c r="KA171" s="30"/>
      <c r="KB171" s="30"/>
      <c r="KC171" s="30"/>
      <c r="KD171" s="30"/>
      <c r="KE171" s="30"/>
      <c r="KF171" s="30"/>
      <c r="KG171" s="30"/>
      <c r="KH171" s="30"/>
      <c r="KI171" s="30"/>
      <c r="KJ171" s="30"/>
      <c r="KK171" s="30"/>
      <c r="KL171" s="30"/>
      <c r="KM171" s="30"/>
      <c r="KN171" s="30"/>
      <c r="KO171" s="30"/>
      <c r="KP171" s="30"/>
      <c r="KQ171" s="30"/>
      <c r="KR171" s="30"/>
      <c r="KS171" s="30"/>
      <c r="KT171" s="30"/>
      <c r="KU171" s="30"/>
      <c r="KV171" s="30"/>
      <c r="KW171" s="30"/>
      <c r="KX171" s="30"/>
      <c r="KY171" s="30"/>
      <c r="KZ171" s="30"/>
      <c r="LA171" s="30"/>
      <c r="LB171" s="30"/>
      <c r="LC171" s="30"/>
      <c r="LD171" s="30"/>
      <c r="LE171" s="30"/>
      <c r="LF171" s="30"/>
      <c r="LG171" s="30"/>
      <c r="LH171" s="30"/>
      <c r="LI171" s="30"/>
      <c r="LJ171" s="30"/>
      <c r="LK171" s="30"/>
      <c r="LL171" s="30"/>
      <c r="LM171" s="30"/>
      <c r="LN171" s="30"/>
      <c r="LO171" s="30"/>
      <c r="LP171" s="30"/>
      <c r="LQ171" s="30"/>
      <c r="LR171" s="30"/>
      <c r="LS171" s="30"/>
      <c r="LT171" s="30"/>
      <c r="LU171" s="30"/>
      <c r="LV171" s="30"/>
      <c r="LW171" s="30"/>
      <c r="LX171" s="30"/>
      <c r="LY171" s="30"/>
      <c r="LZ171" s="30"/>
      <c r="MA171" s="30"/>
      <c r="MB171" s="30"/>
      <c r="MC171" s="30"/>
      <c r="MD171" s="30"/>
      <c r="ME171" s="30"/>
      <c r="MF171" s="30"/>
      <c r="MG171" s="30"/>
      <c r="MH171" s="30"/>
      <c r="MI171" s="30"/>
      <c r="MJ171" s="30"/>
      <c r="MK171" s="30"/>
      <c r="ML171" s="30"/>
      <c r="MM171" s="30"/>
      <c r="MN171" s="30"/>
      <c r="MO171" s="30"/>
      <c r="MP171" s="30"/>
      <c r="MQ171" s="30"/>
      <c r="MR171" s="30"/>
      <c r="MS171" s="30"/>
      <c r="MT171" s="30"/>
      <c r="MU171" s="30"/>
      <c r="MV171" s="30"/>
      <c r="MW171" s="30"/>
      <c r="MX171" s="30"/>
      <c r="MY171" s="30"/>
      <c r="MZ171" s="30"/>
      <c r="NA171" s="30"/>
      <c r="NB171" s="30"/>
      <c r="NC171" s="30"/>
      <c r="ND171" s="30"/>
      <c r="NE171" s="30"/>
      <c r="NF171" s="30"/>
      <c r="NG171" s="30"/>
      <c r="NH171" s="30"/>
      <c r="NI171" s="30"/>
      <c r="NJ171" s="30"/>
      <c r="NK171" s="30"/>
      <c r="NL171" s="30"/>
      <c r="NM171" s="30"/>
      <c r="NN171" s="30"/>
      <c r="NO171" s="30"/>
      <c r="NP171" s="30"/>
      <c r="NQ171" s="30"/>
      <c r="NR171" s="30"/>
      <c r="NS171" s="30"/>
      <c r="NT171" s="30"/>
      <c r="NU171" s="30"/>
      <c r="NV171" s="30"/>
      <c r="NW171" s="30"/>
      <c r="NX171" s="30"/>
      <c r="NY171" s="30"/>
      <c r="NZ171" s="30"/>
      <c r="OA171" s="30"/>
      <c r="OB171" s="30"/>
      <c r="OC171" s="30"/>
      <c r="OD171" s="30"/>
      <c r="OE171" s="30"/>
      <c r="OF171" s="30"/>
      <c r="OG171" s="30"/>
      <c r="OH171" s="30"/>
      <c r="OI171" s="30"/>
      <c r="OJ171" s="30"/>
      <c r="OK171" s="30"/>
      <c r="OL171" s="30"/>
      <c r="OM171" s="30"/>
      <c r="ON171" s="30"/>
      <c r="OO171" s="30"/>
      <c r="OP171" s="30"/>
      <c r="OQ171" s="30"/>
      <c r="OR171" s="30"/>
      <c r="OS171" s="30"/>
      <c r="OT171" s="30"/>
      <c r="OU171" s="30"/>
      <c r="OV171" s="30"/>
      <c r="OW171" s="30"/>
      <c r="OX171" s="30"/>
      <c r="OY171" s="30"/>
      <c r="OZ171" s="30"/>
      <c r="PA171" s="30"/>
      <c r="PB171" s="30"/>
      <c r="PC171" s="30"/>
      <c r="PD171" s="30"/>
      <c r="PE171" s="30"/>
      <c r="PF171" s="30"/>
      <c r="PG171" s="30"/>
      <c r="PH171" s="30"/>
      <c r="PI171" s="30"/>
      <c r="PJ171" s="30"/>
      <c r="PK171" s="30"/>
      <c r="PL171" s="30"/>
      <c r="PM171" s="30"/>
      <c r="PN171" s="30"/>
      <c r="PO171" s="30"/>
      <c r="PP171" s="30"/>
      <c r="PQ171" s="30"/>
      <c r="PR171" s="30"/>
      <c r="PS171" s="30"/>
      <c r="PT171" s="30"/>
      <c r="PU171" s="30"/>
      <c r="PV171" s="30"/>
      <c r="PW171" s="30"/>
      <c r="PX171" s="30"/>
      <c r="PY171" s="30"/>
      <c r="PZ171" s="30"/>
      <c r="QA171" s="30"/>
      <c r="QB171" s="30"/>
      <c r="QC171" s="30"/>
      <c r="QD171" s="30"/>
      <c r="QE171" s="30"/>
      <c r="QF171" s="30"/>
      <c r="QG171" s="30"/>
      <c r="QH171" s="30"/>
      <c r="QI171" s="30"/>
      <c r="QJ171" s="30"/>
      <c r="QK171" s="30"/>
      <c r="QL171" s="30"/>
      <c r="QM171" s="30"/>
      <c r="QN171" s="30"/>
      <c r="QO171" s="30"/>
      <c r="QP171" s="30"/>
      <c r="QQ171" s="30"/>
      <c r="QR171" s="30"/>
      <c r="QS171" s="30"/>
      <c r="QT171" s="30"/>
      <c r="QU171" s="30"/>
      <c r="QV171" s="30"/>
      <c r="QW171" s="30"/>
      <c r="QX171" s="30"/>
      <c r="QY171" s="30"/>
      <c r="QZ171" s="30"/>
      <c r="RA171" s="30"/>
      <c r="RB171" s="30"/>
      <c r="RC171" s="30"/>
      <c r="RD171" s="30"/>
      <c r="RE171" s="30"/>
      <c r="RF171" s="30"/>
      <c r="RG171" s="30"/>
      <c r="RH171" s="30"/>
      <c r="RI171" s="30"/>
      <c r="RJ171" s="30"/>
      <c r="RK171" s="30"/>
      <c r="RL171" s="30"/>
      <c r="RM171" s="30"/>
      <c r="RN171" s="30"/>
      <c r="RO171" s="30"/>
      <c r="RP171" s="30"/>
      <c r="RQ171" s="30"/>
      <c r="RR171" s="30"/>
      <c r="RS171" s="30"/>
      <c r="RT171" s="30"/>
      <c r="RU171" s="30"/>
      <c r="RV171" s="30"/>
      <c r="RW171" s="30"/>
      <c r="RX171" s="30"/>
      <c r="RY171" s="30"/>
      <c r="RZ171" s="30"/>
      <c r="SA171" s="30"/>
      <c r="SB171" s="30"/>
      <c r="SC171" s="30"/>
      <c r="SD171" s="30"/>
      <c r="SE171" s="30"/>
      <c r="SF171" s="30"/>
      <c r="SG171" s="30"/>
      <c r="SH171" s="30"/>
      <c r="SI171" s="30"/>
      <c r="SJ171" s="30"/>
      <c r="SK171" s="30"/>
      <c r="SL171" s="30"/>
      <c r="SM171" s="30"/>
      <c r="SN171" s="30"/>
      <c r="SO171" s="30"/>
      <c r="SP171" s="30"/>
      <c r="SQ171" s="30"/>
      <c r="SR171" s="30"/>
      <c r="SS171" s="30"/>
      <c r="ST171" s="30"/>
      <c r="SU171" s="30"/>
      <c r="SV171" s="30"/>
      <c r="SW171" s="30"/>
      <c r="SX171" s="30"/>
      <c r="SY171" s="30"/>
      <c r="SZ171" s="30"/>
      <c r="TA171" s="30"/>
      <c r="TB171" s="30"/>
      <c r="TC171" s="30"/>
      <c r="TD171" s="30"/>
      <c r="TE171" s="30"/>
      <c r="TF171" s="30"/>
      <c r="TG171" s="30"/>
    </row>
    <row r="172" spans="1:527" s="22" customFormat="1" ht="47.25" x14ac:dyDescent="0.25">
      <c r="A172" s="60" t="s">
        <v>353</v>
      </c>
      <c r="B172" s="97" t="str">
        <f>'дод 5'!A110</f>
        <v>3090</v>
      </c>
      <c r="C172" s="97" t="str">
        <f>'дод 5'!B110</f>
        <v>1030</v>
      </c>
      <c r="D172" s="61" t="str">
        <f>'дод 5'!C110</f>
        <v>Видатки на поховання учасників бойових дій та осіб з інвалідністю внаслідок війни, у т.ч. за рахунок:</v>
      </c>
      <c r="E172" s="103">
        <f t="shared" si="68"/>
        <v>245000</v>
      </c>
      <c r="F172" s="103">
        <v>245000</v>
      </c>
      <c r="G172" s="103"/>
      <c r="H172" s="103"/>
      <c r="I172" s="103"/>
      <c r="J172" s="103">
        <f t="shared" si="70"/>
        <v>0</v>
      </c>
      <c r="K172" s="103"/>
      <c r="L172" s="103"/>
      <c r="M172" s="103"/>
      <c r="N172" s="103"/>
      <c r="O172" s="103"/>
      <c r="P172" s="103">
        <f t="shared" si="69"/>
        <v>245000</v>
      </c>
      <c r="Q172" s="188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</row>
    <row r="173" spans="1:527" s="24" customFormat="1" ht="15.75" x14ac:dyDescent="0.25">
      <c r="A173" s="88"/>
      <c r="B173" s="115"/>
      <c r="C173" s="115"/>
      <c r="D173" s="89" t="s">
        <v>395</v>
      </c>
      <c r="E173" s="105">
        <f t="shared" si="68"/>
        <v>245000</v>
      </c>
      <c r="F173" s="105">
        <v>245000</v>
      </c>
      <c r="G173" s="105"/>
      <c r="H173" s="105"/>
      <c r="I173" s="105"/>
      <c r="J173" s="105">
        <f t="shared" si="70"/>
        <v>0</v>
      </c>
      <c r="K173" s="105"/>
      <c r="L173" s="105"/>
      <c r="M173" s="105"/>
      <c r="N173" s="105"/>
      <c r="O173" s="105"/>
      <c r="P173" s="105">
        <f t="shared" si="69"/>
        <v>245000</v>
      </c>
      <c r="Q173" s="188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  <c r="ID173" s="30"/>
      <c r="IE173" s="30"/>
      <c r="IF173" s="30"/>
      <c r="IG173" s="30"/>
      <c r="IH173" s="30"/>
      <c r="II173" s="30"/>
      <c r="IJ173" s="30"/>
      <c r="IK173" s="30"/>
      <c r="IL173" s="30"/>
      <c r="IM173" s="30"/>
      <c r="IN173" s="30"/>
      <c r="IO173" s="30"/>
      <c r="IP173" s="30"/>
      <c r="IQ173" s="30"/>
      <c r="IR173" s="30"/>
      <c r="IS173" s="30"/>
      <c r="IT173" s="30"/>
      <c r="IU173" s="30"/>
      <c r="IV173" s="30"/>
      <c r="IW173" s="30"/>
      <c r="IX173" s="30"/>
      <c r="IY173" s="30"/>
      <c r="IZ173" s="30"/>
      <c r="JA173" s="30"/>
      <c r="JB173" s="30"/>
      <c r="JC173" s="30"/>
      <c r="JD173" s="30"/>
      <c r="JE173" s="30"/>
      <c r="JF173" s="30"/>
      <c r="JG173" s="30"/>
      <c r="JH173" s="30"/>
      <c r="JI173" s="30"/>
      <c r="JJ173" s="30"/>
      <c r="JK173" s="30"/>
      <c r="JL173" s="30"/>
      <c r="JM173" s="30"/>
      <c r="JN173" s="30"/>
      <c r="JO173" s="30"/>
      <c r="JP173" s="30"/>
      <c r="JQ173" s="30"/>
      <c r="JR173" s="30"/>
      <c r="JS173" s="30"/>
      <c r="JT173" s="30"/>
      <c r="JU173" s="30"/>
      <c r="JV173" s="30"/>
      <c r="JW173" s="30"/>
      <c r="JX173" s="30"/>
      <c r="JY173" s="30"/>
      <c r="JZ173" s="30"/>
      <c r="KA173" s="30"/>
      <c r="KB173" s="30"/>
      <c r="KC173" s="30"/>
      <c r="KD173" s="30"/>
      <c r="KE173" s="30"/>
      <c r="KF173" s="30"/>
      <c r="KG173" s="30"/>
      <c r="KH173" s="30"/>
      <c r="KI173" s="30"/>
      <c r="KJ173" s="30"/>
      <c r="KK173" s="30"/>
      <c r="KL173" s="30"/>
      <c r="KM173" s="30"/>
      <c r="KN173" s="30"/>
      <c r="KO173" s="30"/>
      <c r="KP173" s="30"/>
      <c r="KQ173" s="30"/>
      <c r="KR173" s="30"/>
      <c r="KS173" s="30"/>
      <c r="KT173" s="30"/>
      <c r="KU173" s="30"/>
      <c r="KV173" s="30"/>
      <c r="KW173" s="30"/>
      <c r="KX173" s="30"/>
      <c r="KY173" s="30"/>
      <c r="KZ173" s="30"/>
      <c r="LA173" s="30"/>
      <c r="LB173" s="30"/>
      <c r="LC173" s="30"/>
      <c r="LD173" s="30"/>
      <c r="LE173" s="30"/>
      <c r="LF173" s="30"/>
      <c r="LG173" s="30"/>
      <c r="LH173" s="30"/>
      <c r="LI173" s="30"/>
      <c r="LJ173" s="30"/>
      <c r="LK173" s="30"/>
      <c r="LL173" s="30"/>
      <c r="LM173" s="30"/>
      <c r="LN173" s="30"/>
      <c r="LO173" s="30"/>
      <c r="LP173" s="30"/>
      <c r="LQ173" s="30"/>
      <c r="LR173" s="30"/>
      <c r="LS173" s="30"/>
      <c r="LT173" s="30"/>
      <c r="LU173" s="30"/>
      <c r="LV173" s="30"/>
      <c r="LW173" s="30"/>
      <c r="LX173" s="30"/>
      <c r="LY173" s="30"/>
      <c r="LZ173" s="30"/>
      <c r="MA173" s="30"/>
      <c r="MB173" s="30"/>
      <c r="MC173" s="30"/>
      <c r="MD173" s="30"/>
      <c r="ME173" s="30"/>
      <c r="MF173" s="30"/>
      <c r="MG173" s="30"/>
      <c r="MH173" s="30"/>
      <c r="MI173" s="30"/>
      <c r="MJ173" s="30"/>
      <c r="MK173" s="30"/>
      <c r="ML173" s="30"/>
      <c r="MM173" s="30"/>
      <c r="MN173" s="30"/>
      <c r="MO173" s="30"/>
      <c r="MP173" s="30"/>
      <c r="MQ173" s="30"/>
      <c r="MR173" s="30"/>
      <c r="MS173" s="30"/>
      <c r="MT173" s="30"/>
      <c r="MU173" s="30"/>
      <c r="MV173" s="30"/>
      <c r="MW173" s="30"/>
      <c r="MX173" s="30"/>
      <c r="MY173" s="30"/>
      <c r="MZ173" s="30"/>
      <c r="NA173" s="30"/>
      <c r="NB173" s="30"/>
      <c r="NC173" s="30"/>
      <c r="ND173" s="30"/>
      <c r="NE173" s="30"/>
      <c r="NF173" s="30"/>
      <c r="NG173" s="30"/>
      <c r="NH173" s="30"/>
      <c r="NI173" s="30"/>
      <c r="NJ173" s="30"/>
      <c r="NK173" s="30"/>
      <c r="NL173" s="30"/>
      <c r="NM173" s="30"/>
      <c r="NN173" s="30"/>
      <c r="NO173" s="30"/>
      <c r="NP173" s="30"/>
      <c r="NQ173" s="30"/>
      <c r="NR173" s="30"/>
      <c r="NS173" s="30"/>
      <c r="NT173" s="30"/>
      <c r="NU173" s="30"/>
      <c r="NV173" s="30"/>
      <c r="NW173" s="30"/>
      <c r="NX173" s="30"/>
      <c r="NY173" s="30"/>
      <c r="NZ173" s="30"/>
      <c r="OA173" s="30"/>
      <c r="OB173" s="30"/>
      <c r="OC173" s="30"/>
      <c r="OD173" s="30"/>
      <c r="OE173" s="30"/>
      <c r="OF173" s="30"/>
      <c r="OG173" s="30"/>
      <c r="OH173" s="30"/>
      <c r="OI173" s="30"/>
      <c r="OJ173" s="30"/>
      <c r="OK173" s="30"/>
      <c r="OL173" s="30"/>
      <c r="OM173" s="30"/>
      <c r="ON173" s="30"/>
      <c r="OO173" s="30"/>
      <c r="OP173" s="30"/>
      <c r="OQ173" s="30"/>
      <c r="OR173" s="30"/>
      <c r="OS173" s="30"/>
      <c r="OT173" s="30"/>
      <c r="OU173" s="30"/>
      <c r="OV173" s="30"/>
      <c r="OW173" s="30"/>
      <c r="OX173" s="30"/>
      <c r="OY173" s="30"/>
      <c r="OZ173" s="30"/>
      <c r="PA173" s="30"/>
      <c r="PB173" s="30"/>
      <c r="PC173" s="30"/>
      <c r="PD173" s="30"/>
      <c r="PE173" s="30"/>
      <c r="PF173" s="30"/>
      <c r="PG173" s="30"/>
      <c r="PH173" s="30"/>
      <c r="PI173" s="30"/>
      <c r="PJ173" s="30"/>
      <c r="PK173" s="30"/>
      <c r="PL173" s="30"/>
      <c r="PM173" s="30"/>
      <c r="PN173" s="30"/>
      <c r="PO173" s="30"/>
      <c r="PP173" s="30"/>
      <c r="PQ173" s="30"/>
      <c r="PR173" s="30"/>
      <c r="PS173" s="30"/>
      <c r="PT173" s="30"/>
      <c r="PU173" s="30"/>
      <c r="PV173" s="30"/>
      <c r="PW173" s="30"/>
      <c r="PX173" s="30"/>
      <c r="PY173" s="30"/>
      <c r="PZ173" s="30"/>
      <c r="QA173" s="30"/>
      <c r="QB173" s="30"/>
      <c r="QC173" s="30"/>
      <c r="QD173" s="30"/>
      <c r="QE173" s="30"/>
      <c r="QF173" s="30"/>
      <c r="QG173" s="30"/>
      <c r="QH173" s="30"/>
      <c r="QI173" s="30"/>
      <c r="QJ173" s="30"/>
      <c r="QK173" s="30"/>
      <c r="QL173" s="30"/>
      <c r="QM173" s="30"/>
      <c r="QN173" s="30"/>
      <c r="QO173" s="30"/>
      <c r="QP173" s="30"/>
      <c r="QQ173" s="30"/>
      <c r="QR173" s="30"/>
      <c r="QS173" s="30"/>
      <c r="QT173" s="30"/>
      <c r="QU173" s="30"/>
      <c r="QV173" s="30"/>
      <c r="QW173" s="30"/>
      <c r="QX173" s="30"/>
      <c r="QY173" s="30"/>
      <c r="QZ173" s="30"/>
      <c r="RA173" s="30"/>
      <c r="RB173" s="30"/>
      <c r="RC173" s="30"/>
      <c r="RD173" s="30"/>
      <c r="RE173" s="30"/>
      <c r="RF173" s="30"/>
      <c r="RG173" s="30"/>
      <c r="RH173" s="30"/>
      <c r="RI173" s="30"/>
      <c r="RJ173" s="30"/>
      <c r="RK173" s="30"/>
      <c r="RL173" s="30"/>
      <c r="RM173" s="30"/>
      <c r="RN173" s="30"/>
      <c r="RO173" s="30"/>
      <c r="RP173" s="30"/>
      <c r="RQ173" s="30"/>
      <c r="RR173" s="30"/>
      <c r="RS173" s="30"/>
      <c r="RT173" s="30"/>
      <c r="RU173" s="30"/>
      <c r="RV173" s="30"/>
      <c r="RW173" s="30"/>
      <c r="RX173" s="30"/>
      <c r="RY173" s="30"/>
      <c r="RZ173" s="30"/>
      <c r="SA173" s="30"/>
      <c r="SB173" s="30"/>
      <c r="SC173" s="30"/>
      <c r="SD173" s="30"/>
      <c r="SE173" s="30"/>
      <c r="SF173" s="30"/>
      <c r="SG173" s="30"/>
      <c r="SH173" s="30"/>
      <c r="SI173" s="30"/>
      <c r="SJ173" s="30"/>
      <c r="SK173" s="30"/>
      <c r="SL173" s="30"/>
      <c r="SM173" s="30"/>
      <c r="SN173" s="30"/>
      <c r="SO173" s="30"/>
      <c r="SP173" s="30"/>
      <c r="SQ173" s="30"/>
      <c r="SR173" s="30"/>
      <c r="SS173" s="30"/>
      <c r="ST173" s="30"/>
      <c r="SU173" s="30"/>
      <c r="SV173" s="30"/>
      <c r="SW173" s="30"/>
      <c r="SX173" s="30"/>
      <c r="SY173" s="30"/>
      <c r="SZ173" s="30"/>
      <c r="TA173" s="30"/>
      <c r="TB173" s="30"/>
      <c r="TC173" s="30"/>
      <c r="TD173" s="30"/>
      <c r="TE173" s="30"/>
      <c r="TF173" s="30"/>
      <c r="TG173" s="30"/>
    </row>
    <row r="174" spans="1:527" s="22" customFormat="1" ht="64.5" customHeight="1" x14ac:dyDescent="0.25">
      <c r="A174" s="60" t="s">
        <v>186</v>
      </c>
      <c r="B174" s="97" t="str">
        <f>'дод 5'!A112</f>
        <v>3104</v>
      </c>
      <c r="C174" s="97" t="str">
        <f>'дод 5'!B112</f>
        <v>1020</v>
      </c>
      <c r="D174" s="61" t="str">
        <f>'дод 5'!C112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74" s="103">
        <f t="shared" si="68"/>
        <v>17521965</v>
      </c>
      <c r="F174" s="103">
        <f>17394450+20000+20000-20000+65000+42515</f>
        <v>17521965</v>
      </c>
      <c r="G174" s="103">
        <v>13551350</v>
      </c>
      <c r="H174" s="103">
        <f>208050+26750+42515</f>
        <v>277315</v>
      </c>
      <c r="I174" s="103"/>
      <c r="J174" s="103">
        <f t="shared" si="70"/>
        <v>96200</v>
      </c>
      <c r="K174" s="103"/>
      <c r="L174" s="103">
        <v>96200</v>
      </c>
      <c r="M174" s="103">
        <v>75000</v>
      </c>
      <c r="N174" s="103"/>
      <c r="O174" s="103"/>
      <c r="P174" s="103">
        <f t="shared" si="69"/>
        <v>17618165</v>
      </c>
      <c r="Q174" s="188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  <c r="TF174" s="23"/>
      <c r="TG174" s="23"/>
    </row>
    <row r="175" spans="1:527" s="22" customFormat="1" ht="81.75" customHeight="1" x14ac:dyDescent="0.25">
      <c r="A175" s="60" t="s">
        <v>187</v>
      </c>
      <c r="B175" s="97" t="str">
        <f>'дод 5'!A118</f>
        <v>3160</v>
      </c>
      <c r="C175" s="97">
        <f>'дод 5'!B118</f>
        <v>1010</v>
      </c>
      <c r="D175" s="61" t="str">
        <f>'дод 5'!C118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75" s="103">
        <f t="shared" si="68"/>
        <v>3000000</v>
      </c>
      <c r="F175" s="103">
        <f>2500000+500000</f>
        <v>3000000</v>
      </c>
      <c r="G175" s="103"/>
      <c r="H175" s="103"/>
      <c r="I175" s="103"/>
      <c r="J175" s="103">
        <f t="shared" si="70"/>
        <v>0</v>
      </c>
      <c r="K175" s="103"/>
      <c r="L175" s="103"/>
      <c r="M175" s="103"/>
      <c r="N175" s="103"/>
      <c r="O175" s="103"/>
      <c r="P175" s="103">
        <f t="shared" si="69"/>
        <v>3000000</v>
      </c>
      <c r="Q175" s="188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</row>
    <row r="176" spans="1:527" s="22" customFormat="1" ht="63" x14ac:dyDescent="0.25">
      <c r="A176" s="60" t="s">
        <v>355</v>
      </c>
      <c r="B176" s="97" t="str">
        <f>'дод 5'!A119</f>
        <v>3171</v>
      </c>
      <c r="C176" s="97">
        <f>'дод 5'!B119</f>
        <v>1010</v>
      </c>
      <c r="D176" s="61" t="str">
        <f>'дод 5'!C119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76" s="103">
        <f t="shared" si="68"/>
        <v>198209</v>
      </c>
      <c r="F176" s="103">
        <v>198209</v>
      </c>
      <c r="G176" s="103"/>
      <c r="H176" s="103"/>
      <c r="I176" s="103"/>
      <c r="J176" s="103">
        <f t="shared" si="70"/>
        <v>0</v>
      </c>
      <c r="K176" s="103"/>
      <c r="L176" s="103"/>
      <c r="M176" s="103"/>
      <c r="N176" s="103"/>
      <c r="O176" s="103"/>
      <c r="P176" s="103">
        <f t="shared" si="69"/>
        <v>198209</v>
      </c>
      <c r="Q176" s="188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23"/>
      <c r="IV176" s="23"/>
      <c r="IW176" s="23"/>
      <c r="IX176" s="23"/>
      <c r="IY176" s="23"/>
      <c r="IZ176" s="23"/>
      <c r="JA176" s="23"/>
      <c r="JB176" s="23"/>
      <c r="JC176" s="23"/>
      <c r="JD176" s="23"/>
      <c r="JE176" s="23"/>
      <c r="JF176" s="23"/>
      <c r="JG176" s="23"/>
      <c r="JH176" s="23"/>
      <c r="JI176" s="23"/>
      <c r="JJ176" s="23"/>
      <c r="JK176" s="23"/>
      <c r="JL176" s="23"/>
      <c r="JM176" s="23"/>
      <c r="JN176" s="23"/>
      <c r="JO176" s="23"/>
      <c r="JP176" s="23"/>
      <c r="JQ176" s="23"/>
      <c r="JR176" s="23"/>
      <c r="JS176" s="23"/>
      <c r="JT176" s="23"/>
      <c r="JU176" s="23"/>
      <c r="JV176" s="23"/>
      <c r="JW176" s="23"/>
      <c r="JX176" s="23"/>
      <c r="JY176" s="23"/>
      <c r="JZ176" s="23"/>
      <c r="KA176" s="23"/>
      <c r="KB176" s="23"/>
      <c r="KC176" s="23"/>
      <c r="KD176" s="23"/>
      <c r="KE176" s="23"/>
      <c r="KF176" s="23"/>
      <c r="KG176" s="23"/>
      <c r="KH176" s="23"/>
      <c r="KI176" s="23"/>
      <c r="KJ176" s="23"/>
      <c r="KK176" s="23"/>
      <c r="KL176" s="23"/>
      <c r="KM176" s="23"/>
      <c r="KN176" s="23"/>
      <c r="KO176" s="23"/>
      <c r="KP176" s="23"/>
      <c r="KQ176" s="23"/>
      <c r="KR176" s="23"/>
      <c r="KS176" s="23"/>
      <c r="KT176" s="23"/>
      <c r="KU176" s="23"/>
      <c r="KV176" s="23"/>
      <c r="KW176" s="23"/>
      <c r="KX176" s="23"/>
      <c r="KY176" s="23"/>
      <c r="KZ176" s="23"/>
      <c r="LA176" s="23"/>
      <c r="LB176" s="23"/>
      <c r="LC176" s="23"/>
      <c r="LD176" s="23"/>
      <c r="LE176" s="23"/>
      <c r="LF176" s="23"/>
      <c r="LG176" s="23"/>
      <c r="LH176" s="23"/>
      <c r="LI176" s="23"/>
      <c r="LJ176" s="23"/>
      <c r="LK176" s="23"/>
      <c r="LL176" s="23"/>
      <c r="LM176" s="23"/>
      <c r="LN176" s="23"/>
      <c r="LO176" s="23"/>
      <c r="LP176" s="23"/>
      <c r="LQ176" s="23"/>
      <c r="LR176" s="23"/>
      <c r="LS176" s="23"/>
      <c r="LT176" s="23"/>
      <c r="LU176" s="23"/>
      <c r="LV176" s="23"/>
      <c r="LW176" s="23"/>
      <c r="LX176" s="23"/>
      <c r="LY176" s="23"/>
      <c r="LZ176" s="23"/>
      <c r="MA176" s="23"/>
      <c r="MB176" s="23"/>
      <c r="MC176" s="23"/>
      <c r="MD176" s="23"/>
      <c r="ME176" s="23"/>
      <c r="MF176" s="23"/>
      <c r="MG176" s="23"/>
      <c r="MH176" s="23"/>
      <c r="MI176" s="23"/>
      <c r="MJ176" s="23"/>
      <c r="MK176" s="23"/>
      <c r="ML176" s="23"/>
      <c r="MM176" s="23"/>
      <c r="MN176" s="23"/>
      <c r="MO176" s="23"/>
      <c r="MP176" s="23"/>
      <c r="MQ176" s="23"/>
      <c r="MR176" s="23"/>
      <c r="MS176" s="23"/>
      <c r="MT176" s="23"/>
      <c r="MU176" s="23"/>
      <c r="MV176" s="23"/>
      <c r="MW176" s="23"/>
      <c r="MX176" s="23"/>
      <c r="MY176" s="23"/>
      <c r="MZ176" s="23"/>
      <c r="NA176" s="23"/>
      <c r="NB176" s="23"/>
      <c r="NC176" s="23"/>
      <c r="ND176" s="23"/>
      <c r="NE176" s="23"/>
      <c r="NF176" s="23"/>
      <c r="NG176" s="23"/>
      <c r="NH176" s="23"/>
      <c r="NI176" s="23"/>
      <c r="NJ176" s="23"/>
      <c r="NK176" s="23"/>
      <c r="NL176" s="23"/>
      <c r="NM176" s="23"/>
      <c r="NN176" s="23"/>
      <c r="NO176" s="23"/>
      <c r="NP176" s="23"/>
      <c r="NQ176" s="23"/>
      <c r="NR176" s="23"/>
      <c r="NS176" s="23"/>
      <c r="NT176" s="23"/>
      <c r="NU176" s="23"/>
      <c r="NV176" s="23"/>
      <c r="NW176" s="23"/>
      <c r="NX176" s="23"/>
      <c r="NY176" s="23"/>
      <c r="NZ176" s="23"/>
      <c r="OA176" s="23"/>
      <c r="OB176" s="23"/>
      <c r="OC176" s="23"/>
      <c r="OD176" s="23"/>
      <c r="OE176" s="23"/>
      <c r="OF176" s="23"/>
      <c r="OG176" s="23"/>
      <c r="OH176" s="23"/>
      <c r="OI176" s="23"/>
      <c r="OJ176" s="23"/>
      <c r="OK176" s="23"/>
      <c r="OL176" s="23"/>
      <c r="OM176" s="23"/>
      <c r="ON176" s="23"/>
      <c r="OO176" s="23"/>
      <c r="OP176" s="23"/>
      <c r="OQ176" s="23"/>
      <c r="OR176" s="23"/>
      <c r="OS176" s="23"/>
      <c r="OT176" s="23"/>
      <c r="OU176" s="23"/>
      <c r="OV176" s="23"/>
      <c r="OW176" s="23"/>
      <c r="OX176" s="23"/>
      <c r="OY176" s="23"/>
      <c r="OZ176" s="23"/>
      <c r="PA176" s="23"/>
      <c r="PB176" s="23"/>
      <c r="PC176" s="23"/>
      <c r="PD176" s="23"/>
      <c r="PE176" s="23"/>
      <c r="PF176" s="23"/>
      <c r="PG176" s="23"/>
      <c r="PH176" s="23"/>
      <c r="PI176" s="23"/>
      <c r="PJ176" s="23"/>
      <c r="PK176" s="23"/>
      <c r="PL176" s="23"/>
      <c r="PM176" s="23"/>
      <c r="PN176" s="23"/>
      <c r="PO176" s="23"/>
      <c r="PP176" s="23"/>
      <c r="PQ176" s="23"/>
      <c r="PR176" s="23"/>
      <c r="PS176" s="23"/>
      <c r="PT176" s="23"/>
      <c r="PU176" s="23"/>
      <c r="PV176" s="23"/>
      <c r="PW176" s="23"/>
      <c r="PX176" s="23"/>
      <c r="PY176" s="23"/>
      <c r="PZ176" s="23"/>
      <c r="QA176" s="23"/>
      <c r="QB176" s="23"/>
      <c r="QC176" s="23"/>
      <c r="QD176" s="23"/>
      <c r="QE176" s="23"/>
      <c r="QF176" s="23"/>
      <c r="QG176" s="23"/>
      <c r="QH176" s="23"/>
      <c r="QI176" s="23"/>
      <c r="QJ176" s="23"/>
      <c r="QK176" s="23"/>
      <c r="QL176" s="23"/>
      <c r="QM176" s="23"/>
      <c r="QN176" s="23"/>
      <c r="QO176" s="23"/>
      <c r="QP176" s="23"/>
      <c r="QQ176" s="23"/>
      <c r="QR176" s="23"/>
      <c r="QS176" s="23"/>
      <c r="QT176" s="23"/>
      <c r="QU176" s="23"/>
      <c r="QV176" s="23"/>
      <c r="QW176" s="23"/>
      <c r="QX176" s="23"/>
      <c r="QY176" s="23"/>
      <c r="QZ176" s="23"/>
      <c r="RA176" s="23"/>
      <c r="RB176" s="23"/>
      <c r="RC176" s="23"/>
      <c r="RD176" s="23"/>
      <c r="RE176" s="23"/>
      <c r="RF176" s="23"/>
      <c r="RG176" s="23"/>
      <c r="RH176" s="23"/>
      <c r="RI176" s="23"/>
      <c r="RJ176" s="23"/>
      <c r="RK176" s="23"/>
      <c r="RL176" s="23"/>
      <c r="RM176" s="23"/>
      <c r="RN176" s="23"/>
      <c r="RO176" s="23"/>
      <c r="RP176" s="23"/>
      <c r="RQ176" s="23"/>
      <c r="RR176" s="23"/>
      <c r="RS176" s="23"/>
      <c r="RT176" s="23"/>
      <c r="RU176" s="23"/>
      <c r="RV176" s="23"/>
      <c r="RW176" s="23"/>
      <c r="RX176" s="23"/>
      <c r="RY176" s="23"/>
      <c r="RZ176" s="23"/>
      <c r="SA176" s="23"/>
      <c r="SB176" s="23"/>
      <c r="SC176" s="23"/>
      <c r="SD176" s="23"/>
      <c r="SE176" s="23"/>
      <c r="SF176" s="23"/>
      <c r="SG176" s="23"/>
      <c r="SH176" s="23"/>
      <c r="SI176" s="23"/>
      <c r="SJ176" s="23"/>
      <c r="SK176" s="23"/>
      <c r="SL176" s="23"/>
      <c r="SM176" s="23"/>
      <c r="SN176" s="23"/>
      <c r="SO176" s="23"/>
      <c r="SP176" s="23"/>
      <c r="SQ176" s="23"/>
      <c r="SR176" s="23"/>
      <c r="SS176" s="23"/>
      <c r="ST176" s="23"/>
      <c r="SU176" s="23"/>
      <c r="SV176" s="23"/>
      <c r="SW176" s="23"/>
      <c r="SX176" s="23"/>
      <c r="SY176" s="23"/>
      <c r="SZ176" s="23"/>
      <c r="TA176" s="23"/>
      <c r="TB176" s="23"/>
      <c r="TC176" s="23"/>
      <c r="TD176" s="23"/>
      <c r="TE176" s="23"/>
      <c r="TF176" s="23"/>
      <c r="TG176" s="23"/>
    </row>
    <row r="177" spans="1:527" s="24" customFormat="1" ht="18" customHeight="1" x14ac:dyDescent="0.25">
      <c r="A177" s="88"/>
      <c r="B177" s="115"/>
      <c r="C177" s="115"/>
      <c r="D177" s="89" t="s">
        <v>395</v>
      </c>
      <c r="E177" s="105">
        <f t="shared" si="68"/>
        <v>198209</v>
      </c>
      <c r="F177" s="105">
        <v>198209</v>
      </c>
      <c r="G177" s="105"/>
      <c r="H177" s="105"/>
      <c r="I177" s="105"/>
      <c r="J177" s="105">
        <f t="shared" si="70"/>
        <v>0</v>
      </c>
      <c r="K177" s="105"/>
      <c r="L177" s="105"/>
      <c r="M177" s="105"/>
      <c r="N177" s="105"/>
      <c r="O177" s="105"/>
      <c r="P177" s="105">
        <f t="shared" si="69"/>
        <v>198209</v>
      </c>
      <c r="Q177" s="188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0"/>
      <c r="JD177" s="30"/>
      <c r="JE177" s="30"/>
      <c r="JF177" s="30"/>
      <c r="JG177" s="30"/>
      <c r="JH177" s="30"/>
      <c r="JI177" s="30"/>
      <c r="JJ177" s="30"/>
      <c r="JK177" s="30"/>
      <c r="JL177" s="30"/>
      <c r="JM177" s="30"/>
      <c r="JN177" s="30"/>
      <c r="JO177" s="30"/>
      <c r="JP177" s="30"/>
      <c r="JQ177" s="30"/>
      <c r="JR177" s="30"/>
      <c r="JS177" s="30"/>
      <c r="JT177" s="30"/>
      <c r="JU177" s="30"/>
      <c r="JV177" s="30"/>
      <c r="JW177" s="30"/>
      <c r="JX177" s="30"/>
      <c r="JY177" s="30"/>
      <c r="JZ177" s="30"/>
      <c r="KA177" s="30"/>
      <c r="KB177" s="30"/>
      <c r="KC177" s="30"/>
      <c r="KD177" s="30"/>
      <c r="KE177" s="30"/>
      <c r="KF177" s="30"/>
      <c r="KG177" s="30"/>
      <c r="KH177" s="30"/>
      <c r="KI177" s="30"/>
      <c r="KJ177" s="30"/>
      <c r="KK177" s="30"/>
      <c r="KL177" s="30"/>
      <c r="KM177" s="30"/>
      <c r="KN177" s="30"/>
      <c r="KO177" s="30"/>
      <c r="KP177" s="30"/>
      <c r="KQ177" s="30"/>
      <c r="KR177" s="30"/>
      <c r="KS177" s="30"/>
      <c r="KT177" s="30"/>
      <c r="KU177" s="30"/>
      <c r="KV177" s="30"/>
      <c r="KW177" s="30"/>
      <c r="KX177" s="30"/>
      <c r="KY177" s="30"/>
      <c r="KZ177" s="30"/>
      <c r="LA177" s="30"/>
      <c r="LB177" s="30"/>
      <c r="LC177" s="30"/>
      <c r="LD177" s="30"/>
      <c r="LE177" s="30"/>
      <c r="LF177" s="30"/>
      <c r="LG177" s="30"/>
      <c r="LH177" s="30"/>
      <c r="LI177" s="30"/>
      <c r="LJ177" s="30"/>
      <c r="LK177" s="30"/>
      <c r="LL177" s="30"/>
      <c r="LM177" s="30"/>
      <c r="LN177" s="30"/>
      <c r="LO177" s="30"/>
      <c r="LP177" s="30"/>
      <c r="LQ177" s="30"/>
      <c r="LR177" s="30"/>
      <c r="LS177" s="30"/>
      <c r="LT177" s="30"/>
      <c r="LU177" s="30"/>
      <c r="LV177" s="30"/>
      <c r="LW177" s="30"/>
      <c r="LX177" s="30"/>
      <c r="LY177" s="30"/>
      <c r="LZ177" s="30"/>
      <c r="MA177" s="30"/>
      <c r="MB177" s="30"/>
      <c r="MC177" s="30"/>
      <c r="MD177" s="30"/>
      <c r="ME177" s="30"/>
      <c r="MF177" s="30"/>
      <c r="MG177" s="30"/>
      <c r="MH177" s="30"/>
      <c r="MI177" s="30"/>
      <c r="MJ177" s="30"/>
      <c r="MK177" s="30"/>
      <c r="ML177" s="30"/>
      <c r="MM177" s="30"/>
      <c r="MN177" s="30"/>
      <c r="MO177" s="30"/>
      <c r="MP177" s="30"/>
      <c r="MQ177" s="30"/>
      <c r="MR177" s="30"/>
      <c r="MS177" s="30"/>
      <c r="MT177" s="30"/>
      <c r="MU177" s="30"/>
      <c r="MV177" s="30"/>
      <c r="MW177" s="30"/>
      <c r="MX177" s="30"/>
      <c r="MY177" s="30"/>
      <c r="MZ177" s="30"/>
      <c r="NA177" s="30"/>
      <c r="NB177" s="30"/>
      <c r="NC177" s="30"/>
      <c r="ND177" s="30"/>
      <c r="NE177" s="30"/>
      <c r="NF177" s="30"/>
      <c r="NG177" s="30"/>
      <c r="NH177" s="30"/>
      <c r="NI177" s="30"/>
      <c r="NJ177" s="30"/>
      <c r="NK177" s="30"/>
      <c r="NL177" s="30"/>
      <c r="NM177" s="30"/>
      <c r="NN177" s="30"/>
      <c r="NO177" s="30"/>
      <c r="NP177" s="30"/>
      <c r="NQ177" s="30"/>
      <c r="NR177" s="30"/>
      <c r="NS177" s="30"/>
      <c r="NT177" s="30"/>
      <c r="NU177" s="30"/>
      <c r="NV177" s="30"/>
      <c r="NW177" s="30"/>
      <c r="NX177" s="30"/>
      <c r="NY177" s="30"/>
      <c r="NZ177" s="30"/>
      <c r="OA177" s="30"/>
      <c r="OB177" s="30"/>
      <c r="OC177" s="30"/>
      <c r="OD177" s="30"/>
      <c r="OE177" s="30"/>
      <c r="OF177" s="30"/>
      <c r="OG177" s="30"/>
      <c r="OH177" s="30"/>
      <c r="OI177" s="30"/>
      <c r="OJ177" s="30"/>
      <c r="OK177" s="30"/>
      <c r="OL177" s="30"/>
      <c r="OM177" s="30"/>
      <c r="ON177" s="30"/>
      <c r="OO177" s="30"/>
      <c r="OP177" s="30"/>
      <c r="OQ177" s="30"/>
      <c r="OR177" s="30"/>
      <c r="OS177" s="30"/>
      <c r="OT177" s="30"/>
      <c r="OU177" s="30"/>
      <c r="OV177" s="30"/>
      <c r="OW177" s="30"/>
      <c r="OX177" s="30"/>
      <c r="OY177" s="30"/>
      <c r="OZ177" s="30"/>
      <c r="PA177" s="30"/>
      <c r="PB177" s="30"/>
      <c r="PC177" s="30"/>
      <c r="PD177" s="30"/>
      <c r="PE177" s="30"/>
      <c r="PF177" s="30"/>
      <c r="PG177" s="30"/>
      <c r="PH177" s="30"/>
      <c r="PI177" s="30"/>
      <c r="PJ177" s="30"/>
      <c r="PK177" s="30"/>
      <c r="PL177" s="30"/>
      <c r="PM177" s="30"/>
      <c r="PN177" s="30"/>
      <c r="PO177" s="30"/>
      <c r="PP177" s="30"/>
      <c r="PQ177" s="30"/>
      <c r="PR177" s="30"/>
      <c r="PS177" s="30"/>
      <c r="PT177" s="30"/>
      <c r="PU177" s="30"/>
      <c r="PV177" s="30"/>
      <c r="PW177" s="30"/>
      <c r="PX177" s="30"/>
      <c r="PY177" s="30"/>
      <c r="PZ177" s="30"/>
      <c r="QA177" s="30"/>
      <c r="QB177" s="30"/>
      <c r="QC177" s="30"/>
      <c r="QD177" s="30"/>
      <c r="QE177" s="30"/>
      <c r="QF177" s="30"/>
      <c r="QG177" s="30"/>
      <c r="QH177" s="30"/>
      <c r="QI177" s="30"/>
      <c r="QJ177" s="30"/>
      <c r="QK177" s="30"/>
      <c r="QL177" s="30"/>
      <c r="QM177" s="30"/>
      <c r="QN177" s="30"/>
      <c r="QO177" s="30"/>
      <c r="QP177" s="30"/>
      <c r="QQ177" s="30"/>
      <c r="QR177" s="30"/>
      <c r="QS177" s="30"/>
      <c r="QT177" s="30"/>
      <c r="QU177" s="30"/>
      <c r="QV177" s="30"/>
      <c r="QW177" s="30"/>
      <c r="QX177" s="30"/>
      <c r="QY177" s="30"/>
      <c r="QZ177" s="30"/>
      <c r="RA177" s="30"/>
      <c r="RB177" s="30"/>
      <c r="RC177" s="30"/>
      <c r="RD177" s="30"/>
      <c r="RE177" s="30"/>
      <c r="RF177" s="30"/>
      <c r="RG177" s="30"/>
      <c r="RH177" s="30"/>
      <c r="RI177" s="30"/>
      <c r="RJ177" s="30"/>
      <c r="RK177" s="30"/>
      <c r="RL177" s="30"/>
      <c r="RM177" s="30"/>
      <c r="RN177" s="30"/>
      <c r="RO177" s="30"/>
      <c r="RP177" s="30"/>
      <c r="RQ177" s="30"/>
      <c r="RR177" s="30"/>
      <c r="RS177" s="30"/>
      <c r="RT177" s="30"/>
      <c r="RU177" s="30"/>
      <c r="RV177" s="30"/>
      <c r="RW177" s="30"/>
      <c r="RX177" s="30"/>
      <c r="RY177" s="30"/>
      <c r="RZ177" s="30"/>
      <c r="SA177" s="30"/>
      <c r="SB177" s="30"/>
      <c r="SC177" s="30"/>
      <c r="SD177" s="30"/>
      <c r="SE177" s="30"/>
      <c r="SF177" s="30"/>
      <c r="SG177" s="30"/>
      <c r="SH177" s="30"/>
      <c r="SI177" s="30"/>
      <c r="SJ177" s="30"/>
      <c r="SK177" s="30"/>
      <c r="SL177" s="30"/>
      <c r="SM177" s="30"/>
      <c r="SN177" s="30"/>
      <c r="SO177" s="30"/>
      <c r="SP177" s="30"/>
      <c r="SQ177" s="30"/>
      <c r="SR177" s="30"/>
      <c r="SS177" s="30"/>
      <c r="ST177" s="30"/>
      <c r="SU177" s="30"/>
      <c r="SV177" s="30"/>
      <c r="SW177" s="30"/>
      <c r="SX177" s="30"/>
      <c r="SY177" s="30"/>
      <c r="SZ177" s="30"/>
      <c r="TA177" s="30"/>
      <c r="TB177" s="30"/>
      <c r="TC177" s="30"/>
      <c r="TD177" s="30"/>
      <c r="TE177" s="30"/>
      <c r="TF177" s="30"/>
      <c r="TG177" s="30"/>
    </row>
    <row r="178" spans="1:527" s="22" customFormat="1" ht="31.5" x14ac:dyDescent="0.25">
      <c r="A178" s="60" t="s">
        <v>356</v>
      </c>
      <c r="B178" s="97" t="str">
        <f>'дод 5'!A121</f>
        <v>3172</v>
      </c>
      <c r="C178" s="97">
        <f>'дод 5'!B121</f>
        <v>1010</v>
      </c>
      <c r="D178" s="61" t="s">
        <v>408</v>
      </c>
      <c r="E178" s="103">
        <f t="shared" si="68"/>
        <v>90</v>
      </c>
      <c r="F178" s="103">
        <v>90</v>
      </c>
      <c r="G178" s="103"/>
      <c r="H178" s="103"/>
      <c r="I178" s="103"/>
      <c r="J178" s="103">
        <f t="shared" si="70"/>
        <v>0</v>
      </c>
      <c r="K178" s="103"/>
      <c r="L178" s="103"/>
      <c r="M178" s="103"/>
      <c r="N178" s="103"/>
      <c r="O178" s="103"/>
      <c r="P178" s="103">
        <f t="shared" si="69"/>
        <v>90</v>
      </c>
      <c r="Q178" s="188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  <c r="TG178" s="23"/>
    </row>
    <row r="179" spans="1:527" s="24" customFormat="1" ht="15.75" x14ac:dyDescent="0.25">
      <c r="A179" s="88"/>
      <c r="B179" s="115"/>
      <c r="C179" s="115"/>
      <c r="D179" s="89" t="s">
        <v>395</v>
      </c>
      <c r="E179" s="105">
        <f t="shared" si="68"/>
        <v>90</v>
      </c>
      <c r="F179" s="105">
        <v>90</v>
      </c>
      <c r="G179" s="105"/>
      <c r="H179" s="105"/>
      <c r="I179" s="105"/>
      <c r="J179" s="105">
        <f t="shared" si="70"/>
        <v>0</v>
      </c>
      <c r="K179" s="105"/>
      <c r="L179" s="105"/>
      <c r="M179" s="105"/>
      <c r="N179" s="105"/>
      <c r="O179" s="105"/>
      <c r="P179" s="105">
        <f t="shared" si="69"/>
        <v>90</v>
      </c>
      <c r="Q179" s="188">
        <v>12</v>
      </c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30"/>
      <c r="KG179" s="30"/>
      <c r="KH179" s="30"/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/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  <c r="LU179" s="30"/>
      <c r="LV179" s="30"/>
      <c r="LW179" s="30"/>
      <c r="LX179" s="30"/>
      <c r="LY179" s="30"/>
      <c r="LZ179" s="30"/>
      <c r="MA179" s="30"/>
      <c r="MB179" s="30"/>
      <c r="MC179" s="30"/>
      <c r="MD179" s="30"/>
      <c r="ME179" s="30"/>
      <c r="MF179" s="30"/>
      <c r="MG179" s="30"/>
      <c r="MH179" s="30"/>
      <c r="MI179" s="30"/>
      <c r="MJ179" s="30"/>
      <c r="MK179" s="30"/>
      <c r="ML179" s="30"/>
      <c r="MM179" s="30"/>
      <c r="MN179" s="30"/>
      <c r="MO179" s="30"/>
      <c r="MP179" s="30"/>
      <c r="MQ179" s="30"/>
      <c r="MR179" s="30"/>
      <c r="MS179" s="30"/>
      <c r="MT179" s="30"/>
      <c r="MU179" s="30"/>
      <c r="MV179" s="30"/>
      <c r="MW179" s="30"/>
      <c r="MX179" s="30"/>
      <c r="MY179" s="30"/>
      <c r="MZ179" s="30"/>
      <c r="NA179" s="30"/>
      <c r="NB179" s="30"/>
      <c r="NC179" s="30"/>
      <c r="ND179" s="30"/>
      <c r="NE179" s="30"/>
      <c r="NF179" s="30"/>
      <c r="NG179" s="30"/>
      <c r="NH179" s="30"/>
      <c r="NI179" s="30"/>
      <c r="NJ179" s="30"/>
      <c r="NK179" s="30"/>
      <c r="NL179" s="30"/>
      <c r="NM179" s="30"/>
      <c r="NN179" s="30"/>
      <c r="NO179" s="30"/>
      <c r="NP179" s="30"/>
      <c r="NQ179" s="30"/>
      <c r="NR179" s="30"/>
      <c r="NS179" s="30"/>
      <c r="NT179" s="30"/>
      <c r="NU179" s="30"/>
      <c r="NV179" s="30"/>
      <c r="NW179" s="30"/>
      <c r="NX179" s="30"/>
      <c r="NY179" s="30"/>
      <c r="NZ179" s="30"/>
      <c r="OA179" s="30"/>
      <c r="OB179" s="30"/>
      <c r="OC179" s="30"/>
      <c r="OD179" s="30"/>
      <c r="OE179" s="30"/>
      <c r="OF179" s="30"/>
      <c r="OG179" s="30"/>
      <c r="OH179" s="30"/>
      <c r="OI179" s="30"/>
      <c r="OJ179" s="30"/>
      <c r="OK179" s="30"/>
      <c r="OL179" s="30"/>
      <c r="OM179" s="30"/>
      <c r="ON179" s="30"/>
      <c r="OO179" s="30"/>
      <c r="OP179" s="30"/>
      <c r="OQ179" s="30"/>
      <c r="OR179" s="30"/>
      <c r="OS179" s="30"/>
      <c r="OT179" s="30"/>
      <c r="OU179" s="30"/>
      <c r="OV179" s="30"/>
      <c r="OW179" s="30"/>
      <c r="OX179" s="30"/>
      <c r="OY179" s="30"/>
      <c r="OZ179" s="30"/>
      <c r="PA179" s="30"/>
      <c r="PB179" s="30"/>
      <c r="PC179" s="30"/>
      <c r="PD179" s="30"/>
      <c r="PE179" s="30"/>
      <c r="PF179" s="30"/>
      <c r="PG179" s="30"/>
      <c r="PH179" s="30"/>
      <c r="PI179" s="30"/>
      <c r="PJ179" s="30"/>
      <c r="PK179" s="30"/>
      <c r="PL179" s="30"/>
      <c r="PM179" s="30"/>
      <c r="PN179" s="30"/>
      <c r="PO179" s="30"/>
      <c r="PP179" s="30"/>
      <c r="PQ179" s="30"/>
      <c r="PR179" s="30"/>
      <c r="PS179" s="30"/>
      <c r="PT179" s="30"/>
      <c r="PU179" s="30"/>
      <c r="PV179" s="30"/>
      <c r="PW179" s="30"/>
      <c r="PX179" s="30"/>
      <c r="PY179" s="30"/>
      <c r="PZ179" s="30"/>
      <c r="QA179" s="30"/>
      <c r="QB179" s="30"/>
      <c r="QC179" s="30"/>
      <c r="QD179" s="30"/>
      <c r="QE179" s="30"/>
      <c r="QF179" s="30"/>
      <c r="QG179" s="30"/>
      <c r="QH179" s="30"/>
      <c r="QI179" s="30"/>
      <c r="QJ179" s="30"/>
      <c r="QK179" s="30"/>
      <c r="QL179" s="30"/>
      <c r="QM179" s="30"/>
      <c r="QN179" s="30"/>
      <c r="QO179" s="30"/>
      <c r="QP179" s="30"/>
      <c r="QQ179" s="30"/>
      <c r="QR179" s="30"/>
      <c r="QS179" s="30"/>
      <c r="QT179" s="30"/>
      <c r="QU179" s="30"/>
      <c r="QV179" s="30"/>
      <c r="QW179" s="30"/>
      <c r="QX179" s="30"/>
      <c r="QY179" s="30"/>
      <c r="QZ179" s="30"/>
      <c r="RA179" s="30"/>
      <c r="RB179" s="30"/>
      <c r="RC179" s="30"/>
      <c r="RD179" s="30"/>
      <c r="RE179" s="30"/>
      <c r="RF179" s="30"/>
      <c r="RG179" s="30"/>
      <c r="RH179" s="30"/>
      <c r="RI179" s="30"/>
      <c r="RJ179" s="30"/>
      <c r="RK179" s="30"/>
      <c r="RL179" s="30"/>
      <c r="RM179" s="30"/>
      <c r="RN179" s="30"/>
      <c r="RO179" s="30"/>
      <c r="RP179" s="30"/>
      <c r="RQ179" s="30"/>
      <c r="RR179" s="30"/>
      <c r="RS179" s="30"/>
      <c r="RT179" s="30"/>
      <c r="RU179" s="30"/>
      <c r="RV179" s="30"/>
      <c r="RW179" s="30"/>
      <c r="RX179" s="30"/>
      <c r="RY179" s="30"/>
      <c r="RZ179" s="30"/>
      <c r="SA179" s="30"/>
      <c r="SB179" s="30"/>
      <c r="SC179" s="30"/>
      <c r="SD179" s="30"/>
      <c r="SE179" s="30"/>
      <c r="SF179" s="30"/>
      <c r="SG179" s="30"/>
      <c r="SH179" s="30"/>
      <c r="SI179" s="30"/>
      <c r="SJ179" s="30"/>
      <c r="SK179" s="30"/>
      <c r="SL179" s="30"/>
      <c r="SM179" s="30"/>
      <c r="SN179" s="30"/>
      <c r="SO179" s="30"/>
      <c r="SP179" s="30"/>
      <c r="SQ179" s="30"/>
      <c r="SR179" s="30"/>
      <c r="SS179" s="30"/>
      <c r="ST179" s="30"/>
      <c r="SU179" s="30"/>
      <c r="SV179" s="30"/>
      <c r="SW179" s="30"/>
      <c r="SX179" s="30"/>
      <c r="SY179" s="30"/>
      <c r="SZ179" s="30"/>
      <c r="TA179" s="30"/>
      <c r="TB179" s="30"/>
      <c r="TC179" s="30"/>
      <c r="TD179" s="30"/>
      <c r="TE179" s="30"/>
      <c r="TF179" s="30"/>
      <c r="TG179" s="30"/>
    </row>
    <row r="180" spans="1:527" s="22" customFormat="1" ht="78.75" x14ac:dyDescent="0.25">
      <c r="A180" s="60" t="s">
        <v>188</v>
      </c>
      <c r="B180" s="97" t="str">
        <f>'дод 5'!A123</f>
        <v>3180</v>
      </c>
      <c r="C180" s="97" t="str">
        <f>'дод 5'!B123</f>
        <v>1060</v>
      </c>
      <c r="D180" s="61" t="str">
        <f>'дод 5'!C123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80" s="103">
        <f t="shared" si="68"/>
        <v>2213520</v>
      </c>
      <c r="F180" s="103">
        <v>2213520</v>
      </c>
      <c r="G180" s="103"/>
      <c r="H180" s="103"/>
      <c r="I180" s="103"/>
      <c r="J180" s="103">
        <f t="shared" si="70"/>
        <v>0</v>
      </c>
      <c r="K180" s="103"/>
      <c r="L180" s="103"/>
      <c r="M180" s="103"/>
      <c r="N180" s="103"/>
      <c r="O180" s="103"/>
      <c r="P180" s="103">
        <f t="shared" si="69"/>
        <v>2213520</v>
      </c>
      <c r="Q180" s="188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  <c r="TG180" s="23"/>
    </row>
    <row r="181" spans="1:527" s="22" customFormat="1" ht="31.5" customHeight="1" x14ac:dyDescent="0.25">
      <c r="A181" s="60" t="s">
        <v>310</v>
      </c>
      <c r="B181" s="97" t="str">
        <f>'дод 5'!A124</f>
        <v>3191</v>
      </c>
      <c r="C181" s="97" t="str">
        <f>'дод 5'!B124</f>
        <v>1030</v>
      </c>
      <c r="D181" s="61" t="str">
        <f>'дод 5'!C124</f>
        <v>Інші видатки на соціальний захист ветеранів війни та праці</v>
      </c>
      <c r="E181" s="103">
        <f t="shared" si="68"/>
        <v>2042960</v>
      </c>
      <c r="F181" s="103">
        <f>2089960-47000</f>
        <v>2042960</v>
      </c>
      <c r="G181" s="103"/>
      <c r="H181" s="103"/>
      <c r="I181" s="103"/>
      <c r="J181" s="103">
        <f t="shared" si="70"/>
        <v>0</v>
      </c>
      <c r="K181" s="103"/>
      <c r="L181" s="103"/>
      <c r="M181" s="103"/>
      <c r="N181" s="103"/>
      <c r="O181" s="103"/>
      <c r="P181" s="103">
        <f t="shared" si="69"/>
        <v>2042960</v>
      </c>
      <c r="Q181" s="188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3"/>
      <c r="NU181" s="23"/>
      <c r="NV181" s="23"/>
      <c r="NW181" s="23"/>
      <c r="NX181" s="23"/>
      <c r="NY181" s="23"/>
      <c r="NZ181" s="23"/>
      <c r="OA181" s="23"/>
      <c r="OB181" s="23"/>
      <c r="OC181" s="23"/>
      <c r="OD181" s="23"/>
      <c r="OE181" s="23"/>
      <c r="OF181" s="23"/>
      <c r="OG181" s="23"/>
      <c r="OH181" s="23"/>
      <c r="OI181" s="23"/>
      <c r="OJ181" s="23"/>
      <c r="OK181" s="23"/>
      <c r="OL181" s="23"/>
      <c r="OM181" s="23"/>
      <c r="ON181" s="23"/>
      <c r="OO181" s="23"/>
      <c r="OP181" s="23"/>
      <c r="OQ181" s="23"/>
      <c r="OR181" s="23"/>
      <c r="OS181" s="23"/>
      <c r="OT181" s="23"/>
      <c r="OU181" s="23"/>
      <c r="OV181" s="23"/>
      <c r="OW181" s="23"/>
      <c r="OX181" s="23"/>
      <c r="OY181" s="23"/>
      <c r="OZ181" s="23"/>
      <c r="PA181" s="23"/>
      <c r="PB181" s="23"/>
      <c r="PC181" s="23"/>
      <c r="PD181" s="23"/>
      <c r="PE181" s="23"/>
      <c r="PF181" s="23"/>
      <c r="PG181" s="23"/>
      <c r="PH181" s="23"/>
      <c r="PI181" s="23"/>
      <c r="PJ181" s="23"/>
      <c r="PK181" s="23"/>
      <c r="PL181" s="23"/>
      <c r="PM181" s="23"/>
      <c r="PN181" s="23"/>
      <c r="PO181" s="23"/>
      <c r="PP181" s="23"/>
      <c r="PQ181" s="23"/>
      <c r="PR181" s="23"/>
      <c r="PS181" s="23"/>
      <c r="PT181" s="23"/>
      <c r="PU181" s="23"/>
      <c r="PV181" s="23"/>
      <c r="PW181" s="23"/>
      <c r="PX181" s="23"/>
      <c r="PY181" s="23"/>
      <c r="PZ181" s="23"/>
      <c r="QA181" s="23"/>
      <c r="QB181" s="23"/>
      <c r="QC181" s="23"/>
      <c r="QD181" s="23"/>
      <c r="QE181" s="23"/>
      <c r="QF181" s="23"/>
      <c r="QG181" s="23"/>
      <c r="QH181" s="23"/>
      <c r="QI181" s="23"/>
      <c r="QJ181" s="23"/>
      <c r="QK181" s="23"/>
      <c r="QL181" s="23"/>
      <c r="QM181" s="23"/>
      <c r="QN181" s="23"/>
      <c r="QO181" s="23"/>
      <c r="QP181" s="23"/>
      <c r="QQ181" s="23"/>
      <c r="QR181" s="23"/>
      <c r="QS181" s="23"/>
      <c r="QT181" s="23"/>
      <c r="QU181" s="23"/>
      <c r="QV181" s="23"/>
      <c r="QW181" s="23"/>
      <c r="QX181" s="23"/>
      <c r="QY181" s="23"/>
      <c r="QZ181" s="23"/>
      <c r="RA181" s="23"/>
      <c r="RB181" s="23"/>
      <c r="RC181" s="23"/>
      <c r="RD181" s="23"/>
      <c r="RE181" s="23"/>
      <c r="RF181" s="23"/>
      <c r="RG181" s="23"/>
      <c r="RH181" s="23"/>
      <c r="RI181" s="23"/>
      <c r="RJ181" s="23"/>
      <c r="RK181" s="23"/>
      <c r="RL181" s="23"/>
      <c r="RM181" s="23"/>
      <c r="RN181" s="23"/>
      <c r="RO181" s="23"/>
      <c r="RP181" s="23"/>
      <c r="RQ181" s="23"/>
      <c r="RR181" s="23"/>
      <c r="RS181" s="23"/>
      <c r="RT181" s="23"/>
      <c r="RU181" s="23"/>
      <c r="RV181" s="23"/>
      <c r="RW181" s="23"/>
      <c r="RX181" s="23"/>
      <c r="RY181" s="23"/>
      <c r="RZ181" s="23"/>
      <c r="SA181" s="23"/>
      <c r="SB181" s="23"/>
      <c r="SC181" s="23"/>
      <c r="SD181" s="23"/>
      <c r="SE181" s="23"/>
      <c r="SF181" s="23"/>
      <c r="SG181" s="23"/>
      <c r="SH181" s="23"/>
      <c r="SI181" s="23"/>
      <c r="SJ181" s="23"/>
      <c r="SK181" s="23"/>
      <c r="SL181" s="23"/>
      <c r="SM181" s="23"/>
      <c r="SN181" s="23"/>
      <c r="SO181" s="23"/>
      <c r="SP181" s="23"/>
      <c r="SQ181" s="23"/>
      <c r="SR181" s="23"/>
      <c r="SS181" s="23"/>
      <c r="ST181" s="23"/>
      <c r="SU181" s="23"/>
      <c r="SV181" s="23"/>
      <c r="SW181" s="23"/>
      <c r="SX181" s="23"/>
      <c r="SY181" s="23"/>
      <c r="SZ181" s="23"/>
      <c r="TA181" s="23"/>
      <c r="TB181" s="23"/>
      <c r="TC181" s="23"/>
      <c r="TD181" s="23"/>
      <c r="TE181" s="23"/>
      <c r="TF181" s="23"/>
      <c r="TG181" s="23"/>
    </row>
    <row r="182" spans="1:527" s="22" customFormat="1" ht="47.25" x14ac:dyDescent="0.25">
      <c r="A182" s="60" t="s">
        <v>311</v>
      </c>
      <c r="B182" s="97" t="str">
        <f>'дод 5'!A125</f>
        <v>3192</v>
      </c>
      <c r="C182" s="97" t="str">
        <f>'дод 5'!B125</f>
        <v>1030</v>
      </c>
      <c r="D182" s="61" t="s">
        <v>511</v>
      </c>
      <c r="E182" s="103">
        <f t="shared" si="68"/>
        <v>2250688</v>
      </c>
      <c r="F182" s="103">
        <v>2250688</v>
      </c>
      <c r="G182" s="103"/>
      <c r="H182" s="103"/>
      <c r="I182" s="103"/>
      <c r="J182" s="103">
        <f t="shared" si="70"/>
        <v>0</v>
      </c>
      <c r="K182" s="103"/>
      <c r="L182" s="103"/>
      <c r="M182" s="103"/>
      <c r="N182" s="103"/>
      <c r="O182" s="103"/>
      <c r="P182" s="103">
        <f t="shared" si="69"/>
        <v>2250688</v>
      </c>
      <c r="Q182" s="188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  <c r="TG182" s="23"/>
    </row>
    <row r="183" spans="1:527" s="22" customFormat="1" ht="34.5" customHeight="1" x14ac:dyDescent="0.25">
      <c r="A183" s="60" t="s">
        <v>189</v>
      </c>
      <c r="B183" s="97" t="str">
        <f>'дод 5'!A126</f>
        <v>3200</v>
      </c>
      <c r="C183" s="97" t="str">
        <f>'дод 5'!B126</f>
        <v>1090</v>
      </c>
      <c r="D183" s="61" t="str">
        <f>'дод 5'!C126</f>
        <v>Забезпечення обробки інформації з нарахування та виплати допомог і компенсацій</v>
      </c>
      <c r="E183" s="103">
        <f t="shared" si="68"/>
        <v>92000</v>
      </c>
      <c r="F183" s="103">
        <v>92000</v>
      </c>
      <c r="G183" s="103"/>
      <c r="H183" s="103"/>
      <c r="I183" s="103"/>
      <c r="J183" s="103">
        <f t="shared" si="70"/>
        <v>0</v>
      </c>
      <c r="K183" s="103"/>
      <c r="L183" s="103"/>
      <c r="M183" s="103"/>
      <c r="N183" s="103"/>
      <c r="O183" s="103"/>
      <c r="P183" s="103">
        <f t="shared" si="69"/>
        <v>92000</v>
      </c>
      <c r="Q183" s="188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  <c r="TF183" s="23"/>
      <c r="TG183" s="23"/>
    </row>
    <row r="184" spans="1:527" s="22" customFormat="1" ht="19.5" customHeight="1" x14ac:dyDescent="0.25">
      <c r="A184" s="107" t="s">
        <v>312</v>
      </c>
      <c r="B184" s="42" t="str">
        <f>'дод 5'!A127</f>
        <v>3210</v>
      </c>
      <c r="C184" s="42" t="str">
        <f>'дод 5'!B127</f>
        <v>1050</v>
      </c>
      <c r="D184" s="36" t="str">
        <f>'дод 5'!C127</f>
        <v>Організація та проведення громадських робіт</v>
      </c>
      <c r="E184" s="103">
        <f t="shared" si="68"/>
        <v>50000</v>
      </c>
      <c r="F184" s="103">
        <v>50000</v>
      </c>
      <c r="G184" s="103">
        <v>40900</v>
      </c>
      <c r="H184" s="103"/>
      <c r="I184" s="103"/>
      <c r="J184" s="103">
        <f t="shared" si="70"/>
        <v>0</v>
      </c>
      <c r="K184" s="103"/>
      <c r="L184" s="103"/>
      <c r="M184" s="103"/>
      <c r="N184" s="103"/>
      <c r="O184" s="103"/>
      <c r="P184" s="103">
        <f t="shared" si="69"/>
        <v>50000</v>
      </c>
      <c r="Q184" s="188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  <c r="TF184" s="23"/>
      <c r="TG184" s="23"/>
    </row>
    <row r="185" spans="1:527" s="22" customFormat="1" ht="261" customHeight="1" x14ac:dyDescent="0.25">
      <c r="A185" s="107" t="s">
        <v>444</v>
      </c>
      <c r="B185" s="42">
        <v>3221</v>
      </c>
      <c r="C185" s="107" t="s">
        <v>54</v>
      </c>
      <c r="D185" s="36" t="s">
        <v>607</v>
      </c>
      <c r="E185" s="103">
        <f t="shared" si="68"/>
        <v>0</v>
      </c>
      <c r="F185" s="120"/>
      <c r="G185" s="103"/>
      <c r="H185" s="103"/>
      <c r="I185" s="103"/>
      <c r="J185" s="103">
        <f t="shared" si="70"/>
        <v>975480.06</v>
      </c>
      <c r="K185" s="103">
        <v>975480.06</v>
      </c>
      <c r="L185" s="103"/>
      <c r="M185" s="103"/>
      <c r="N185" s="103"/>
      <c r="O185" s="103">
        <v>975480.06</v>
      </c>
      <c r="P185" s="103">
        <f t="shared" si="69"/>
        <v>975480.06</v>
      </c>
      <c r="Q185" s="188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  <c r="TF185" s="23"/>
      <c r="TG185" s="23"/>
    </row>
    <row r="186" spans="1:527" s="24" customFormat="1" ht="306.75" customHeight="1" x14ac:dyDescent="0.25">
      <c r="A186" s="109"/>
      <c r="B186" s="92"/>
      <c r="C186" s="109"/>
      <c r="D186" s="91" t="s">
        <v>447</v>
      </c>
      <c r="E186" s="103">
        <f t="shared" si="68"/>
        <v>0</v>
      </c>
      <c r="F186" s="155"/>
      <c r="G186" s="105"/>
      <c r="H186" s="105"/>
      <c r="I186" s="105"/>
      <c r="J186" s="103">
        <f t="shared" si="70"/>
        <v>975480.06</v>
      </c>
      <c r="K186" s="105">
        <v>975480.06</v>
      </c>
      <c r="L186" s="105"/>
      <c r="M186" s="105"/>
      <c r="N186" s="105"/>
      <c r="O186" s="105">
        <v>975480.06</v>
      </c>
      <c r="P186" s="105">
        <f t="shared" si="69"/>
        <v>975480.06</v>
      </c>
      <c r="Q186" s="188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  <c r="IW186" s="30"/>
      <c r="IX186" s="30"/>
      <c r="IY186" s="30"/>
      <c r="IZ186" s="30"/>
      <c r="JA186" s="30"/>
      <c r="JB186" s="30"/>
      <c r="JC186" s="30"/>
      <c r="JD186" s="30"/>
      <c r="JE186" s="30"/>
      <c r="JF186" s="30"/>
      <c r="JG186" s="30"/>
      <c r="JH186" s="30"/>
      <c r="JI186" s="30"/>
      <c r="JJ186" s="30"/>
      <c r="JK186" s="30"/>
      <c r="JL186" s="30"/>
      <c r="JM186" s="30"/>
      <c r="JN186" s="30"/>
      <c r="JO186" s="30"/>
      <c r="JP186" s="30"/>
      <c r="JQ186" s="30"/>
      <c r="JR186" s="30"/>
      <c r="JS186" s="30"/>
      <c r="JT186" s="30"/>
      <c r="JU186" s="30"/>
      <c r="JV186" s="30"/>
      <c r="JW186" s="30"/>
      <c r="JX186" s="30"/>
      <c r="JY186" s="30"/>
      <c r="JZ186" s="30"/>
      <c r="KA186" s="30"/>
      <c r="KB186" s="30"/>
      <c r="KC186" s="30"/>
      <c r="KD186" s="30"/>
      <c r="KE186" s="30"/>
      <c r="KF186" s="30"/>
      <c r="KG186" s="30"/>
      <c r="KH186" s="30"/>
      <c r="KI186" s="30"/>
      <c r="KJ186" s="30"/>
      <c r="KK186" s="30"/>
      <c r="KL186" s="30"/>
      <c r="KM186" s="30"/>
      <c r="KN186" s="30"/>
      <c r="KO186" s="30"/>
      <c r="KP186" s="30"/>
      <c r="KQ186" s="30"/>
      <c r="KR186" s="30"/>
      <c r="KS186" s="30"/>
      <c r="KT186" s="30"/>
      <c r="KU186" s="30"/>
      <c r="KV186" s="30"/>
      <c r="KW186" s="30"/>
      <c r="KX186" s="30"/>
      <c r="KY186" s="30"/>
      <c r="KZ186" s="30"/>
      <c r="LA186" s="30"/>
      <c r="LB186" s="30"/>
      <c r="LC186" s="30"/>
      <c r="LD186" s="30"/>
      <c r="LE186" s="30"/>
      <c r="LF186" s="30"/>
      <c r="LG186" s="30"/>
      <c r="LH186" s="30"/>
      <c r="LI186" s="30"/>
      <c r="LJ186" s="30"/>
      <c r="LK186" s="30"/>
      <c r="LL186" s="30"/>
      <c r="LM186" s="30"/>
      <c r="LN186" s="30"/>
      <c r="LO186" s="30"/>
      <c r="LP186" s="30"/>
      <c r="LQ186" s="30"/>
      <c r="LR186" s="30"/>
      <c r="LS186" s="30"/>
      <c r="LT186" s="30"/>
      <c r="LU186" s="30"/>
      <c r="LV186" s="30"/>
      <c r="LW186" s="30"/>
      <c r="LX186" s="30"/>
      <c r="LY186" s="30"/>
      <c r="LZ186" s="30"/>
      <c r="MA186" s="30"/>
      <c r="MB186" s="30"/>
      <c r="MC186" s="30"/>
      <c r="MD186" s="30"/>
      <c r="ME186" s="30"/>
      <c r="MF186" s="30"/>
      <c r="MG186" s="30"/>
      <c r="MH186" s="30"/>
      <c r="MI186" s="30"/>
      <c r="MJ186" s="30"/>
      <c r="MK186" s="30"/>
      <c r="ML186" s="30"/>
      <c r="MM186" s="30"/>
      <c r="MN186" s="30"/>
      <c r="MO186" s="30"/>
      <c r="MP186" s="30"/>
      <c r="MQ186" s="30"/>
      <c r="MR186" s="30"/>
      <c r="MS186" s="30"/>
      <c r="MT186" s="30"/>
      <c r="MU186" s="30"/>
      <c r="MV186" s="30"/>
      <c r="MW186" s="30"/>
      <c r="MX186" s="30"/>
      <c r="MY186" s="30"/>
      <c r="MZ186" s="30"/>
      <c r="NA186" s="30"/>
      <c r="NB186" s="30"/>
      <c r="NC186" s="30"/>
      <c r="ND186" s="30"/>
      <c r="NE186" s="30"/>
      <c r="NF186" s="30"/>
      <c r="NG186" s="30"/>
      <c r="NH186" s="30"/>
      <c r="NI186" s="30"/>
      <c r="NJ186" s="30"/>
      <c r="NK186" s="30"/>
      <c r="NL186" s="30"/>
      <c r="NM186" s="30"/>
      <c r="NN186" s="30"/>
      <c r="NO186" s="30"/>
      <c r="NP186" s="30"/>
      <c r="NQ186" s="30"/>
      <c r="NR186" s="30"/>
      <c r="NS186" s="30"/>
      <c r="NT186" s="30"/>
      <c r="NU186" s="30"/>
      <c r="NV186" s="30"/>
      <c r="NW186" s="30"/>
      <c r="NX186" s="30"/>
      <c r="NY186" s="30"/>
      <c r="NZ186" s="30"/>
      <c r="OA186" s="30"/>
      <c r="OB186" s="30"/>
      <c r="OC186" s="30"/>
      <c r="OD186" s="30"/>
      <c r="OE186" s="30"/>
      <c r="OF186" s="30"/>
      <c r="OG186" s="30"/>
      <c r="OH186" s="30"/>
      <c r="OI186" s="30"/>
      <c r="OJ186" s="30"/>
      <c r="OK186" s="30"/>
      <c r="OL186" s="30"/>
      <c r="OM186" s="30"/>
      <c r="ON186" s="30"/>
      <c r="OO186" s="30"/>
      <c r="OP186" s="30"/>
      <c r="OQ186" s="30"/>
      <c r="OR186" s="30"/>
      <c r="OS186" s="30"/>
      <c r="OT186" s="30"/>
      <c r="OU186" s="30"/>
      <c r="OV186" s="30"/>
      <c r="OW186" s="30"/>
      <c r="OX186" s="30"/>
      <c r="OY186" s="30"/>
      <c r="OZ186" s="30"/>
      <c r="PA186" s="30"/>
      <c r="PB186" s="30"/>
      <c r="PC186" s="30"/>
      <c r="PD186" s="30"/>
      <c r="PE186" s="30"/>
      <c r="PF186" s="30"/>
      <c r="PG186" s="30"/>
      <c r="PH186" s="30"/>
      <c r="PI186" s="30"/>
      <c r="PJ186" s="30"/>
      <c r="PK186" s="30"/>
      <c r="PL186" s="30"/>
      <c r="PM186" s="30"/>
      <c r="PN186" s="30"/>
      <c r="PO186" s="30"/>
      <c r="PP186" s="30"/>
      <c r="PQ186" s="30"/>
      <c r="PR186" s="30"/>
      <c r="PS186" s="30"/>
      <c r="PT186" s="30"/>
      <c r="PU186" s="30"/>
      <c r="PV186" s="30"/>
      <c r="PW186" s="30"/>
      <c r="PX186" s="30"/>
      <c r="PY186" s="30"/>
      <c r="PZ186" s="30"/>
      <c r="QA186" s="30"/>
      <c r="QB186" s="30"/>
      <c r="QC186" s="30"/>
      <c r="QD186" s="30"/>
      <c r="QE186" s="30"/>
      <c r="QF186" s="30"/>
      <c r="QG186" s="30"/>
      <c r="QH186" s="30"/>
      <c r="QI186" s="30"/>
      <c r="QJ186" s="30"/>
      <c r="QK186" s="30"/>
      <c r="QL186" s="30"/>
      <c r="QM186" s="30"/>
      <c r="QN186" s="30"/>
      <c r="QO186" s="30"/>
      <c r="QP186" s="30"/>
      <c r="QQ186" s="30"/>
      <c r="QR186" s="30"/>
      <c r="QS186" s="30"/>
      <c r="QT186" s="30"/>
      <c r="QU186" s="30"/>
      <c r="QV186" s="30"/>
      <c r="QW186" s="30"/>
      <c r="QX186" s="30"/>
      <c r="QY186" s="30"/>
      <c r="QZ186" s="30"/>
      <c r="RA186" s="30"/>
      <c r="RB186" s="30"/>
      <c r="RC186" s="30"/>
      <c r="RD186" s="30"/>
      <c r="RE186" s="30"/>
      <c r="RF186" s="30"/>
      <c r="RG186" s="30"/>
      <c r="RH186" s="30"/>
      <c r="RI186" s="30"/>
      <c r="RJ186" s="30"/>
      <c r="RK186" s="30"/>
      <c r="RL186" s="30"/>
      <c r="RM186" s="30"/>
      <c r="RN186" s="30"/>
      <c r="RO186" s="30"/>
      <c r="RP186" s="30"/>
      <c r="RQ186" s="30"/>
      <c r="RR186" s="30"/>
      <c r="RS186" s="30"/>
      <c r="RT186" s="30"/>
      <c r="RU186" s="30"/>
      <c r="RV186" s="30"/>
      <c r="RW186" s="30"/>
      <c r="RX186" s="30"/>
      <c r="RY186" s="30"/>
      <c r="RZ186" s="30"/>
      <c r="SA186" s="30"/>
      <c r="SB186" s="30"/>
      <c r="SC186" s="30"/>
      <c r="SD186" s="30"/>
      <c r="SE186" s="30"/>
      <c r="SF186" s="30"/>
      <c r="SG186" s="30"/>
      <c r="SH186" s="30"/>
      <c r="SI186" s="30"/>
      <c r="SJ186" s="30"/>
      <c r="SK186" s="30"/>
      <c r="SL186" s="30"/>
      <c r="SM186" s="30"/>
      <c r="SN186" s="30"/>
      <c r="SO186" s="30"/>
      <c r="SP186" s="30"/>
      <c r="SQ186" s="30"/>
      <c r="SR186" s="30"/>
      <c r="SS186" s="30"/>
      <c r="ST186" s="30"/>
      <c r="SU186" s="30"/>
      <c r="SV186" s="30"/>
      <c r="SW186" s="30"/>
      <c r="SX186" s="30"/>
      <c r="SY186" s="30"/>
      <c r="SZ186" s="30"/>
      <c r="TA186" s="30"/>
      <c r="TB186" s="30"/>
      <c r="TC186" s="30"/>
      <c r="TD186" s="30"/>
      <c r="TE186" s="30"/>
      <c r="TF186" s="30"/>
      <c r="TG186" s="30"/>
    </row>
    <row r="187" spans="1:527" s="22" customFormat="1" ht="330.75" x14ac:dyDescent="0.25">
      <c r="A187" s="107" t="s">
        <v>580</v>
      </c>
      <c r="B187" s="42">
        <v>3222</v>
      </c>
      <c r="C187" s="107" t="s">
        <v>54</v>
      </c>
      <c r="D187" s="36" t="s">
        <v>608</v>
      </c>
      <c r="E187" s="103">
        <f t="shared" ref="E187:E188" si="71">F187+I187</f>
        <v>0</v>
      </c>
      <c r="F187" s="156"/>
      <c r="G187" s="103"/>
      <c r="H187" s="103"/>
      <c r="I187" s="103"/>
      <c r="J187" s="103">
        <f t="shared" ref="J187:J188" si="72">L187+O187</f>
        <v>1176130.99</v>
      </c>
      <c r="K187" s="103">
        <v>1176130.99</v>
      </c>
      <c r="L187" s="103"/>
      <c r="M187" s="103"/>
      <c r="N187" s="103"/>
      <c r="O187" s="103">
        <v>1176130.99</v>
      </c>
      <c r="P187" s="103">
        <f t="shared" si="69"/>
        <v>1176130.99</v>
      </c>
      <c r="Q187" s="188">
        <v>13</v>
      </c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</row>
    <row r="188" spans="1:527" s="24" customFormat="1" ht="332.25" customHeight="1" x14ac:dyDescent="0.25">
      <c r="A188" s="109"/>
      <c r="B188" s="92"/>
      <c r="C188" s="109"/>
      <c r="D188" s="91" t="s">
        <v>605</v>
      </c>
      <c r="E188" s="105">
        <f t="shared" si="71"/>
        <v>0</v>
      </c>
      <c r="F188" s="155"/>
      <c r="G188" s="105"/>
      <c r="H188" s="105"/>
      <c r="I188" s="105"/>
      <c r="J188" s="105">
        <f t="shared" si="72"/>
        <v>1176130.99</v>
      </c>
      <c r="K188" s="105">
        <v>1176130.99</v>
      </c>
      <c r="L188" s="105"/>
      <c r="M188" s="105"/>
      <c r="N188" s="105"/>
      <c r="O188" s="105">
        <v>1176130.99</v>
      </c>
      <c r="P188" s="105">
        <f t="shared" si="69"/>
        <v>1176130.99</v>
      </c>
      <c r="Q188" s="188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  <c r="IX188" s="30"/>
      <c r="IY188" s="30"/>
      <c r="IZ188" s="30"/>
      <c r="JA188" s="30"/>
      <c r="JB188" s="30"/>
      <c r="JC188" s="30"/>
      <c r="JD188" s="30"/>
      <c r="JE188" s="30"/>
      <c r="JF188" s="30"/>
      <c r="JG188" s="30"/>
      <c r="JH188" s="30"/>
      <c r="JI188" s="30"/>
      <c r="JJ188" s="30"/>
      <c r="JK188" s="30"/>
      <c r="JL188" s="30"/>
      <c r="JM188" s="30"/>
      <c r="JN188" s="30"/>
      <c r="JO188" s="30"/>
      <c r="JP188" s="30"/>
      <c r="JQ188" s="30"/>
      <c r="JR188" s="30"/>
      <c r="JS188" s="30"/>
      <c r="JT188" s="30"/>
      <c r="JU188" s="30"/>
      <c r="JV188" s="30"/>
      <c r="JW188" s="30"/>
      <c r="JX188" s="30"/>
      <c r="JY188" s="30"/>
      <c r="JZ188" s="30"/>
      <c r="KA188" s="30"/>
      <c r="KB188" s="30"/>
      <c r="KC188" s="30"/>
      <c r="KD188" s="30"/>
      <c r="KE188" s="30"/>
      <c r="KF188" s="30"/>
      <c r="KG188" s="30"/>
      <c r="KH188" s="30"/>
      <c r="KI188" s="30"/>
      <c r="KJ188" s="30"/>
      <c r="KK188" s="30"/>
      <c r="KL188" s="30"/>
      <c r="KM188" s="30"/>
      <c r="KN188" s="30"/>
      <c r="KO188" s="30"/>
      <c r="KP188" s="30"/>
      <c r="KQ188" s="30"/>
      <c r="KR188" s="30"/>
      <c r="KS188" s="30"/>
      <c r="KT188" s="30"/>
      <c r="KU188" s="30"/>
      <c r="KV188" s="30"/>
      <c r="KW188" s="30"/>
      <c r="KX188" s="30"/>
      <c r="KY188" s="30"/>
      <c r="KZ188" s="30"/>
      <c r="LA188" s="30"/>
      <c r="LB188" s="30"/>
      <c r="LC188" s="30"/>
      <c r="LD188" s="30"/>
      <c r="LE188" s="30"/>
      <c r="LF188" s="30"/>
      <c r="LG188" s="30"/>
      <c r="LH188" s="30"/>
      <c r="LI188" s="30"/>
      <c r="LJ188" s="30"/>
      <c r="LK188" s="30"/>
      <c r="LL188" s="30"/>
      <c r="LM188" s="30"/>
      <c r="LN188" s="30"/>
      <c r="LO188" s="30"/>
      <c r="LP188" s="30"/>
      <c r="LQ188" s="30"/>
      <c r="LR188" s="30"/>
      <c r="LS188" s="30"/>
      <c r="LT188" s="30"/>
      <c r="LU188" s="30"/>
      <c r="LV188" s="30"/>
      <c r="LW188" s="30"/>
      <c r="LX188" s="30"/>
      <c r="LY188" s="30"/>
      <c r="LZ188" s="30"/>
      <c r="MA188" s="30"/>
      <c r="MB188" s="30"/>
      <c r="MC188" s="30"/>
      <c r="MD188" s="30"/>
      <c r="ME188" s="30"/>
      <c r="MF188" s="30"/>
      <c r="MG188" s="30"/>
      <c r="MH188" s="30"/>
      <c r="MI188" s="30"/>
      <c r="MJ188" s="30"/>
      <c r="MK188" s="30"/>
      <c r="ML188" s="30"/>
      <c r="MM188" s="30"/>
      <c r="MN188" s="30"/>
      <c r="MO188" s="30"/>
      <c r="MP188" s="30"/>
      <c r="MQ188" s="30"/>
      <c r="MR188" s="30"/>
      <c r="MS188" s="30"/>
      <c r="MT188" s="30"/>
      <c r="MU188" s="30"/>
      <c r="MV188" s="30"/>
      <c r="MW188" s="30"/>
      <c r="MX188" s="30"/>
      <c r="MY188" s="30"/>
      <c r="MZ188" s="30"/>
      <c r="NA188" s="30"/>
      <c r="NB188" s="30"/>
      <c r="NC188" s="30"/>
      <c r="ND188" s="30"/>
      <c r="NE188" s="30"/>
      <c r="NF188" s="30"/>
      <c r="NG188" s="30"/>
      <c r="NH188" s="30"/>
      <c r="NI188" s="30"/>
      <c r="NJ188" s="30"/>
      <c r="NK188" s="30"/>
      <c r="NL188" s="30"/>
      <c r="NM188" s="30"/>
      <c r="NN188" s="30"/>
      <c r="NO188" s="30"/>
      <c r="NP188" s="30"/>
      <c r="NQ188" s="30"/>
      <c r="NR188" s="30"/>
      <c r="NS188" s="30"/>
      <c r="NT188" s="30"/>
      <c r="NU188" s="30"/>
      <c r="NV188" s="30"/>
      <c r="NW188" s="30"/>
      <c r="NX188" s="30"/>
      <c r="NY188" s="30"/>
      <c r="NZ188" s="30"/>
      <c r="OA188" s="30"/>
      <c r="OB188" s="30"/>
      <c r="OC188" s="30"/>
      <c r="OD188" s="30"/>
      <c r="OE188" s="30"/>
      <c r="OF188" s="30"/>
      <c r="OG188" s="30"/>
      <c r="OH188" s="30"/>
      <c r="OI188" s="30"/>
      <c r="OJ188" s="30"/>
      <c r="OK188" s="30"/>
      <c r="OL188" s="30"/>
      <c r="OM188" s="30"/>
      <c r="ON188" s="30"/>
      <c r="OO188" s="30"/>
      <c r="OP188" s="30"/>
      <c r="OQ188" s="30"/>
      <c r="OR188" s="30"/>
      <c r="OS188" s="30"/>
      <c r="OT188" s="30"/>
      <c r="OU188" s="30"/>
      <c r="OV188" s="30"/>
      <c r="OW188" s="30"/>
      <c r="OX188" s="30"/>
      <c r="OY188" s="30"/>
      <c r="OZ188" s="30"/>
      <c r="PA188" s="30"/>
      <c r="PB188" s="30"/>
      <c r="PC188" s="30"/>
      <c r="PD188" s="30"/>
      <c r="PE188" s="30"/>
      <c r="PF188" s="30"/>
      <c r="PG188" s="30"/>
      <c r="PH188" s="30"/>
      <c r="PI188" s="30"/>
      <c r="PJ188" s="30"/>
      <c r="PK188" s="30"/>
      <c r="PL188" s="30"/>
      <c r="PM188" s="30"/>
      <c r="PN188" s="30"/>
      <c r="PO188" s="30"/>
      <c r="PP188" s="30"/>
      <c r="PQ188" s="30"/>
      <c r="PR188" s="30"/>
      <c r="PS188" s="30"/>
      <c r="PT188" s="30"/>
      <c r="PU188" s="30"/>
      <c r="PV188" s="30"/>
      <c r="PW188" s="30"/>
      <c r="PX188" s="30"/>
      <c r="PY188" s="30"/>
      <c r="PZ188" s="30"/>
      <c r="QA188" s="30"/>
      <c r="QB188" s="30"/>
      <c r="QC188" s="30"/>
      <c r="QD188" s="30"/>
      <c r="QE188" s="30"/>
      <c r="QF188" s="30"/>
      <c r="QG188" s="30"/>
      <c r="QH188" s="30"/>
      <c r="QI188" s="30"/>
      <c r="QJ188" s="30"/>
      <c r="QK188" s="30"/>
      <c r="QL188" s="30"/>
      <c r="QM188" s="30"/>
      <c r="QN188" s="30"/>
      <c r="QO188" s="30"/>
      <c r="QP188" s="30"/>
      <c r="QQ188" s="30"/>
      <c r="QR188" s="30"/>
      <c r="QS188" s="30"/>
      <c r="QT188" s="30"/>
      <c r="QU188" s="30"/>
      <c r="QV188" s="30"/>
      <c r="QW188" s="30"/>
      <c r="QX188" s="30"/>
      <c r="QY188" s="30"/>
      <c r="QZ188" s="30"/>
      <c r="RA188" s="30"/>
      <c r="RB188" s="30"/>
      <c r="RC188" s="30"/>
      <c r="RD188" s="30"/>
      <c r="RE188" s="30"/>
      <c r="RF188" s="30"/>
      <c r="RG188" s="30"/>
      <c r="RH188" s="30"/>
      <c r="RI188" s="30"/>
      <c r="RJ188" s="30"/>
      <c r="RK188" s="30"/>
      <c r="RL188" s="30"/>
      <c r="RM188" s="30"/>
      <c r="RN188" s="30"/>
      <c r="RO188" s="30"/>
      <c r="RP188" s="30"/>
      <c r="RQ188" s="30"/>
      <c r="RR188" s="30"/>
      <c r="RS188" s="30"/>
      <c r="RT188" s="30"/>
      <c r="RU188" s="30"/>
      <c r="RV188" s="30"/>
      <c r="RW188" s="30"/>
      <c r="RX188" s="30"/>
      <c r="RY188" s="30"/>
      <c r="RZ188" s="30"/>
      <c r="SA188" s="30"/>
      <c r="SB188" s="30"/>
      <c r="SC188" s="30"/>
      <c r="SD188" s="30"/>
      <c r="SE188" s="30"/>
      <c r="SF188" s="30"/>
      <c r="SG188" s="30"/>
      <c r="SH188" s="30"/>
      <c r="SI188" s="30"/>
      <c r="SJ188" s="30"/>
      <c r="SK188" s="30"/>
      <c r="SL188" s="30"/>
      <c r="SM188" s="30"/>
      <c r="SN188" s="30"/>
      <c r="SO188" s="30"/>
      <c r="SP188" s="30"/>
      <c r="SQ188" s="30"/>
      <c r="SR188" s="30"/>
      <c r="SS188" s="30"/>
      <c r="ST188" s="30"/>
      <c r="SU188" s="30"/>
      <c r="SV188" s="30"/>
      <c r="SW188" s="30"/>
      <c r="SX188" s="30"/>
      <c r="SY188" s="30"/>
      <c r="SZ188" s="30"/>
      <c r="TA188" s="30"/>
      <c r="TB188" s="30"/>
      <c r="TC188" s="30"/>
      <c r="TD188" s="30"/>
      <c r="TE188" s="30"/>
      <c r="TF188" s="30"/>
      <c r="TG188" s="30"/>
    </row>
    <row r="189" spans="1:527" s="22" customFormat="1" ht="220.5" hidden="1" customHeight="1" x14ac:dyDescent="0.25">
      <c r="A189" s="107" t="s">
        <v>443</v>
      </c>
      <c r="B189" s="42">
        <v>3223</v>
      </c>
      <c r="C189" s="107" t="s">
        <v>54</v>
      </c>
      <c r="D189" s="36" t="str">
        <f>'дод 5'!C132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89" s="103">
        <f t="shared" si="68"/>
        <v>0</v>
      </c>
      <c r="F189" s="103"/>
      <c r="G189" s="103"/>
      <c r="H189" s="103"/>
      <c r="I189" s="103"/>
      <c r="J189" s="103">
        <f t="shared" si="70"/>
        <v>0</v>
      </c>
      <c r="K189" s="103"/>
      <c r="L189" s="103"/>
      <c r="M189" s="103"/>
      <c r="N189" s="103"/>
      <c r="O189" s="103"/>
      <c r="P189" s="103">
        <f t="shared" si="69"/>
        <v>0</v>
      </c>
      <c r="Q189" s="188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</row>
    <row r="190" spans="1:527" s="24" customFormat="1" ht="267.75" hidden="1" customHeight="1" x14ac:dyDescent="0.25">
      <c r="A190" s="109"/>
      <c r="B190" s="92"/>
      <c r="C190" s="109"/>
      <c r="D190" s="91" t="str">
        <f>'дод 5'!C133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90" s="105">
        <f t="shared" si="68"/>
        <v>0</v>
      </c>
      <c r="F190" s="105"/>
      <c r="G190" s="105"/>
      <c r="H190" s="105"/>
      <c r="I190" s="105"/>
      <c r="J190" s="105">
        <f t="shared" si="70"/>
        <v>0</v>
      </c>
      <c r="K190" s="105"/>
      <c r="L190" s="105"/>
      <c r="M190" s="105"/>
      <c r="N190" s="105"/>
      <c r="O190" s="105"/>
      <c r="P190" s="105">
        <f t="shared" si="69"/>
        <v>0</v>
      </c>
      <c r="Q190" s="188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  <c r="IW190" s="30"/>
      <c r="IX190" s="30"/>
      <c r="IY190" s="30"/>
      <c r="IZ190" s="30"/>
      <c r="JA190" s="30"/>
      <c r="JB190" s="30"/>
      <c r="JC190" s="30"/>
      <c r="JD190" s="30"/>
      <c r="JE190" s="30"/>
      <c r="JF190" s="30"/>
      <c r="JG190" s="30"/>
      <c r="JH190" s="30"/>
      <c r="JI190" s="30"/>
      <c r="JJ190" s="30"/>
      <c r="JK190" s="30"/>
      <c r="JL190" s="30"/>
      <c r="JM190" s="30"/>
      <c r="JN190" s="30"/>
      <c r="JO190" s="30"/>
      <c r="JP190" s="30"/>
      <c r="JQ190" s="30"/>
      <c r="JR190" s="30"/>
      <c r="JS190" s="30"/>
      <c r="JT190" s="30"/>
      <c r="JU190" s="30"/>
      <c r="JV190" s="30"/>
      <c r="JW190" s="30"/>
      <c r="JX190" s="30"/>
      <c r="JY190" s="30"/>
      <c r="JZ190" s="30"/>
      <c r="KA190" s="30"/>
      <c r="KB190" s="30"/>
      <c r="KC190" s="30"/>
      <c r="KD190" s="30"/>
      <c r="KE190" s="30"/>
      <c r="KF190" s="30"/>
      <c r="KG190" s="30"/>
      <c r="KH190" s="30"/>
      <c r="KI190" s="30"/>
      <c r="KJ190" s="30"/>
      <c r="KK190" s="30"/>
      <c r="KL190" s="30"/>
      <c r="KM190" s="30"/>
      <c r="KN190" s="30"/>
      <c r="KO190" s="30"/>
      <c r="KP190" s="30"/>
      <c r="KQ190" s="30"/>
      <c r="KR190" s="30"/>
      <c r="KS190" s="30"/>
      <c r="KT190" s="30"/>
      <c r="KU190" s="30"/>
      <c r="KV190" s="30"/>
      <c r="KW190" s="30"/>
      <c r="KX190" s="30"/>
      <c r="KY190" s="30"/>
      <c r="KZ190" s="30"/>
      <c r="LA190" s="30"/>
      <c r="LB190" s="30"/>
      <c r="LC190" s="30"/>
      <c r="LD190" s="30"/>
      <c r="LE190" s="30"/>
      <c r="LF190" s="30"/>
      <c r="LG190" s="30"/>
      <c r="LH190" s="30"/>
      <c r="LI190" s="30"/>
      <c r="LJ190" s="30"/>
      <c r="LK190" s="30"/>
      <c r="LL190" s="30"/>
      <c r="LM190" s="30"/>
      <c r="LN190" s="30"/>
      <c r="LO190" s="30"/>
      <c r="LP190" s="30"/>
      <c r="LQ190" s="30"/>
      <c r="LR190" s="30"/>
      <c r="LS190" s="30"/>
      <c r="LT190" s="30"/>
      <c r="LU190" s="30"/>
      <c r="LV190" s="30"/>
      <c r="LW190" s="30"/>
      <c r="LX190" s="30"/>
      <c r="LY190" s="30"/>
      <c r="LZ190" s="30"/>
      <c r="MA190" s="30"/>
      <c r="MB190" s="30"/>
      <c r="MC190" s="30"/>
      <c r="MD190" s="30"/>
      <c r="ME190" s="30"/>
      <c r="MF190" s="30"/>
      <c r="MG190" s="30"/>
      <c r="MH190" s="30"/>
      <c r="MI190" s="30"/>
      <c r="MJ190" s="30"/>
      <c r="MK190" s="30"/>
      <c r="ML190" s="30"/>
      <c r="MM190" s="30"/>
      <c r="MN190" s="30"/>
      <c r="MO190" s="30"/>
      <c r="MP190" s="30"/>
      <c r="MQ190" s="30"/>
      <c r="MR190" s="30"/>
      <c r="MS190" s="30"/>
      <c r="MT190" s="30"/>
      <c r="MU190" s="30"/>
      <c r="MV190" s="30"/>
      <c r="MW190" s="30"/>
      <c r="MX190" s="30"/>
      <c r="MY190" s="30"/>
      <c r="MZ190" s="30"/>
      <c r="NA190" s="30"/>
      <c r="NB190" s="30"/>
      <c r="NC190" s="30"/>
      <c r="ND190" s="30"/>
      <c r="NE190" s="30"/>
      <c r="NF190" s="30"/>
      <c r="NG190" s="30"/>
      <c r="NH190" s="30"/>
      <c r="NI190" s="30"/>
      <c r="NJ190" s="30"/>
      <c r="NK190" s="30"/>
      <c r="NL190" s="30"/>
      <c r="NM190" s="30"/>
      <c r="NN190" s="30"/>
      <c r="NO190" s="30"/>
      <c r="NP190" s="30"/>
      <c r="NQ190" s="30"/>
      <c r="NR190" s="30"/>
      <c r="NS190" s="30"/>
      <c r="NT190" s="30"/>
      <c r="NU190" s="30"/>
      <c r="NV190" s="30"/>
      <c r="NW190" s="30"/>
      <c r="NX190" s="30"/>
      <c r="NY190" s="30"/>
      <c r="NZ190" s="30"/>
      <c r="OA190" s="30"/>
      <c r="OB190" s="30"/>
      <c r="OC190" s="30"/>
      <c r="OD190" s="30"/>
      <c r="OE190" s="30"/>
      <c r="OF190" s="30"/>
      <c r="OG190" s="30"/>
      <c r="OH190" s="30"/>
      <c r="OI190" s="30"/>
      <c r="OJ190" s="30"/>
      <c r="OK190" s="30"/>
      <c r="OL190" s="30"/>
      <c r="OM190" s="30"/>
      <c r="ON190" s="30"/>
      <c r="OO190" s="30"/>
      <c r="OP190" s="30"/>
      <c r="OQ190" s="30"/>
      <c r="OR190" s="30"/>
      <c r="OS190" s="30"/>
      <c r="OT190" s="30"/>
      <c r="OU190" s="30"/>
      <c r="OV190" s="30"/>
      <c r="OW190" s="30"/>
      <c r="OX190" s="30"/>
      <c r="OY190" s="30"/>
      <c r="OZ190" s="30"/>
      <c r="PA190" s="30"/>
      <c r="PB190" s="30"/>
      <c r="PC190" s="30"/>
      <c r="PD190" s="30"/>
      <c r="PE190" s="30"/>
      <c r="PF190" s="30"/>
      <c r="PG190" s="30"/>
      <c r="PH190" s="30"/>
      <c r="PI190" s="30"/>
      <c r="PJ190" s="30"/>
      <c r="PK190" s="30"/>
      <c r="PL190" s="30"/>
      <c r="PM190" s="30"/>
      <c r="PN190" s="30"/>
      <c r="PO190" s="30"/>
      <c r="PP190" s="30"/>
      <c r="PQ190" s="30"/>
      <c r="PR190" s="30"/>
      <c r="PS190" s="30"/>
      <c r="PT190" s="30"/>
      <c r="PU190" s="30"/>
      <c r="PV190" s="30"/>
      <c r="PW190" s="30"/>
      <c r="PX190" s="30"/>
      <c r="PY190" s="30"/>
      <c r="PZ190" s="30"/>
      <c r="QA190" s="30"/>
      <c r="QB190" s="30"/>
      <c r="QC190" s="30"/>
      <c r="QD190" s="30"/>
      <c r="QE190" s="30"/>
      <c r="QF190" s="30"/>
      <c r="QG190" s="30"/>
      <c r="QH190" s="30"/>
      <c r="QI190" s="30"/>
      <c r="QJ190" s="30"/>
      <c r="QK190" s="30"/>
      <c r="QL190" s="30"/>
      <c r="QM190" s="30"/>
      <c r="QN190" s="30"/>
      <c r="QO190" s="30"/>
      <c r="QP190" s="30"/>
      <c r="QQ190" s="30"/>
      <c r="QR190" s="30"/>
      <c r="QS190" s="30"/>
      <c r="QT190" s="30"/>
      <c r="QU190" s="30"/>
      <c r="QV190" s="30"/>
      <c r="QW190" s="30"/>
      <c r="QX190" s="30"/>
      <c r="QY190" s="30"/>
      <c r="QZ190" s="30"/>
      <c r="RA190" s="30"/>
      <c r="RB190" s="30"/>
      <c r="RC190" s="30"/>
      <c r="RD190" s="30"/>
      <c r="RE190" s="30"/>
      <c r="RF190" s="30"/>
      <c r="RG190" s="30"/>
      <c r="RH190" s="30"/>
      <c r="RI190" s="30"/>
      <c r="RJ190" s="30"/>
      <c r="RK190" s="30"/>
      <c r="RL190" s="30"/>
      <c r="RM190" s="30"/>
      <c r="RN190" s="30"/>
      <c r="RO190" s="30"/>
      <c r="RP190" s="30"/>
      <c r="RQ190" s="30"/>
      <c r="RR190" s="30"/>
      <c r="RS190" s="30"/>
      <c r="RT190" s="30"/>
      <c r="RU190" s="30"/>
      <c r="RV190" s="30"/>
      <c r="RW190" s="30"/>
      <c r="RX190" s="30"/>
      <c r="RY190" s="30"/>
      <c r="RZ190" s="30"/>
      <c r="SA190" s="30"/>
      <c r="SB190" s="30"/>
      <c r="SC190" s="30"/>
      <c r="SD190" s="30"/>
      <c r="SE190" s="30"/>
      <c r="SF190" s="30"/>
      <c r="SG190" s="30"/>
      <c r="SH190" s="30"/>
      <c r="SI190" s="30"/>
      <c r="SJ190" s="30"/>
      <c r="SK190" s="30"/>
      <c r="SL190" s="30"/>
      <c r="SM190" s="30"/>
      <c r="SN190" s="30"/>
      <c r="SO190" s="30"/>
      <c r="SP190" s="30"/>
      <c r="SQ190" s="30"/>
      <c r="SR190" s="30"/>
      <c r="SS190" s="30"/>
      <c r="ST190" s="30"/>
      <c r="SU190" s="30"/>
      <c r="SV190" s="30"/>
      <c r="SW190" s="30"/>
      <c r="SX190" s="30"/>
      <c r="SY190" s="30"/>
      <c r="SZ190" s="30"/>
      <c r="TA190" s="30"/>
      <c r="TB190" s="30"/>
      <c r="TC190" s="30"/>
      <c r="TD190" s="30"/>
      <c r="TE190" s="30"/>
      <c r="TF190" s="30"/>
      <c r="TG190" s="30"/>
    </row>
    <row r="191" spans="1:527" s="22" customFormat="1" ht="31.5" customHeight="1" x14ac:dyDescent="0.25">
      <c r="A191" s="60" t="s">
        <v>309</v>
      </c>
      <c r="B191" s="97" t="str">
        <f>'дод 5'!A134</f>
        <v>3241</v>
      </c>
      <c r="C191" s="97" t="str">
        <f>'дод 5'!B134</f>
        <v>1090</v>
      </c>
      <c r="D191" s="61" t="str">
        <f>'дод 5'!C134</f>
        <v>Забезпечення діяльності інших закладів у сфері соціального захисту і соціального забезпечення</v>
      </c>
      <c r="E191" s="103">
        <f t="shared" si="68"/>
        <v>6928322.5599999996</v>
      </c>
      <c r="F191" s="103">
        <f>6615708.56+38000+199000+75614</f>
        <v>6928322.5599999996</v>
      </c>
      <c r="G191" s="103">
        <v>4074650</v>
      </c>
      <c r="H191" s="103">
        <f>333300+75614</f>
        <v>408914</v>
      </c>
      <c r="I191" s="103"/>
      <c r="J191" s="103">
        <f t="shared" ref="J191:J195" si="73">L191+O191</f>
        <v>161000</v>
      </c>
      <c r="K191" s="103">
        <f>360000-199000</f>
        <v>161000</v>
      </c>
      <c r="L191" s="103"/>
      <c r="M191" s="103"/>
      <c r="N191" s="103"/>
      <c r="O191" s="103">
        <f>360000-199000</f>
        <v>161000</v>
      </c>
      <c r="P191" s="103">
        <f t="shared" si="69"/>
        <v>7089322.5599999996</v>
      </c>
      <c r="Q191" s="188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</row>
    <row r="192" spans="1:527" s="22" customFormat="1" ht="33" customHeight="1" x14ac:dyDescent="0.25">
      <c r="A192" s="60" t="s">
        <v>357</v>
      </c>
      <c r="B192" s="97" t="str">
        <f>'дод 5'!A135</f>
        <v>3242</v>
      </c>
      <c r="C192" s="97" t="str">
        <f>'дод 5'!B135</f>
        <v>1090</v>
      </c>
      <c r="D192" s="61" t="s">
        <v>525</v>
      </c>
      <c r="E192" s="103">
        <f t="shared" si="68"/>
        <v>38733302.549999997</v>
      </c>
      <c r="F192" s="103">
        <f>34325670+76000+12000+250000+1652252.55+881000+791200+57000+20770+189500+106000+5000+5000+10000+25000+47000+1000+45000+69500+38800+125610</f>
        <v>38733302.549999997</v>
      </c>
      <c r="G192" s="103"/>
      <c r="H192" s="103"/>
      <c r="I192" s="103"/>
      <c r="J192" s="103">
        <f t="shared" si="73"/>
        <v>45000</v>
      </c>
      <c r="K192" s="103">
        <v>45000</v>
      </c>
      <c r="L192" s="103"/>
      <c r="M192" s="103"/>
      <c r="N192" s="103"/>
      <c r="O192" s="103">
        <v>45000</v>
      </c>
      <c r="P192" s="103">
        <f t="shared" si="69"/>
        <v>38778302.549999997</v>
      </c>
      <c r="Q192" s="188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  <c r="TG192" s="23"/>
    </row>
    <row r="193" spans="1:527" s="24" customFormat="1" ht="15" customHeight="1" x14ac:dyDescent="0.25">
      <c r="A193" s="88"/>
      <c r="B193" s="115"/>
      <c r="C193" s="115"/>
      <c r="D193" s="89" t="s">
        <v>395</v>
      </c>
      <c r="E193" s="105">
        <f t="shared" si="68"/>
        <v>348000</v>
      </c>
      <c r="F193" s="105">
        <f>336000+12000</f>
        <v>348000</v>
      </c>
      <c r="G193" s="105"/>
      <c r="H193" s="105"/>
      <c r="I193" s="105"/>
      <c r="J193" s="105">
        <f t="shared" si="73"/>
        <v>0</v>
      </c>
      <c r="K193" s="105"/>
      <c r="L193" s="105"/>
      <c r="M193" s="105"/>
      <c r="N193" s="105"/>
      <c r="O193" s="105"/>
      <c r="P193" s="105">
        <f t="shared" si="69"/>
        <v>348000</v>
      </c>
      <c r="Q193" s="188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  <c r="II193" s="30"/>
      <c r="IJ193" s="30"/>
      <c r="IK193" s="30"/>
      <c r="IL193" s="30"/>
      <c r="IM193" s="30"/>
      <c r="IN193" s="30"/>
      <c r="IO193" s="30"/>
      <c r="IP193" s="30"/>
      <c r="IQ193" s="30"/>
      <c r="IR193" s="30"/>
      <c r="IS193" s="30"/>
      <c r="IT193" s="30"/>
      <c r="IU193" s="30"/>
      <c r="IV193" s="30"/>
      <c r="IW193" s="30"/>
      <c r="IX193" s="30"/>
      <c r="IY193" s="30"/>
      <c r="IZ193" s="30"/>
      <c r="JA193" s="30"/>
      <c r="JB193" s="30"/>
      <c r="JC193" s="30"/>
      <c r="JD193" s="30"/>
      <c r="JE193" s="30"/>
      <c r="JF193" s="30"/>
      <c r="JG193" s="30"/>
      <c r="JH193" s="30"/>
      <c r="JI193" s="30"/>
      <c r="JJ193" s="30"/>
      <c r="JK193" s="30"/>
      <c r="JL193" s="30"/>
      <c r="JM193" s="30"/>
      <c r="JN193" s="30"/>
      <c r="JO193" s="30"/>
      <c r="JP193" s="30"/>
      <c r="JQ193" s="30"/>
      <c r="JR193" s="30"/>
      <c r="JS193" s="30"/>
      <c r="JT193" s="30"/>
      <c r="JU193" s="30"/>
      <c r="JV193" s="30"/>
      <c r="JW193" s="30"/>
      <c r="JX193" s="30"/>
      <c r="JY193" s="30"/>
      <c r="JZ193" s="30"/>
      <c r="KA193" s="30"/>
      <c r="KB193" s="30"/>
      <c r="KC193" s="30"/>
      <c r="KD193" s="30"/>
      <c r="KE193" s="30"/>
      <c r="KF193" s="30"/>
      <c r="KG193" s="30"/>
      <c r="KH193" s="30"/>
      <c r="KI193" s="30"/>
      <c r="KJ193" s="30"/>
      <c r="KK193" s="30"/>
      <c r="KL193" s="30"/>
      <c r="KM193" s="30"/>
      <c r="KN193" s="30"/>
      <c r="KO193" s="30"/>
      <c r="KP193" s="30"/>
      <c r="KQ193" s="30"/>
      <c r="KR193" s="30"/>
      <c r="KS193" s="30"/>
      <c r="KT193" s="30"/>
      <c r="KU193" s="30"/>
      <c r="KV193" s="30"/>
      <c r="KW193" s="30"/>
      <c r="KX193" s="30"/>
      <c r="KY193" s="30"/>
      <c r="KZ193" s="30"/>
      <c r="LA193" s="30"/>
      <c r="LB193" s="30"/>
      <c r="LC193" s="30"/>
      <c r="LD193" s="30"/>
      <c r="LE193" s="30"/>
      <c r="LF193" s="30"/>
      <c r="LG193" s="30"/>
      <c r="LH193" s="30"/>
      <c r="LI193" s="30"/>
      <c r="LJ193" s="30"/>
      <c r="LK193" s="30"/>
      <c r="LL193" s="30"/>
      <c r="LM193" s="30"/>
      <c r="LN193" s="30"/>
      <c r="LO193" s="30"/>
      <c r="LP193" s="30"/>
      <c r="LQ193" s="30"/>
      <c r="LR193" s="30"/>
      <c r="LS193" s="30"/>
      <c r="LT193" s="30"/>
      <c r="LU193" s="30"/>
      <c r="LV193" s="30"/>
      <c r="LW193" s="30"/>
      <c r="LX193" s="30"/>
      <c r="LY193" s="30"/>
      <c r="LZ193" s="30"/>
      <c r="MA193" s="30"/>
      <c r="MB193" s="30"/>
      <c r="MC193" s="30"/>
      <c r="MD193" s="30"/>
      <c r="ME193" s="30"/>
      <c r="MF193" s="30"/>
      <c r="MG193" s="30"/>
      <c r="MH193" s="30"/>
      <c r="MI193" s="30"/>
      <c r="MJ193" s="30"/>
      <c r="MK193" s="30"/>
      <c r="ML193" s="30"/>
      <c r="MM193" s="30"/>
      <c r="MN193" s="30"/>
      <c r="MO193" s="30"/>
      <c r="MP193" s="30"/>
      <c r="MQ193" s="30"/>
      <c r="MR193" s="30"/>
      <c r="MS193" s="30"/>
      <c r="MT193" s="30"/>
      <c r="MU193" s="30"/>
      <c r="MV193" s="30"/>
      <c r="MW193" s="30"/>
      <c r="MX193" s="30"/>
      <c r="MY193" s="30"/>
      <c r="MZ193" s="30"/>
      <c r="NA193" s="30"/>
      <c r="NB193" s="30"/>
      <c r="NC193" s="30"/>
      <c r="ND193" s="30"/>
      <c r="NE193" s="30"/>
      <c r="NF193" s="30"/>
      <c r="NG193" s="30"/>
      <c r="NH193" s="30"/>
      <c r="NI193" s="30"/>
      <c r="NJ193" s="30"/>
      <c r="NK193" s="30"/>
      <c r="NL193" s="30"/>
      <c r="NM193" s="30"/>
      <c r="NN193" s="30"/>
      <c r="NO193" s="30"/>
      <c r="NP193" s="30"/>
      <c r="NQ193" s="30"/>
      <c r="NR193" s="30"/>
      <c r="NS193" s="30"/>
      <c r="NT193" s="30"/>
      <c r="NU193" s="30"/>
      <c r="NV193" s="30"/>
      <c r="NW193" s="30"/>
      <c r="NX193" s="30"/>
      <c r="NY193" s="30"/>
      <c r="NZ193" s="30"/>
      <c r="OA193" s="30"/>
      <c r="OB193" s="30"/>
      <c r="OC193" s="30"/>
      <c r="OD193" s="30"/>
      <c r="OE193" s="30"/>
      <c r="OF193" s="30"/>
      <c r="OG193" s="30"/>
      <c r="OH193" s="30"/>
      <c r="OI193" s="30"/>
      <c r="OJ193" s="30"/>
      <c r="OK193" s="30"/>
      <c r="OL193" s="30"/>
      <c r="OM193" s="30"/>
      <c r="ON193" s="30"/>
      <c r="OO193" s="30"/>
      <c r="OP193" s="30"/>
      <c r="OQ193" s="30"/>
      <c r="OR193" s="30"/>
      <c r="OS193" s="30"/>
      <c r="OT193" s="30"/>
      <c r="OU193" s="30"/>
      <c r="OV193" s="30"/>
      <c r="OW193" s="30"/>
      <c r="OX193" s="30"/>
      <c r="OY193" s="30"/>
      <c r="OZ193" s="30"/>
      <c r="PA193" s="30"/>
      <c r="PB193" s="30"/>
      <c r="PC193" s="30"/>
      <c r="PD193" s="30"/>
      <c r="PE193" s="30"/>
      <c r="PF193" s="30"/>
      <c r="PG193" s="30"/>
      <c r="PH193" s="30"/>
      <c r="PI193" s="30"/>
      <c r="PJ193" s="30"/>
      <c r="PK193" s="30"/>
      <c r="PL193" s="30"/>
      <c r="PM193" s="30"/>
      <c r="PN193" s="30"/>
      <c r="PO193" s="30"/>
      <c r="PP193" s="30"/>
      <c r="PQ193" s="30"/>
      <c r="PR193" s="30"/>
      <c r="PS193" s="30"/>
      <c r="PT193" s="30"/>
      <c r="PU193" s="30"/>
      <c r="PV193" s="30"/>
      <c r="PW193" s="30"/>
      <c r="PX193" s="30"/>
      <c r="PY193" s="30"/>
      <c r="PZ193" s="30"/>
      <c r="QA193" s="30"/>
      <c r="QB193" s="30"/>
      <c r="QC193" s="30"/>
      <c r="QD193" s="30"/>
      <c r="QE193" s="30"/>
      <c r="QF193" s="30"/>
      <c r="QG193" s="30"/>
      <c r="QH193" s="30"/>
      <c r="QI193" s="30"/>
      <c r="QJ193" s="30"/>
      <c r="QK193" s="30"/>
      <c r="QL193" s="30"/>
      <c r="QM193" s="30"/>
      <c r="QN193" s="30"/>
      <c r="QO193" s="30"/>
      <c r="QP193" s="30"/>
      <c r="QQ193" s="30"/>
      <c r="QR193" s="30"/>
      <c r="QS193" s="30"/>
      <c r="QT193" s="30"/>
      <c r="QU193" s="30"/>
      <c r="QV193" s="30"/>
      <c r="QW193" s="30"/>
      <c r="QX193" s="30"/>
      <c r="QY193" s="30"/>
      <c r="QZ193" s="30"/>
      <c r="RA193" s="30"/>
      <c r="RB193" s="30"/>
      <c r="RC193" s="30"/>
      <c r="RD193" s="30"/>
      <c r="RE193" s="30"/>
      <c r="RF193" s="30"/>
      <c r="RG193" s="30"/>
      <c r="RH193" s="30"/>
      <c r="RI193" s="30"/>
      <c r="RJ193" s="30"/>
      <c r="RK193" s="30"/>
      <c r="RL193" s="30"/>
      <c r="RM193" s="30"/>
      <c r="RN193" s="30"/>
      <c r="RO193" s="30"/>
      <c r="RP193" s="30"/>
      <c r="RQ193" s="30"/>
      <c r="RR193" s="30"/>
      <c r="RS193" s="30"/>
      <c r="RT193" s="30"/>
      <c r="RU193" s="30"/>
      <c r="RV193" s="30"/>
      <c r="RW193" s="30"/>
      <c r="RX193" s="30"/>
      <c r="RY193" s="30"/>
      <c r="RZ193" s="30"/>
      <c r="SA193" s="30"/>
      <c r="SB193" s="30"/>
      <c r="SC193" s="30"/>
      <c r="SD193" s="30"/>
      <c r="SE193" s="30"/>
      <c r="SF193" s="30"/>
      <c r="SG193" s="30"/>
      <c r="SH193" s="30"/>
      <c r="SI193" s="30"/>
      <c r="SJ193" s="30"/>
      <c r="SK193" s="30"/>
      <c r="SL193" s="30"/>
      <c r="SM193" s="30"/>
      <c r="SN193" s="30"/>
      <c r="SO193" s="30"/>
      <c r="SP193" s="30"/>
      <c r="SQ193" s="30"/>
      <c r="SR193" s="30"/>
      <c r="SS193" s="30"/>
      <c r="ST193" s="30"/>
      <c r="SU193" s="30"/>
      <c r="SV193" s="30"/>
      <c r="SW193" s="30"/>
      <c r="SX193" s="30"/>
      <c r="SY193" s="30"/>
      <c r="SZ193" s="30"/>
      <c r="TA193" s="30"/>
      <c r="TB193" s="30"/>
      <c r="TC193" s="30"/>
      <c r="TD193" s="30"/>
      <c r="TE193" s="30"/>
      <c r="TF193" s="30"/>
      <c r="TG193" s="30"/>
    </row>
    <row r="194" spans="1:527" s="22" customFormat="1" ht="18.75" x14ac:dyDescent="0.25">
      <c r="A194" s="60" t="s">
        <v>419</v>
      </c>
      <c r="B194" s="97">
        <v>7323</v>
      </c>
      <c r="C194" s="60" t="s">
        <v>113</v>
      </c>
      <c r="D194" s="146" t="s">
        <v>564</v>
      </c>
      <c r="E194" s="103">
        <f t="shared" si="68"/>
        <v>0</v>
      </c>
      <c r="F194" s="103"/>
      <c r="G194" s="103"/>
      <c r="H194" s="103"/>
      <c r="I194" s="103"/>
      <c r="J194" s="103">
        <f t="shared" si="73"/>
        <v>473213</v>
      </c>
      <c r="K194" s="103">
        <f>400000+73213</f>
        <v>473213</v>
      </c>
      <c r="L194" s="103"/>
      <c r="M194" s="103"/>
      <c r="N194" s="103"/>
      <c r="O194" s="103">
        <f>400000+73213</f>
        <v>473213</v>
      </c>
      <c r="P194" s="103">
        <f t="shared" si="69"/>
        <v>473213</v>
      </c>
      <c r="Q194" s="188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</row>
    <row r="195" spans="1:527" s="22" customFormat="1" ht="22.5" customHeight="1" x14ac:dyDescent="0.25">
      <c r="A195" s="60" t="s">
        <v>267</v>
      </c>
      <c r="B195" s="97" t="str">
        <f>'дод 5'!A241</f>
        <v>9770</v>
      </c>
      <c r="C195" s="97" t="str">
        <f>'дод 5'!B241</f>
        <v>0180</v>
      </c>
      <c r="D195" s="61" t="str">
        <f>'дод 5'!C241</f>
        <v>Інші субвенції з місцевого бюджету</v>
      </c>
      <c r="E195" s="103">
        <f t="shared" si="68"/>
        <v>3645344</v>
      </c>
      <c r="F195" s="103">
        <f>2500000+1145344</f>
        <v>3645344</v>
      </c>
      <c r="G195" s="103"/>
      <c r="H195" s="103"/>
      <c r="I195" s="103"/>
      <c r="J195" s="103">
        <f t="shared" si="73"/>
        <v>0</v>
      </c>
      <c r="K195" s="103"/>
      <c r="L195" s="103"/>
      <c r="M195" s="103"/>
      <c r="N195" s="103"/>
      <c r="O195" s="103"/>
      <c r="P195" s="103">
        <f t="shared" si="69"/>
        <v>3645344</v>
      </c>
      <c r="Q195" s="188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  <c r="TF195" s="23"/>
      <c r="TG195" s="23"/>
    </row>
    <row r="196" spans="1:527" s="27" customFormat="1" ht="31.5" x14ac:dyDescent="0.25">
      <c r="A196" s="110" t="s">
        <v>190</v>
      </c>
      <c r="B196" s="39"/>
      <c r="C196" s="39"/>
      <c r="D196" s="111" t="s">
        <v>365</v>
      </c>
      <c r="E196" s="99">
        <f>E197</f>
        <v>5890161</v>
      </c>
      <c r="F196" s="99">
        <f t="shared" ref="F196:J196" si="74">F197</f>
        <v>5890161</v>
      </c>
      <c r="G196" s="99">
        <f t="shared" si="74"/>
        <v>4491300</v>
      </c>
      <c r="H196" s="99">
        <f t="shared" si="74"/>
        <v>55881</v>
      </c>
      <c r="I196" s="99">
        <f t="shared" si="74"/>
        <v>0</v>
      </c>
      <c r="J196" s="99">
        <f t="shared" si="74"/>
        <v>33200</v>
      </c>
      <c r="K196" s="99">
        <f t="shared" ref="K196" si="75">K197</f>
        <v>33200</v>
      </c>
      <c r="L196" s="99">
        <f t="shared" ref="L196" si="76">L197</f>
        <v>0</v>
      </c>
      <c r="M196" s="99">
        <f t="shared" ref="M196" si="77">M197</f>
        <v>0</v>
      </c>
      <c r="N196" s="99">
        <f t="shared" ref="N196" si="78">N197</f>
        <v>0</v>
      </c>
      <c r="O196" s="99">
        <f t="shared" ref="O196:P196" si="79">O197</f>
        <v>33200</v>
      </c>
      <c r="P196" s="99">
        <f t="shared" si="79"/>
        <v>5923361</v>
      </c>
      <c r="Q196" s="188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2"/>
      <c r="ED196" s="32"/>
      <c r="EE196" s="32"/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32"/>
      <c r="ER196" s="32"/>
      <c r="ES196" s="32"/>
      <c r="ET196" s="32"/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2"/>
      <c r="FK196" s="32"/>
      <c r="FL196" s="32"/>
      <c r="FM196" s="32"/>
      <c r="FN196" s="32"/>
      <c r="FO196" s="32"/>
      <c r="FP196" s="32"/>
      <c r="FQ196" s="32"/>
      <c r="FR196" s="32"/>
      <c r="FS196" s="32"/>
      <c r="FT196" s="32"/>
      <c r="FU196" s="32"/>
      <c r="FV196" s="32"/>
      <c r="FW196" s="32"/>
      <c r="FX196" s="32"/>
      <c r="FY196" s="32"/>
      <c r="FZ196" s="32"/>
      <c r="GA196" s="32"/>
      <c r="GB196" s="32"/>
      <c r="GC196" s="32"/>
      <c r="GD196" s="32"/>
      <c r="GE196" s="32"/>
      <c r="GF196" s="32"/>
      <c r="GG196" s="32"/>
      <c r="GH196" s="32"/>
      <c r="GI196" s="32"/>
      <c r="GJ196" s="32"/>
      <c r="GK196" s="32"/>
      <c r="GL196" s="32"/>
      <c r="GM196" s="32"/>
      <c r="GN196" s="32"/>
      <c r="GO196" s="32"/>
      <c r="GP196" s="32"/>
      <c r="GQ196" s="32"/>
      <c r="GR196" s="32"/>
      <c r="GS196" s="32"/>
      <c r="GT196" s="32"/>
      <c r="GU196" s="32"/>
      <c r="GV196" s="32"/>
      <c r="GW196" s="32"/>
      <c r="GX196" s="32"/>
      <c r="GY196" s="32"/>
      <c r="GZ196" s="32"/>
      <c r="HA196" s="32"/>
      <c r="HB196" s="32"/>
      <c r="HC196" s="32"/>
      <c r="HD196" s="32"/>
      <c r="HE196" s="32"/>
      <c r="HF196" s="32"/>
      <c r="HG196" s="32"/>
      <c r="HH196" s="32"/>
      <c r="HI196" s="32"/>
      <c r="HJ196" s="32"/>
      <c r="HK196" s="32"/>
      <c r="HL196" s="32"/>
      <c r="HM196" s="32"/>
      <c r="HN196" s="32"/>
      <c r="HO196" s="32"/>
      <c r="HP196" s="32"/>
      <c r="HQ196" s="32"/>
      <c r="HR196" s="32"/>
      <c r="HS196" s="32"/>
      <c r="HT196" s="32"/>
      <c r="HU196" s="32"/>
      <c r="HV196" s="32"/>
      <c r="HW196" s="32"/>
      <c r="HX196" s="32"/>
      <c r="HY196" s="32"/>
      <c r="HZ196" s="32"/>
      <c r="IA196" s="32"/>
      <c r="IB196" s="32"/>
      <c r="IC196" s="32"/>
      <c r="ID196" s="32"/>
      <c r="IE196" s="32"/>
      <c r="IF196" s="32"/>
      <c r="IG196" s="32"/>
      <c r="IH196" s="32"/>
      <c r="II196" s="32"/>
      <c r="IJ196" s="32"/>
      <c r="IK196" s="32"/>
      <c r="IL196" s="32"/>
      <c r="IM196" s="32"/>
      <c r="IN196" s="32"/>
      <c r="IO196" s="32"/>
      <c r="IP196" s="32"/>
      <c r="IQ196" s="32"/>
      <c r="IR196" s="32"/>
      <c r="IS196" s="32"/>
      <c r="IT196" s="32"/>
      <c r="IU196" s="32"/>
      <c r="IV196" s="32"/>
      <c r="IW196" s="32"/>
      <c r="IX196" s="32"/>
      <c r="IY196" s="32"/>
      <c r="IZ196" s="32"/>
      <c r="JA196" s="32"/>
      <c r="JB196" s="32"/>
      <c r="JC196" s="32"/>
      <c r="JD196" s="32"/>
      <c r="JE196" s="32"/>
      <c r="JF196" s="32"/>
      <c r="JG196" s="32"/>
      <c r="JH196" s="32"/>
      <c r="JI196" s="32"/>
      <c r="JJ196" s="32"/>
      <c r="JK196" s="32"/>
      <c r="JL196" s="32"/>
      <c r="JM196" s="32"/>
      <c r="JN196" s="32"/>
      <c r="JO196" s="32"/>
      <c r="JP196" s="32"/>
      <c r="JQ196" s="32"/>
      <c r="JR196" s="32"/>
      <c r="JS196" s="32"/>
      <c r="JT196" s="32"/>
      <c r="JU196" s="32"/>
      <c r="JV196" s="32"/>
      <c r="JW196" s="32"/>
      <c r="JX196" s="32"/>
      <c r="JY196" s="32"/>
      <c r="JZ196" s="32"/>
      <c r="KA196" s="32"/>
      <c r="KB196" s="32"/>
      <c r="KC196" s="32"/>
      <c r="KD196" s="32"/>
      <c r="KE196" s="32"/>
      <c r="KF196" s="32"/>
      <c r="KG196" s="32"/>
      <c r="KH196" s="32"/>
      <c r="KI196" s="32"/>
      <c r="KJ196" s="32"/>
      <c r="KK196" s="32"/>
      <c r="KL196" s="32"/>
      <c r="KM196" s="32"/>
      <c r="KN196" s="32"/>
      <c r="KO196" s="32"/>
      <c r="KP196" s="32"/>
      <c r="KQ196" s="32"/>
      <c r="KR196" s="32"/>
      <c r="KS196" s="32"/>
      <c r="KT196" s="32"/>
      <c r="KU196" s="32"/>
      <c r="KV196" s="32"/>
      <c r="KW196" s="32"/>
      <c r="KX196" s="32"/>
      <c r="KY196" s="32"/>
      <c r="KZ196" s="32"/>
      <c r="LA196" s="32"/>
      <c r="LB196" s="32"/>
      <c r="LC196" s="32"/>
      <c r="LD196" s="32"/>
      <c r="LE196" s="32"/>
      <c r="LF196" s="32"/>
      <c r="LG196" s="32"/>
      <c r="LH196" s="32"/>
      <c r="LI196" s="32"/>
      <c r="LJ196" s="32"/>
      <c r="LK196" s="32"/>
      <c r="LL196" s="32"/>
      <c r="LM196" s="32"/>
      <c r="LN196" s="32"/>
      <c r="LO196" s="32"/>
      <c r="LP196" s="32"/>
      <c r="LQ196" s="32"/>
      <c r="LR196" s="32"/>
      <c r="LS196" s="32"/>
      <c r="LT196" s="32"/>
      <c r="LU196" s="32"/>
      <c r="LV196" s="32"/>
      <c r="LW196" s="32"/>
      <c r="LX196" s="32"/>
      <c r="LY196" s="32"/>
      <c r="LZ196" s="32"/>
      <c r="MA196" s="32"/>
      <c r="MB196" s="32"/>
      <c r="MC196" s="32"/>
      <c r="MD196" s="32"/>
      <c r="ME196" s="32"/>
      <c r="MF196" s="32"/>
      <c r="MG196" s="32"/>
      <c r="MH196" s="32"/>
      <c r="MI196" s="32"/>
      <c r="MJ196" s="32"/>
      <c r="MK196" s="32"/>
      <c r="ML196" s="32"/>
      <c r="MM196" s="32"/>
      <c r="MN196" s="32"/>
      <c r="MO196" s="32"/>
      <c r="MP196" s="32"/>
      <c r="MQ196" s="32"/>
      <c r="MR196" s="32"/>
      <c r="MS196" s="32"/>
      <c r="MT196" s="32"/>
      <c r="MU196" s="32"/>
      <c r="MV196" s="32"/>
      <c r="MW196" s="32"/>
      <c r="MX196" s="32"/>
      <c r="MY196" s="32"/>
      <c r="MZ196" s="32"/>
      <c r="NA196" s="32"/>
      <c r="NB196" s="32"/>
      <c r="NC196" s="32"/>
      <c r="ND196" s="32"/>
      <c r="NE196" s="32"/>
      <c r="NF196" s="32"/>
      <c r="NG196" s="32"/>
      <c r="NH196" s="32"/>
      <c r="NI196" s="32"/>
      <c r="NJ196" s="32"/>
      <c r="NK196" s="32"/>
      <c r="NL196" s="32"/>
      <c r="NM196" s="32"/>
      <c r="NN196" s="32"/>
      <c r="NO196" s="32"/>
      <c r="NP196" s="32"/>
      <c r="NQ196" s="32"/>
      <c r="NR196" s="32"/>
      <c r="NS196" s="32"/>
      <c r="NT196" s="32"/>
      <c r="NU196" s="32"/>
      <c r="NV196" s="32"/>
      <c r="NW196" s="32"/>
      <c r="NX196" s="32"/>
      <c r="NY196" s="32"/>
      <c r="NZ196" s="32"/>
      <c r="OA196" s="32"/>
      <c r="OB196" s="32"/>
      <c r="OC196" s="32"/>
      <c r="OD196" s="32"/>
      <c r="OE196" s="32"/>
      <c r="OF196" s="32"/>
      <c r="OG196" s="32"/>
      <c r="OH196" s="32"/>
      <c r="OI196" s="32"/>
      <c r="OJ196" s="32"/>
      <c r="OK196" s="32"/>
      <c r="OL196" s="32"/>
      <c r="OM196" s="32"/>
      <c r="ON196" s="32"/>
      <c r="OO196" s="32"/>
      <c r="OP196" s="32"/>
      <c r="OQ196" s="32"/>
      <c r="OR196" s="32"/>
      <c r="OS196" s="32"/>
      <c r="OT196" s="32"/>
      <c r="OU196" s="32"/>
      <c r="OV196" s="32"/>
      <c r="OW196" s="32"/>
      <c r="OX196" s="32"/>
      <c r="OY196" s="32"/>
      <c r="OZ196" s="32"/>
      <c r="PA196" s="32"/>
      <c r="PB196" s="32"/>
      <c r="PC196" s="32"/>
      <c r="PD196" s="32"/>
      <c r="PE196" s="32"/>
      <c r="PF196" s="32"/>
      <c r="PG196" s="32"/>
      <c r="PH196" s="32"/>
      <c r="PI196" s="32"/>
      <c r="PJ196" s="32"/>
      <c r="PK196" s="32"/>
      <c r="PL196" s="32"/>
      <c r="PM196" s="32"/>
      <c r="PN196" s="32"/>
      <c r="PO196" s="32"/>
      <c r="PP196" s="32"/>
      <c r="PQ196" s="32"/>
      <c r="PR196" s="32"/>
      <c r="PS196" s="32"/>
      <c r="PT196" s="32"/>
      <c r="PU196" s="32"/>
      <c r="PV196" s="32"/>
      <c r="PW196" s="32"/>
      <c r="PX196" s="32"/>
      <c r="PY196" s="32"/>
      <c r="PZ196" s="32"/>
      <c r="QA196" s="32"/>
      <c r="QB196" s="32"/>
      <c r="QC196" s="32"/>
      <c r="QD196" s="32"/>
      <c r="QE196" s="32"/>
      <c r="QF196" s="32"/>
      <c r="QG196" s="32"/>
      <c r="QH196" s="32"/>
      <c r="QI196" s="32"/>
      <c r="QJ196" s="32"/>
      <c r="QK196" s="32"/>
      <c r="QL196" s="32"/>
      <c r="QM196" s="32"/>
      <c r="QN196" s="32"/>
      <c r="QO196" s="32"/>
      <c r="QP196" s="32"/>
      <c r="QQ196" s="32"/>
      <c r="QR196" s="32"/>
      <c r="QS196" s="32"/>
      <c r="QT196" s="32"/>
      <c r="QU196" s="32"/>
      <c r="QV196" s="32"/>
      <c r="QW196" s="32"/>
      <c r="QX196" s="32"/>
      <c r="QY196" s="32"/>
      <c r="QZ196" s="32"/>
      <c r="RA196" s="32"/>
      <c r="RB196" s="32"/>
      <c r="RC196" s="32"/>
      <c r="RD196" s="32"/>
      <c r="RE196" s="32"/>
      <c r="RF196" s="32"/>
      <c r="RG196" s="32"/>
      <c r="RH196" s="32"/>
      <c r="RI196" s="32"/>
      <c r="RJ196" s="32"/>
      <c r="RK196" s="32"/>
      <c r="RL196" s="32"/>
      <c r="RM196" s="32"/>
      <c r="RN196" s="32"/>
      <c r="RO196" s="32"/>
      <c r="RP196" s="32"/>
      <c r="RQ196" s="32"/>
      <c r="RR196" s="32"/>
      <c r="RS196" s="32"/>
      <c r="RT196" s="32"/>
      <c r="RU196" s="32"/>
      <c r="RV196" s="32"/>
      <c r="RW196" s="32"/>
      <c r="RX196" s="32"/>
      <c r="RY196" s="32"/>
      <c r="RZ196" s="32"/>
      <c r="SA196" s="32"/>
      <c r="SB196" s="32"/>
      <c r="SC196" s="32"/>
      <c r="SD196" s="32"/>
      <c r="SE196" s="32"/>
      <c r="SF196" s="32"/>
      <c r="SG196" s="32"/>
      <c r="SH196" s="32"/>
      <c r="SI196" s="32"/>
      <c r="SJ196" s="32"/>
      <c r="SK196" s="32"/>
      <c r="SL196" s="32"/>
      <c r="SM196" s="32"/>
      <c r="SN196" s="32"/>
      <c r="SO196" s="32"/>
      <c r="SP196" s="32"/>
      <c r="SQ196" s="32"/>
      <c r="SR196" s="32"/>
      <c r="SS196" s="32"/>
      <c r="ST196" s="32"/>
      <c r="SU196" s="32"/>
      <c r="SV196" s="32"/>
      <c r="SW196" s="32"/>
      <c r="SX196" s="32"/>
      <c r="SY196" s="32"/>
      <c r="SZ196" s="32"/>
      <c r="TA196" s="32"/>
      <c r="TB196" s="32"/>
      <c r="TC196" s="32"/>
      <c r="TD196" s="32"/>
      <c r="TE196" s="32"/>
      <c r="TF196" s="32"/>
      <c r="TG196" s="32"/>
    </row>
    <row r="197" spans="1:527" s="34" customFormat="1" ht="31.5" x14ac:dyDescent="0.25">
      <c r="A197" s="112" t="s">
        <v>191</v>
      </c>
      <c r="B197" s="78"/>
      <c r="C197" s="78"/>
      <c r="D197" s="81" t="s">
        <v>365</v>
      </c>
      <c r="E197" s="102">
        <f>E199+E200+E201+E202</f>
        <v>5890161</v>
      </c>
      <c r="F197" s="102">
        <f t="shared" ref="F197:P197" si="80">F199+F200+F201+F202</f>
        <v>5890161</v>
      </c>
      <c r="G197" s="102">
        <f t="shared" si="80"/>
        <v>4491300</v>
      </c>
      <c r="H197" s="102">
        <f t="shared" si="80"/>
        <v>55881</v>
      </c>
      <c r="I197" s="102">
        <f t="shared" si="80"/>
        <v>0</v>
      </c>
      <c r="J197" s="102">
        <f t="shared" si="80"/>
        <v>33200</v>
      </c>
      <c r="K197" s="102">
        <f>K199+K200+K201+K202</f>
        <v>33200</v>
      </c>
      <c r="L197" s="102">
        <f t="shared" si="80"/>
        <v>0</v>
      </c>
      <c r="M197" s="102">
        <f t="shared" si="80"/>
        <v>0</v>
      </c>
      <c r="N197" s="102">
        <f t="shared" si="80"/>
        <v>0</v>
      </c>
      <c r="O197" s="102">
        <f t="shared" si="80"/>
        <v>33200</v>
      </c>
      <c r="P197" s="102">
        <f t="shared" si="80"/>
        <v>5923361</v>
      </c>
      <c r="Q197" s="188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  <c r="GE197" s="33"/>
      <c r="GF197" s="33"/>
      <c r="GG197" s="33"/>
      <c r="GH197" s="33"/>
      <c r="GI197" s="33"/>
      <c r="GJ197" s="33"/>
      <c r="GK197" s="33"/>
      <c r="GL197" s="33"/>
      <c r="GM197" s="33"/>
      <c r="GN197" s="33"/>
      <c r="GO197" s="33"/>
      <c r="GP197" s="33"/>
      <c r="GQ197" s="33"/>
      <c r="GR197" s="33"/>
      <c r="GS197" s="33"/>
      <c r="GT197" s="33"/>
      <c r="GU197" s="33"/>
      <c r="GV197" s="33"/>
      <c r="GW197" s="33"/>
      <c r="GX197" s="33"/>
      <c r="GY197" s="33"/>
      <c r="GZ197" s="33"/>
      <c r="HA197" s="33"/>
      <c r="HB197" s="33"/>
      <c r="HC197" s="33"/>
      <c r="HD197" s="33"/>
      <c r="HE197" s="33"/>
      <c r="HF197" s="33"/>
      <c r="HG197" s="33"/>
      <c r="HH197" s="33"/>
      <c r="HI197" s="33"/>
      <c r="HJ197" s="33"/>
      <c r="HK197" s="33"/>
      <c r="HL197" s="33"/>
      <c r="HM197" s="33"/>
      <c r="HN197" s="33"/>
      <c r="HO197" s="33"/>
      <c r="HP197" s="33"/>
      <c r="HQ197" s="33"/>
      <c r="HR197" s="33"/>
      <c r="HS197" s="33"/>
      <c r="HT197" s="33"/>
      <c r="HU197" s="33"/>
      <c r="HV197" s="33"/>
      <c r="HW197" s="33"/>
      <c r="HX197" s="33"/>
      <c r="HY197" s="33"/>
      <c r="HZ197" s="33"/>
      <c r="IA197" s="33"/>
      <c r="IB197" s="33"/>
      <c r="IC197" s="33"/>
      <c r="ID197" s="33"/>
      <c r="IE197" s="33"/>
      <c r="IF197" s="33"/>
      <c r="IG197" s="33"/>
      <c r="IH197" s="33"/>
      <c r="II197" s="33"/>
      <c r="IJ197" s="33"/>
      <c r="IK197" s="33"/>
      <c r="IL197" s="33"/>
      <c r="IM197" s="33"/>
      <c r="IN197" s="33"/>
      <c r="IO197" s="33"/>
      <c r="IP197" s="33"/>
      <c r="IQ197" s="33"/>
      <c r="IR197" s="33"/>
      <c r="IS197" s="33"/>
      <c r="IT197" s="33"/>
      <c r="IU197" s="33"/>
      <c r="IV197" s="33"/>
      <c r="IW197" s="33"/>
      <c r="IX197" s="33"/>
      <c r="IY197" s="33"/>
      <c r="IZ197" s="33"/>
      <c r="JA197" s="33"/>
      <c r="JB197" s="33"/>
      <c r="JC197" s="33"/>
      <c r="JD197" s="33"/>
      <c r="JE197" s="33"/>
      <c r="JF197" s="33"/>
      <c r="JG197" s="33"/>
      <c r="JH197" s="33"/>
      <c r="JI197" s="33"/>
      <c r="JJ197" s="33"/>
      <c r="JK197" s="33"/>
      <c r="JL197" s="33"/>
      <c r="JM197" s="33"/>
      <c r="JN197" s="33"/>
      <c r="JO197" s="33"/>
      <c r="JP197" s="33"/>
      <c r="JQ197" s="33"/>
      <c r="JR197" s="33"/>
      <c r="JS197" s="33"/>
      <c r="JT197" s="33"/>
      <c r="JU197" s="33"/>
      <c r="JV197" s="33"/>
      <c r="JW197" s="33"/>
      <c r="JX197" s="33"/>
      <c r="JY197" s="33"/>
      <c r="JZ197" s="33"/>
      <c r="KA197" s="33"/>
      <c r="KB197" s="33"/>
      <c r="KC197" s="33"/>
      <c r="KD197" s="33"/>
      <c r="KE197" s="33"/>
      <c r="KF197" s="33"/>
      <c r="KG197" s="33"/>
      <c r="KH197" s="33"/>
      <c r="KI197" s="33"/>
      <c r="KJ197" s="33"/>
      <c r="KK197" s="33"/>
      <c r="KL197" s="33"/>
      <c r="KM197" s="33"/>
      <c r="KN197" s="33"/>
      <c r="KO197" s="33"/>
      <c r="KP197" s="33"/>
      <c r="KQ197" s="33"/>
      <c r="KR197" s="33"/>
      <c r="KS197" s="33"/>
      <c r="KT197" s="33"/>
      <c r="KU197" s="33"/>
      <c r="KV197" s="33"/>
      <c r="KW197" s="33"/>
      <c r="KX197" s="33"/>
      <c r="KY197" s="33"/>
      <c r="KZ197" s="33"/>
      <c r="LA197" s="33"/>
      <c r="LB197" s="33"/>
      <c r="LC197" s="33"/>
      <c r="LD197" s="33"/>
      <c r="LE197" s="33"/>
      <c r="LF197" s="33"/>
      <c r="LG197" s="33"/>
      <c r="LH197" s="33"/>
      <c r="LI197" s="33"/>
      <c r="LJ197" s="33"/>
      <c r="LK197" s="33"/>
      <c r="LL197" s="33"/>
      <c r="LM197" s="33"/>
      <c r="LN197" s="33"/>
      <c r="LO197" s="33"/>
      <c r="LP197" s="33"/>
      <c r="LQ197" s="33"/>
      <c r="LR197" s="33"/>
      <c r="LS197" s="33"/>
      <c r="LT197" s="33"/>
      <c r="LU197" s="33"/>
      <c r="LV197" s="33"/>
      <c r="LW197" s="33"/>
      <c r="LX197" s="33"/>
      <c r="LY197" s="33"/>
      <c r="LZ197" s="33"/>
      <c r="MA197" s="33"/>
      <c r="MB197" s="33"/>
      <c r="MC197" s="33"/>
      <c r="MD197" s="33"/>
      <c r="ME197" s="33"/>
      <c r="MF197" s="33"/>
      <c r="MG197" s="33"/>
      <c r="MH197" s="33"/>
      <c r="MI197" s="33"/>
      <c r="MJ197" s="33"/>
      <c r="MK197" s="33"/>
      <c r="ML197" s="33"/>
      <c r="MM197" s="33"/>
      <c r="MN197" s="33"/>
      <c r="MO197" s="33"/>
      <c r="MP197" s="33"/>
      <c r="MQ197" s="33"/>
      <c r="MR197" s="33"/>
      <c r="MS197" s="33"/>
      <c r="MT197" s="33"/>
      <c r="MU197" s="33"/>
      <c r="MV197" s="33"/>
      <c r="MW197" s="33"/>
      <c r="MX197" s="33"/>
      <c r="MY197" s="33"/>
      <c r="MZ197" s="33"/>
      <c r="NA197" s="33"/>
      <c r="NB197" s="33"/>
      <c r="NC197" s="33"/>
      <c r="ND197" s="33"/>
      <c r="NE197" s="33"/>
      <c r="NF197" s="33"/>
      <c r="NG197" s="33"/>
      <c r="NH197" s="33"/>
      <c r="NI197" s="33"/>
      <c r="NJ197" s="33"/>
      <c r="NK197" s="33"/>
      <c r="NL197" s="33"/>
      <c r="NM197" s="33"/>
      <c r="NN197" s="33"/>
      <c r="NO197" s="33"/>
      <c r="NP197" s="33"/>
      <c r="NQ197" s="33"/>
      <c r="NR197" s="33"/>
      <c r="NS197" s="33"/>
      <c r="NT197" s="33"/>
      <c r="NU197" s="33"/>
      <c r="NV197" s="33"/>
      <c r="NW197" s="33"/>
      <c r="NX197" s="33"/>
      <c r="NY197" s="33"/>
      <c r="NZ197" s="33"/>
      <c r="OA197" s="33"/>
      <c r="OB197" s="33"/>
      <c r="OC197" s="33"/>
      <c r="OD197" s="33"/>
      <c r="OE197" s="33"/>
      <c r="OF197" s="33"/>
      <c r="OG197" s="33"/>
      <c r="OH197" s="33"/>
      <c r="OI197" s="33"/>
      <c r="OJ197" s="33"/>
      <c r="OK197" s="33"/>
      <c r="OL197" s="33"/>
      <c r="OM197" s="33"/>
      <c r="ON197" s="33"/>
      <c r="OO197" s="33"/>
      <c r="OP197" s="33"/>
      <c r="OQ197" s="33"/>
      <c r="OR197" s="33"/>
      <c r="OS197" s="33"/>
      <c r="OT197" s="33"/>
      <c r="OU197" s="33"/>
      <c r="OV197" s="33"/>
      <c r="OW197" s="33"/>
      <c r="OX197" s="33"/>
      <c r="OY197" s="33"/>
      <c r="OZ197" s="33"/>
      <c r="PA197" s="33"/>
      <c r="PB197" s="33"/>
      <c r="PC197" s="33"/>
      <c r="PD197" s="33"/>
      <c r="PE197" s="33"/>
      <c r="PF197" s="33"/>
      <c r="PG197" s="33"/>
      <c r="PH197" s="33"/>
      <c r="PI197" s="33"/>
      <c r="PJ197" s="33"/>
      <c r="PK197" s="33"/>
      <c r="PL197" s="33"/>
      <c r="PM197" s="33"/>
      <c r="PN197" s="33"/>
      <c r="PO197" s="33"/>
      <c r="PP197" s="33"/>
      <c r="PQ197" s="33"/>
      <c r="PR197" s="33"/>
      <c r="PS197" s="33"/>
      <c r="PT197" s="33"/>
      <c r="PU197" s="33"/>
      <c r="PV197" s="33"/>
      <c r="PW197" s="33"/>
      <c r="PX197" s="33"/>
      <c r="PY197" s="33"/>
      <c r="PZ197" s="33"/>
      <c r="QA197" s="33"/>
      <c r="QB197" s="33"/>
      <c r="QC197" s="33"/>
      <c r="QD197" s="33"/>
      <c r="QE197" s="33"/>
      <c r="QF197" s="33"/>
      <c r="QG197" s="33"/>
      <c r="QH197" s="33"/>
      <c r="QI197" s="33"/>
      <c r="QJ197" s="33"/>
      <c r="QK197" s="33"/>
      <c r="QL197" s="33"/>
      <c r="QM197" s="33"/>
      <c r="QN197" s="33"/>
      <c r="QO197" s="33"/>
      <c r="QP197" s="33"/>
      <c r="QQ197" s="33"/>
      <c r="QR197" s="33"/>
      <c r="QS197" s="33"/>
      <c r="QT197" s="33"/>
      <c r="QU197" s="33"/>
      <c r="QV197" s="33"/>
      <c r="QW197" s="33"/>
      <c r="QX197" s="33"/>
      <c r="QY197" s="33"/>
      <c r="QZ197" s="33"/>
      <c r="RA197" s="33"/>
      <c r="RB197" s="33"/>
      <c r="RC197" s="33"/>
      <c r="RD197" s="33"/>
      <c r="RE197" s="33"/>
      <c r="RF197" s="33"/>
      <c r="RG197" s="33"/>
      <c r="RH197" s="33"/>
      <c r="RI197" s="33"/>
      <c r="RJ197" s="33"/>
      <c r="RK197" s="33"/>
      <c r="RL197" s="33"/>
      <c r="RM197" s="33"/>
      <c r="RN197" s="33"/>
      <c r="RO197" s="33"/>
      <c r="RP197" s="33"/>
      <c r="RQ197" s="33"/>
      <c r="RR197" s="33"/>
      <c r="RS197" s="33"/>
      <c r="RT197" s="33"/>
      <c r="RU197" s="33"/>
      <c r="RV197" s="33"/>
      <c r="RW197" s="33"/>
      <c r="RX197" s="33"/>
      <c r="RY197" s="33"/>
      <c r="RZ197" s="33"/>
      <c r="SA197" s="33"/>
      <c r="SB197" s="33"/>
      <c r="SC197" s="33"/>
      <c r="SD197" s="33"/>
      <c r="SE197" s="33"/>
      <c r="SF197" s="33"/>
      <c r="SG197" s="33"/>
      <c r="SH197" s="33"/>
      <c r="SI197" s="33"/>
      <c r="SJ197" s="33"/>
      <c r="SK197" s="33"/>
      <c r="SL197" s="33"/>
      <c r="SM197" s="33"/>
      <c r="SN197" s="33"/>
      <c r="SO197" s="33"/>
      <c r="SP197" s="33"/>
      <c r="SQ197" s="33"/>
      <c r="SR197" s="33"/>
      <c r="SS197" s="33"/>
      <c r="ST197" s="33"/>
      <c r="SU197" s="33"/>
      <c r="SV197" s="33"/>
      <c r="SW197" s="33"/>
      <c r="SX197" s="33"/>
      <c r="SY197" s="33"/>
      <c r="SZ197" s="33"/>
      <c r="TA197" s="33"/>
      <c r="TB197" s="33"/>
      <c r="TC197" s="33"/>
      <c r="TD197" s="33"/>
      <c r="TE197" s="33"/>
      <c r="TF197" s="33"/>
      <c r="TG197" s="33"/>
    </row>
    <row r="198" spans="1:527" s="34" customFormat="1" ht="120" hidden="1" customHeight="1" x14ac:dyDescent="0.25">
      <c r="A198" s="112"/>
      <c r="B198" s="78"/>
      <c r="C198" s="78"/>
      <c r="D198" s="81" t="s">
        <v>448</v>
      </c>
      <c r="E198" s="102">
        <f>E203</f>
        <v>0</v>
      </c>
      <c r="F198" s="102">
        <f t="shared" ref="F198:P198" si="81">F203</f>
        <v>0</v>
      </c>
      <c r="G198" s="102">
        <f t="shared" si="81"/>
        <v>0</v>
      </c>
      <c r="H198" s="102">
        <f t="shared" si="81"/>
        <v>0</v>
      </c>
      <c r="I198" s="102">
        <f t="shared" si="81"/>
        <v>0</v>
      </c>
      <c r="J198" s="102">
        <f t="shared" si="81"/>
        <v>0</v>
      </c>
      <c r="K198" s="102">
        <f t="shared" si="81"/>
        <v>0</v>
      </c>
      <c r="L198" s="102">
        <f t="shared" si="81"/>
        <v>0</v>
      </c>
      <c r="M198" s="102">
        <f t="shared" si="81"/>
        <v>0</v>
      </c>
      <c r="N198" s="102">
        <f t="shared" si="81"/>
        <v>0</v>
      </c>
      <c r="O198" s="102">
        <f t="shared" si="81"/>
        <v>0</v>
      </c>
      <c r="P198" s="102">
        <f t="shared" si="81"/>
        <v>0</v>
      </c>
      <c r="Q198" s="188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33"/>
      <c r="FU198" s="33"/>
      <c r="FV198" s="33"/>
      <c r="FW198" s="33"/>
      <c r="FX198" s="33"/>
      <c r="FY198" s="33"/>
      <c r="FZ198" s="33"/>
      <c r="GA198" s="33"/>
      <c r="GB198" s="33"/>
      <c r="GC198" s="33"/>
      <c r="GD198" s="33"/>
      <c r="GE198" s="33"/>
      <c r="GF198" s="33"/>
      <c r="GG198" s="33"/>
      <c r="GH198" s="33"/>
      <c r="GI198" s="33"/>
      <c r="GJ198" s="33"/>
      <c r="GK198" s="33"/>
      <c r="GL198" s="33"/>
      <c r="GM198" s="33"/>
      <c r="GN198" s="33"/>
      <c r="GO198" s="33"/>
      <c r="GP198" s="33"/>
      <c r="GQ198" s="33"/>
      <c r="GR198" s="33"/>
      <c r="GS198" s="33"/>
      <c r="GT198" s="33"/>
      <c r="GU198" s="33"/>
      <c r="GV198" s="33"/>
      <c r="GW198" s="33"/>
      <c r="GX198" s="33"/>
      <c r="GY198" s="33"/>
      <c r="GZ198" s="33"/>
      <c r="HA198" s="33"/>
      <c r="HB198" s="33"/>
      <c r="HC198" s="33"/>
      <c r="HD198" s="33"/>
      <c r="HE198" s="33"/>
      <c r="HF198" s="33"/>
      <c r="HG198" s="33"/>
      <c r="HH198" s="33"/>
      <c r="HI198" s="33"/>
      <c r="HJ198" s="33"/>
      <c r="HK198" s="33"/>
      <c r="HL198" s="33"/>
      <c r="HM198" s="33"/>
      <c r="HN198" s="33"/>
      <c r="HO198" s="33"/>
      <c r="HP198" s="33"/>
      <c r="HQ198" s="33"/>
      <c r="HR198" s="33"/>
      <c r="HS198" s="33"/>
      <c r="HT198" s="33"/>
      <c r="HU198" s="33"/>
      <c r="HV198" s="33"/>
      <c r="HW198" s="33"/>
      <c r="HX198" s="33"/>
      <c r="HY198" s="33"/>
      <c r="HZ198" s="33"/>
      <c r="IA198" s="33"/>
      <c r="IB198" s="33"/>
      <c r="IC198" s="33"/>
      <c r="ID198" s="33"/>
      <c r="IE198" s="33"/>
      <c r="IF198" s="33"/>
      <c r="IG198" s="33"/>
      <c r="IH198" s="33"/>
      <c r="II198" s="33"/>
      <c r="IJ198" s="33"/>
      <c r="IK198" s="33"/>
      <c r="IL198" s="33"/>
      <c r="IM198" s="33"/>
      <c r="IN198" s="33"/>
      <c r="IO198" s="33"/>
      <c r="IP198" s="33"/>
      <c r="IQ198" s="33"/>
      <c r="IR198" s="33"/>
      <c r="IS198" s="33"/>
      <c r="IT198" s="33"/>
      <c r="IU198" s="33"/>
      <c r="IV198" s="33"/>
      <c r="IW198" s="33"/>
      <c r="IX198" s="33"/>
      <c r="IY198" s="33"/>
      <c r="IZ198" s="33"/>
      <c r="JA198" s="33"/>
      <c r="JB198" s="33"/>
      <c r="JC198" s="33"/>
      <c r="JD198" s="33"/>
      <c r="JE198" s="33"/>
      <c r="JF198" s="33"/>
      <c r="JG198" s="33"/>
      <c r="JH198" s="33"/>
      <c r="JI198" s="33"/>
      <c r="JJ198" s="33"/>
      <c r="JK198" s="33"/>
      <c r="JL198" s="33"/>
      <c r="JM198" s="33"/>
      <c r="JN198" s="33"/>
      <c r="JO198" s="33"/>
      <c r="JP198" s="33"/>
      <c r="JQ198" s="33"/>
      <c r="JR198" s="33"/>
      <c r="JS198" s="33"/>
      <c r="JT198" s="33"/>
      <c r="JU198" s="33"/>
      <c r="JV198" s="33"/>
      <c r="JW198" s="33"/>
      <c r="JX198" s="33"/>
      <c r="JY198" s="33"/>
      <c r="JZ198" s="33"/>
      <c r="KA198" s="33"/>
      <c r="KB198" s="33"/>
      <c r="KC198" s="33"/>
      <c r="KD198" s="33"/>
      <c r="KE198" s="33"/>
      <c r="KF198" s="33"/>
      <c r="KG198" s="33"/>
      <c r="KH198" s="33"/>
      <c r="KI198" s="33"/>
      <c r="KJ198" s="33"/>
      <c r="KK198" s="33"/>
      <c r="KL198" s="33"/>
      <c r="KM198" s="33"/>
      <c r="KN198" s="33"/>
      <c r="KO198" s="33"/>
      <c r="KP198" s="33"/>
      <c r="KQ198" s="33"/>
      <c r="KR198" s="33"/>
      <c r="KS198" s="33"/>
      <c r="KT198" s="33"/>
      <c r="KU198" s="33"/>
      <c r="KV198" s="33"/>
      <c r="KW198" s="33"/>
      <c r="KX198" s="33"/>
      <c r="KY198" s="33"/>
      <c r="KZ198" s="33"/>
      <c r="LA198" s="33"/>
      <c r="LB198" s="33"/>
      <c r="LC198" s="33"/>
      <c r="LD198" s="33"/>
      <c r="LE198" s="33"/>
      <c r="LF198" s="33"/>
      <c r="LG198" s="33"/>
      <c r="LH198" s="33"/>
      <c r="LI198" s="33"/>
      <c r="LJ198" s="33"/>
      <c r="LK198" s="33"/>
      <c r="LL198" s="33"/>
      <c r="LM198" s="33"/>
      <c r="LN198" s="33"/>
      <c r="LO198" s="33"/>
      <c r="LP198" s="33"/>
      <c r="LQ198" s="33"/>
      <c r="LR198" s="33"/>
      <c r="LS198" s="33"/>
      <c r="LT198" s="33"/>
      <c r="LU198" s="33"/>
      <c r="LV198" s="33"/>
      <c r="LW198" s="33"/>
      <c r="LX198" s="33"/>
      <c r="LY198" s="33"/>
      <c r="LZ198" s="33"/>
      <c r="MA198" s="33"/>
      <c r="MB198" s="33"/>
      <c r="MC198" s="33"/>
      <c r="MD198" s="33"/>
      <c r="ME198" s="33"/>
      <c r="MF198" s="33"/>
      <c r="MG198" s="33"/>
      <c r="MH198" s="33"/>
      <c r="MI198" s="33"/>
      <c r="MJ198" s="33"/>
      <c r="MK198" s="33"/>
      <c r="ML198" s="33"/>
      <c r="MM198" s="33"/>
      <c r="MN198" s="33"/>
      <c r="MO198" s="33"/>
      <c r="MP198" s="33"/>
      <c r="MQ198" s="33"/>
      <c r="MR198" s="33"/>
      <c r="MS198" s="33"/>
      <c r="MT198" s="33"/>
      <c r="MU198" s="33"/>
      <c r="MV198" s="33"/>
      <c r="MW198" s="33"/>
      <c r="MX198" s="33"/>
      <c r="MY198" s="33"/>
      <c r="MZ198" s="33"/>
      <c r="NA198" s="33"/>
      <c r="NB198" s="33"/>
      <c r="NC198" s="33"/>
      <c r="ND198" s="33"/>
      <c r="NE198" s="33"/>
      <c r="NF198" s="33"/>
      <c r="NG198" s="33"/>
      <c r="NH198" s="33"/>
      <c r="NI198" s="33"/>
      <c r="NJ198" s="33"/>
      <c r="NK198" s="33"/>
      <c r="NL198" s="33"/>
      <c r="NM198" s="33"/>
      <c r="NN198" s="33"/>
      <c r="NO198" s="33"/>
      <c r="NP198" s="33"/>
      <c r="NQ198" s="33"/>
      <c r="NR198" s="33"/>
      <c r="NS198" s="33"/>
      <c r="NT198" s="33"/>
      <c r="NU198" s="33"/>
      <c r="NV198" s="33"/>
      <c r="NW198" s="33"/>
      <c r="NX198" s="33"/>
      <c r="NY198" s="33"/>
      <c r="NZ198" s="33"/>
      <c r="OA198" s="33"/>
      <c r="OB198" s="33"/>
      <c r="OC198" s="33"/>
      <c r="OD198" s="33"/>
      <c r="OE198" s="33"/>
      <c r="OF198" s="33"/>
      <c r="OG198" s="33"/>
      <c r="OH198" s="33"/>
      <c r="OI198" s="33"/>
      <c r="OJ198" s="33"/>
      <c r="OK198" s="33"/>
      <c r="OL198" s="33"/>
      <c r="OM198" s="33"/>
      <c r="ON198" s="33"/>
      <c r="OO198" s="33"/>
      <c r="OP198" s="33"/>
      <c r="OQ198" s="33"/>
      <c r="OR198" s="33"/>
      <c r="OS198" s="33"/>
      <c r="OT198" s="33"/>
      <c r="OU198" s="33"/>
      <c r="OV198" s="33"/>
      <c r="OW198" s="33"/>
      <c r="OX198" s="33"/>
      <c r="OY198" s="33"/>
      <c r="OZ198" s="33"/>
      <c r="PA198" s="33"/>
      <c r="PB198" s="33"/>
      <c r="PC198" s="33"/>
      <c r="PD198" s="33"/>
      <c r="PE198" s="33"/>
      <c r="PF198" s="33"/>
      <c r="PG198" s="33"/>
      <c r="PH198" s="33"/>
      <c r="PI198" s="33"/>
      <c r="PJ198" s="33"/>
      <c r="PK198" s="33"/>
      <c r="PL198" s="33"/>
      <c r="PM198" s="33"/>
      <c r="PN198" s="33"/>
      <c r="PO198" s="33"/>
      <c r="PP198" s="33"/>
      <c r="PQ198" s="33"/>
      <c r="PR198" s="33"/>
      <c r="PS198" s="33"/>
      <c r="PT198" s="33"/>
      <c r="PU198" s="33"/>
      <c r="PV198" s="33"/>
      <c r="PW198" s="33"/>
      <c r="PX198" s="33"/>
      <c r="PY198" s="33"/>
      <c r="PZ198" s="33"/>
      <c r="QA198" s="33"/>
      <c r="QB198" s="33"/>
      <c r="QC198" s="33"/>
      <c r="QD198" s="33"/>
      <c r="QE198" s="33"/>
      <c r="QF198" s="33"/>
      <c r="QG198" s="33"/>
      <c r="QH198" s="33"/>
      <c r="QI198" s="33"/>
      <c r="QJ198" s="33"/>
      <c r="QK198" s="33"/>
      <c r="QL198" s="33"/>
      <c r="QM198" s="33"/>
      <c r="QN198" s="33"/>
      <c r="QO198" s="33"/>
      <c r="QP198" s="33"/>
      <c r="QQ198" s="33"/>
      <c r="QR198" s="33"/>
      <c r="QS198" s="33"/>
      <c r="QT198" s="33"/>
      <c r="QU198" s="33"/>
      <c r="QV198" s="33"/>
      <c r="QW198" s="33"/>
      <c r="QX198" s="33"/>
      <c r="QY198" s="33"/>
      <c r="QZ198" s="33"/>
      <c r="RA198" s="33"/>
      <c r="RB198" s="33"/>
      <c r="RC198" s="33"/>
      <c r="RD198" s="33"/>
      <c r="RE198" s="33"/>
      <c r="RF198" s="33"/>
      <c r="RG198" s="33"/>
      <c r="RH198" s="33"/>
      <c r="RI198" s="33"/>
      <c r="RJ198" s="33"/>
      <c r="RK198" s="33"/>
      <c r="RL198" s="33"/>
      <c r="RM198" s="33"/>
      <c r="RN198" s="33"/>
      <c r="RO198" s="33"/>
      <c r="RP198" s="33"/>
      <c r="RQ198" s="33"/>
      <c r="RR198" s="33"/>
      <c r="RS198" s="33"/>
      <c r="RT198" s="33"/>
      <c r="RU198" s="33"/>
      <c r="RV198" s="33"/>
      <c r="RW198" s="33"/>
      <c r="RX198" s="33"/>
      <c r="RY198" s="33"/>
      <c r="RZ198" s="33"/>
      <c r="SA198" s="33"/>
      <c r="SB198" s="33"/>
      <c r="SC198" s="33"/>
      <c r="SD198" s="33"/>
      <c r="SE198" s="33"/>
      <c r="SF198" s="33"/>
      <c r="SG198" s="33"/>
      <c r="SH198" s="33"/>
      <c r="SI198" s="33"/>
      <c r="SJ198" s="33"/>
      <c r="SK198" s="33"/>
      <c r="SL198" s="33"/>
      <c r="SM198" s="33"/>
      <c r="SN198" s="33"/>
      <c r="SO198" s="33"/>
      <c r="SP198" s="33"/>
      <c r="SQ198" s="33"/>
      <c r="SR198" s="33"/>
      <c r="SS198" s="33"/>
      <c r="ST198" s="33"/>
      <c r="SU198" s="33"/>
      <c r="SV198" s="33"/>
      <c r="SW198" s="33"/>
      <c r="SX198" s="33"/>
      <c r="SY198" s="33"/>
      <c r="SZ198" s="33"/>
      <c r="TA198" s="33"/>
      <c r="TB198" s="33"/>
      <c r="TC198" s="33"/>
      <c r="TD198" s="33"/>
      <c r="TE198" s="33"/>
      <c r="TF198" s="33"/>
      <c r="TG198" s="33"/>
    </row>
    <row r="199" spans="1:527" s="22" customFormat="1" ht="47.25" x14ac:dyDescent="0.25">
      <c r="A199" s="60" t="s">
        <v>192</v>
      </c>
      <c r="B199" s="97" t="str">
        <f>'дод 5'!A20</f>
        <v>0160</v>
      </c>
      <c r="C199" s="97" t="str">
        <f>'дод 5'!B20</f>
        <v>0111</v>
      </c>
      <c r="D199" s="36" t="s">
        <v>503</v>
      </c>
      <c r="E199" s="103">
        <f>F199+I199</f>
        <v>5705981</v>
      </c>
      <c r="F199" s="103">
        <f>5689700+12000+4281</f>
        <v>5705981</v>
      </c>
      <c r="G199" s="103">
        <v>4491300</v>
      </c>
      <c r="H199" s="103">
        <f>51600+4281</f>
        <v>55881</v>
      </c>
      <c r="I199" s="103"/>
      <c r="J199" s="103">
        <f>L199+O199</f>
        <v>0</v>
      </c>
      <c r="K199" s="103">
        <f>12000-12000</f>
        <v>0</v>
      </c>
      <c r="L199" s="103"/>
      <c r="M199" s="103"/>
      <c r="N199" s="103"/>
      <c r="O199" s="103">
        <f>12000-12000</f>
        <v>0</v>
      </c>
      <c r="P199" s="103">
        <f>E199+J199</f>
        <v>5705981</v>
      </c>
      <c r="Q199" s="188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  <c r="TF199" s="23"/>
      <c r="TG199" s="23"/>
    </row>
    <row r="200" spans="1:527" s="22" customFormat="1" ht="63" x14ac:dyDescent="0.25">
      <c r="A200" s="60" t="s">
        <v>336</v>
      </c>
      <c r="B200" s="97">
        <v>3111</v>
      </c>
      <c r="C200" s="97">
        <v>1040</v>
      </c>
      <c r="D200" s="36" t="str">
        <f>'дод 5'!C113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00" s="103">
        <f>F200+I200</f>
        <v>91140</v>
      </c>
      <c r="F200" s="103">
        <f>50000+21140+20000</f>
        <v>91140</v>
      </c>
      <c r="G200" s="103"/>
      <c r="H200" s="103"/>
      <c r="I200" s="103"/>
      <c r="J200" s="103">
        <f t="shared" ref="J200:J203" si="82">L200+O200</f>
        <v>0</v>
      </c>
      <c r="K200" s="103">
        <f>21140-21140</f>
        <v>0</v>
      </c>
      <c r="L200" s="103"/>
      <c r="M200" s="103"/>
      <c r="N200" s="103"/>
      <c r="O200" s="103">
        <f>21140-21140</f>
        <v>0</v>
      </c>
      <c r="P200" s="103">
        <f>E200+J200</f>
        <v>91140</v>
      </c>
      <c r="Q200" s="188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</row>
    <row r="201" spans="1:527" s="22" customFormat="1" ht="31.5" customHeight="1" x14ac:dyDescent="0.25">
      <c r="A201" s="60" t="s">
        <v>193</v>
      </c>
      <c r="B201" s="97" t="str">
        <f>'дод 5'!A114</f>
        <v>3112</v>
      </c>
      <c r="C201" s="97" t="str">
        <f>'дод 5'!B114</f>
        <v>1040</v>
      </c>
      <c r="D201" s="61" t="str">
        <f>'дод 5'!C114</f>
        <v>Заходи державної політики з питань дітей та їх соціального захисту</v>
      </c>
      <c r="E201" s="103">
        <f>F201+I201</f>
        <v>93040</v>
      </c>
      <c r="F201" s="103">
        <f>96240-3200</f>
        <v>93040</v>
      </c>
      <c r="G201" s="103"/>
      <c r="H201" s="103"/>
      <c r="I201" s="103"/>
      <c r="J201" s="103">
        <f t="shared" si="82"/>
        <v>0</v>
      </c>
      <c r="K201" s="103"/>
      <c r="L201" s="103"/>
      <c r="M201" s="103"/>
      <c r="N201" s="103"/>
      <c r="O201" s="103"/>
      <c r="P201" s="103">
        <f>E201+J201</f>
        <v>93040</v>
      </c>
      <c r="Q201" s="188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</row>
    <row r="202" spans="1:527" s="22" customFormat="1" ht="94.5" x14ac:dyDescent="0.25">
      <c r="A202" s="60" t="s">
        <v>440</v>
      </c>
      <c r="B202" s="97">
        <v>6083</v>
      </c>
      <c r="C202" s="60" t="s">
        <v>69</v>
      </c>
      <c r="D202" s="11" t="s">
        <v>441</v>
      </c>
      <c r="E202" s="103">
        <f>F202+I202</f>
        <v>0</v>
      </c>
      <c r="F202" s="103"/>
      <c r="G202" s="103"/>
      <c r="H202" s="103"/>
      <c r="I202" s="103"/>
      <c r="J202" s="103">
        <f t="shared" si="82"/>
        <v>33200</v>
      </c>
      <c r="K202" s="103">
        <f>30000+3200</f>
        <v>33200</v>
      </c>
      <c r="L202" s="103"/>
      <c r="M202" s="103"/>
      <c r="N202" s="103"/>
      <c r="O202" s="103">
        <f>30000+3200</f>
        <v>33200</v>
      </c>
      <c r="P202" s="103">
        <f>E202+J202</f>
        <v>33200</v>
      </c>
      <c r="Q202" s="188">
        <v>14</v>
      </c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  <c r="TF202" s="23"/>
      <c r="TG202" s="23"/>
    </row>
    <row r="203" spans="1:527" s="24" customFormat="1" ht="126" hidden="1" customHeight="1" x14ac:dyDescent="0.25">
      <c r="A203" s="88"/>
      <c r="B203" s="115"/>
      <c r="C203" s="88"/>
      <c r="D203" s="94" t="s">
        <v>448</v>
      </c>
      <c r="E203" s="103">
        <f>F203+I203</f>
        <v>0</v>
      </c>
      <c r="F203" s="105"/>
      <c r="G203" s="105"/>
      <c r="H203" s="105"/>
      <c r="I203" s="105"/>
      <c r="J203" s="103">
        <f t="shared" si="82"/>
        <v>0</v>
      </c>
      <c r="K203" s="105"/>
      <c r="L203" s="105"/>
      <c r="M203" s="105"/>
      <c r="N203" s="105"/>
      <c r="O203" s="105"/>
      <c r="P203" s="103">
        <f>E203+J203</f>
        <v>0</v>
      </c>
      <c r="Q203" s="188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  <c r="IW203" s="30"/>
      <c r="IX203" s="30"/>
      <c r="IY203" s="30"/>
      <c r="IZ203" s="30"/>
      <c r="JA203" s="30"/>
      <c r="JB203" s="30"/>
      <c r="JC203" s="30"/>
      <c r="JD203" s="30"/>
      <c r="JE203" s="30"/>
      <c r="JF203" s="30"/>
      <c r="JG203" s="30"/>
      <c r="JH203" s="30"/>
      <c r="JI203" s="30"/>
      <c r="JJ203" s="30"/>
      <c r="JK203" s="30"/>
      <c r="JL203" s="30"/>
      <c r="JM203" s="30"/>
      <c r="JN203" s="30"/>
      <c r="JO203" s="30"/>
      <c r="JP203" s="30"/>
      <c r="JQ203" s="30"/>
      <c r="JR203" s="30"/>
      <c r="JS203" s="30"/>
      <c r="JT203" s="30"/>
      <c r="JU203" s="30"/>
      <c r="JV203" s="30"/>
      <c r="JW203" s="30"/>
      <c r="JX203" s="30"/>
      <c r="JY203" s="30"/>
      <c r="JZ203" s="30"/>
      <c r="KA203" s="30"/>
      <c r="KB203" s="30"/>
      <c r="KC203" s="30"/>
      <c r="KD203" s="30"/>
      <c r="KE203" s="30"/>
      <c r="KF203" s="30"/>
      <c r="KG203" s="30"/>
      <c r="KH203" s="30"/>
      <c r="KI203" s="30"/>
      <c r="KJ203" s="30"/>
      <c r="KK203" s="30"/>
      <c r="KL203" s="30"/>
      <c r="KM203" s="30"/>
      <c r="KN203" s="30"/>
      <c r="KO203" s="30"/>
      <c r="KP203" s="30"/>
      <c r="KQ203" s="30"/>
      <c r="KR203" s="30"/>
      <c r="KS203" s="30"/>
      <c r="KT203" s="30"/>
      <c r="KU203" s="30"/>
      <c r="KV203" s="30"/>
      <c r="KW203" s="30"/>
      <c r="KX203" s="30"/>
      <c r="KY203" s="30"/>
      <c r="KZ203" s="30"/>
      <c r="LA203" s="30"/>
      <c r="LB203" s="30"/>
      <c r="LC203" s="30"/>
      <c r="LD203" s="30"/>
      <c r="LE203" s="30"/>
      <c r="LF203" s="30"/>
      <c r="LG203" s="30"/>
      <c r="LH203" s="30"/>
      <c r="LI203" s="30"/>
      <c r="LJ203" s="30"/>
      <c r="LK203" s="30"/>
      <c r="LL203" s="30"/>
      <c r="LM203" s="30"/>
      <c r="LN203" s="30"/>
      <c r="LO203" s="30"/>
      <c r="LP203" s="30"/>
      <c r="LQ203" s="30"/>
      <c r="LR203" s="30"/>
      <c r="LS203" s="30"/>
      <c r="LT203" s="30"/>
      <c r="LU203" s="30"/>
      <c r="LV203" s="30"/>
      <c r="LW203" s="30"/>
      <c r="LX203" s="30"/>
      <c r="LY203" s="30"/>
      <c r="LZ203" s="30"/>
      <c r="MA203" s="30"/>
      <c r="MB203" s="30"/>
      <c r="MC203" s="30"/>
      <c r="MD203" s="30"/>
      <c r="ME203" s="30"/>
      <c r="MF203" s="30"/>
      <c r="MG203" s="30"/>
      <c r="MH203" s="30"/>
      <c r="MI203" s="30"/>
      <c r="MJ203" s="30"/>
      <c r="MK203" s="30"/>
      <c r="ML203" s="30"/>
      <c r="MM203" s="30"/>
      <c r="MN203" s="30"/>
      <c r="MO203" s="30"/>
      <c r="MP203" s="30"/>
      <c r="MQ203" s="30"/>
      <c r="MR203" s="30"/>
      <c r="MS203" s="30"/>
      <c r="MT203" s="30"/>
      <c r="MU203" s="30"/>
      <c r="MV203" s="30"/>
      <c r="MW203" s="30"/>
      <c r="MX203" s="30"/>
      <c r="MY203" s="30"/>
      <c r="MZ203" s="30"/>
      <c r="NA203" s="30"/>
      <c r="NB203" s="30"/>
      <c r="NC203" s="30"/>
      <c r="ND203" s="30"/>
      <c r="NE203" s="30"/>
      <c r="NF203" s="30"/>
      <c r="NG203" s="30"/>
      <c r="NH203" s="30"/>
      <c r="NI203" s="30"/>
      <c r="NJ203" s="30"/>
      <c r="NK203" s="30"/>
      <c r="NL203" s="30"/>
      <c r="NM203" s="30"/>
      <c r="NN203" s="30"/>
      <c r="NO203" s="30"/>
      <c r="NP203" s="30"/>
      <c r="NQ203" s="30"/>
      <c r="NR203" s="30"/>
      <c r="NS203" s="30"/>
      <c r="NT203" s="30"/>
      <c r="NU203" s="30"/>
      <c r="NV203" s="30"/>
      <c r="NW203" s="30"/>
      <c r="NX203" s="30"/>
      <c r="NY203" s="30"/>
      <c r="NZ203" s="30"/>
      <c r="OA203" s="30"/>
      <c r="OB203" s="30"/>
      <c r="OC203" s="30"/>
      <c r="OD203" s="30"/>
      <c r="OE203" s="30"/>
      <c r="OF203" s="30"/>
      <c r="OG203" s="30"/>
      <c r="OH203" s="30"/>
      <c r="OI203" s="30"/>
      <c r="OJ203" s="30"/>
      <c r="OK203" s="30"/>
      <c r="OL203" s="30"/>
      <c r="OM203" s="30"/>
      <c r="ON203" s="30"/>
      <c r="OO203" s="30"/>
      <c r="OP203" s="30"/>
      <c r="OQ203" s="30"/>
      <c r="OR203" s="30"/>
      <c r="OS203" s="30"/>
      <c r="OT203" s="30"/>
      <c r="OU203" s="30"/>
      <c r="OV203" s="30"/>
      <c r="OW203" s="30"/>
      <c r="OX203" s="30"/>
      <c r="OY203" s="30"/>
      <c r="OZ203" s="30"/>
      <c r="PA203" s="30"/>
      <c r="PB203" s="30"/>
      <c r="PC203" s="30"/>
      <c r="PD203" s="30"/>
      <c r="PE203" s="30"/>
      <c r="PF203" s="30"/>
      <c r="PG203" s="30"/>
      <c r="PH203" s="30"/>
      <c r="PI203" s="30"/>
      <c r="PJ203" s="30"/>
      <c r="PK203" s="30"/>
      <c r="PL203" s="30"/>
      <c r="PM203" s="30"/>
      <c r="PN203" s="30"/>
      <c r="PO203" s="30"/>
      <c r="PP203" s="30"/>
      <c r="PQ203" s="30"/>
      <c r="PR203" s="30"/>
      <c r="PS203" s="30"/>
      <c r="PT203" s="30"/>
      <c r="PU203" s="30"/>
      <c r="PV203" s="30"/>
      <c r="PW203" s="30"/>
      <c r="PX203" s="30"/>
      <c r="PY203" s="30"/>
      <c r="PZ203" s="30"/>
      <c r="QA203" s="30"/>
      <c r="QB203" s="30"/>
      <c r="QC203" s="30"/>
      <c r="QD203" s="30"/>
      <c r="QE203" s="30"/>
      <c r="QF203" s="30"/>
      <c r="QG203" s="30"/>
      <c r="QH203" s="30"/>
      <c r="QI203" s="30"/>
      <c r="QJ203" s="30"/>
      <c r="QK203" s="30"/>
      <c r="QL203" s="30"/>
      <c r="QM203" s="30"/>
      <c r="QN203" s="30"/>
      <c r="QO203" s="30"/>
      <c r="QP203" s="30"/>
      <c r="QQ203" s="30"/>
      <c r="QR203" s="30"/>
      <c r="QS203" s="30"/>
      <c r="QT203" s="30"/>
      <c r="QU203" s="30"/>
      <c r="QV203" s="30"/>
      <c r="QW203" s="30"/>
      <c r="QX203" s="30"/>
      <c r="QY203" s="30"/>
      <c r="QZ203" s="30"/>
      <c r="RA203" s="30"/>
      <c r="RB203" s="30"/>
      <c r="RC203" s="30"/>
      <c r="RD203" s="30"/>
      <c r="RE203" s="30"/>
      <c r="RF203" s="30"/>
      <c r="RG203" s="30"/>
      <c r="RH203" s="30"/>
      <c r="RI203" s="30"/>
      <c r="RJ203" s="30"/>
      <c r="RK203" s="30"/>
      <c r="RL203" s="30"/>
      <c r="RM203" s="30"/>
      <c r="RN203" s="30"/>
      <c r="RO203" s="30"/>
      <c r="RP203" s="30"/>
      <c r="RQ203" s="30"/>
      <c r="RR203" s="30"/>
      <c r="RS203" s="30"/>
      <c r="RT203" s="30"/>
      <c r="RU203" s="30"/>
      <c r="RV203" s="30"/>
      <c r="RW203" s="30"/>
      <c r="RX203" s="30"/>
      <c r="RY203" s="30"/>
      <c r="RZ203" s="30"/>
      <c r="SA203" s="30"/>
      <c r="SB203" s="30"/>
      <c r="SC203" s="30"/>
      <c r="SD203" s="30"/>
      <c r="SE203" s="30"/>
      <c r="SF203" s="30"/>
      <c r="SG203" s="30"/>
      <c r="SH203" s="30"/>
      <c r="SI203" s="30"/>
      <c r="SJ203" s="30"/>
      <c r="SK203" s="30"/>
      <c r="SL203" s="30"/>
      <c r="SM203" s="30"/>
      <c r="SN203" s="30"/>
      <c r="SO203" s="30"/>
      <c r="SP203" s="30"/>
      <c r="SQ203" s="30"/>
      <c r="SR203" s="30"/>
      <c r="SS203" s="30"/>
      <c r="ST203" s="30"/>
      <c r="SU203" s="30"/>
      <c r="SV203" s="30"/>
      <c r="SW203" s="30"/>
      <c r="SX203" s="30"/>
      <c r="SY203" s="30"/>
      <c r="SZ203" s="30"/>
      <c r="TA203" s="30"/>
      <c r="TB203" s="30"/>
      <c r="TC203" s="30"/>
      <c r="TD203" s="30"/>
      <c r="TE203" s="30"/>
      <c r="TF203" s="30"/>
      <c r="TG203" s="30"/>
    </row>
    <row r="204" spans="1:527" s="27" customFormat="1" ht="22.5" customHeight="1" x14ac:dyDescent="0.25">
      <c r="A204" s="114" t="s">
        <v>27</v>
      </c>
      <c r="B204" s="116"/>
      <c r="C204" s="116"/>
      <c r="D204" s="111" t="s">
        <v>337</v>
      </c>
      <c r="E204" s="99">
        <f>E205</f>
        <v>81903057</v>
      </c>
      <c r="F204" s="99">
        <f t="shared" ref="F204:J204" si="83">F205</f>
        <v>81903057</v>
      </c>
      <c r="G204" s="99">
        <f t="shared" si="83"/>
        <v>62366800</v>
      </c>
      <c r="H204" s="99">
        <f t="shared" si="83"/>
        <v>2305157</v>
      </c>
      <c r="I204" s="99">
        <f t="shared" si="83"/>
        <v>0</v>
      </c>
      <c r="J204" s="99">
        <f t="shared" si="83"/>
        <v>5080600</v>
      </c>
      <c r="K204" s="99">
        <f t="shared" ref="K204" si="84">K205</f>
        <v>2320500</v>
      </c>
      <c r="L204" s="99">
        <f t="shared" ref="L204" si="85">L205</f>
        <v>2756970</v>
      </c>
      <c r="M204" s="99">
        <f t="shared" ref="M204" si="86">M205</f>
        <v>2239004</v>
      </c>
      <c r="N204" s="99">
        <f t="shared" ref="N204" si="87">N205</f>
        <v>3300</v>
      </c>
      <c r="O204" s="99">
        <f t="shared" ref="O204:P204" si="88">O205</f>
        <v>2323630</v>
      </c>
      <c r="P204" s="99">
        <f t="shared" si="88"/>
        <v>86983657</v>
      </c>
      <c r="Q204" s="188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/>
      <c r="DY204" s="32"/>
      <c r="DZ204" s="32"/>
      <c r="EA204" s="32"/>
      <c r="EB204" s="32"/>
      <c r="EC204" s="32"/>
      <c r="ED204" s="32"/>
      <c r="EE204" s="32"/>
      <c r="EF204" s="32"/>
      <c r="EG204" s="32"/>
      <c r="EH204" s="32"/>
      <c r="EI204" s="32"/>
      <c r="EJ204" s="32"/>
      <c r="EK204" s="32"/>
      <c r="EL204" s="32"/>
      <c r="EM204" s="32"/>
      <c r="EN204" s="32"/>
      <c r="EO204" s="32"/>
      <c r="EP204" s="32"/>
      <c r="EQ204" s="32"/>
      <c r="ER204" s="32"/>
      <c r="ES204" s="32"/>
      <c r="ET204" s="32"/>
      <c r="EU204" s="32"/>
      <c r="EV204" s="32"/>
      <c r="EW204" s="32"/>
      <c r="EX204" s="32"/>
      <c r="EY204" s="32"/>
      <c r="EZ204" s="32"/>
      <c r="FA204" s="32"/>
      <c r="FB204" s="32"/>
      <c r="FC204" s="32"/>
      <c r="FD204" s="32"/>
      <c r="FE204" s="32"/>
      <c r="FF204" s="32"/>
      <c r="FG204" s="32"/>
      <c r="FH204" s="32"/>
      <c r="FI204" s="32"/>
      <c r="FJ204" s="32"/>
      <c r="FK204" s="32"/>
      <c r="FL204" s="32"/>
      <c r="FM204" s="32"/>
      <c r="FN204" s="32"/>
      <c r="FO204" s="32"/>
      <c r="FP204" s="32"/>
      <c r="FQ204" s="32"/>
      <c r="FR204" s="32"/>
      <c r="FS204" s="32"/>
      <c r="FT204" s="32"/>
      <c r="FU204" s="32"/>
      <c r="FV204" s="32"/>
      <c r="FW204" s="32"/>
      <c r="FX204" s="32"/>
      <c r="FY204" s="32"/>
      <c r="FZ204" s="32"/>
      <c r="GA204" s="32"/>
      <c r="GB204" s="32"/>
      <c r="GC204" s="32"/>
      <c r="GD204" s="32"/>
      <c r="GE204" s="32"/>
      <c r="GF204" s="32"/>
      <c r="GG204" s="32"/>
      <c r="GH204" s="32"/>
      <c r="GI204" s="32"/>
      <c r="GJ204" s="32"/>
      <c r="GK204" s="32"/>
      <c r="GL204" s="32"/>
      <c r="GM204" s="32"/>
      <c r="GN204" s="32"/>
      <c r="GO204" s="32"/>
      <c r="GP204" s="32"/>
      <c r="GQ204" s="32"/>
      <c r="GR204" s="32"/>
      <c r="GS204" s="32"/>
      <c r="GT204" s="32"/>
      <c r="GU204" s="32"/>
      <c r="GV204" s="32"/>
      <c r="GW204" s="32"/>
      <c r="GX204" s="32"/>
      <c r="GY204" s="32"/>
      <c r="GZ204" s="32"/>
      <c r="HA204" s="32"/>
      <c r="HB204" s="32"/>
      <c r="HC204" s="32"/>
      <c r="HD204" s="32"/>
      <c r="HE204" s="32"/>
      <c r="HF204" s="32"/>
      <c r="HG204" s="32"/>
      <c r="HH204" s="32"/>
      <c r="HI204" s="32"/>
      <c r="HJ204" s="32"/>
      <c r="HK204" s="32"/>
      <c r="HL204" s="32"/>
      <c r="HM204" s="32"/>
      <c r="HN204" s="32"/>
      <c r="HO204" s="32"/>
      <c r="HP204" s="32"/>
      <c r="HQ204" s="32"/>
      <c r="HR204" s="32"/>
      <c r="HS204" s="32"/>
      <c r="HT204" s="32"/>
      <c r="HU204" s="32"/>
      <c r="HV204" s="32"/>
      <c r="HW204" s="32"/>
      <c r="HX204" s="32"/>
      <c r="HY204" s="32"/>
      <c r="HZ204" s="32"/>
      <c r="IA204" s="32"/>
      <c r="IB204" s="32"/>
      <c r="IC204" s="32"/>
      <c r="ID204" s="32"/>
      <c r="IE204" s="32"/>
      <c r="IF204" s="32"/>
      <c r="IG204" s="32"/>
      <c r="IH204" s="32"/>
      <c r="II204" s="32"/>
      <c r="IJ204" s="32"/>
      <c r="IK204" s="32"/>
      <c r="IL204" s="32"/>
      <c r="IM204" s="32"/>
      <c r="IN204" s="32"/>
      <c r="IO204" s="32"/>
      <c r="IP204" s="32"/>
      <c r="IQ204" s="32"/>
      <c r="IR204" s="32"/>
      <c r="IS204" s="32"/>
      <c r="IT204" s="32"/>
      <c r="IU204" s="32"/>
      <c r="IV204" s="32"/>
      <c r="IW204" s="32"/>
      <c r="IX204" s="32"/>
      <c r="IY204" s="32"/>
      <c r="IZ204" s="32"/>
      <c r="JA204" s="32"/>
      <c r="JB204" s="32"/>
      <c r="JC204" s="32"/>
      <c r="JD204" s="32"/>
      <c r="JE204" s="32"/>
      <c r="JF204" s="32"/>
      <c r="JG204" s="32"/>
      <c r="JH204" s="32"/>
      <c r="JI204" s="32"/>
      <c r="JJ204" s="32"/>
      <c r="JK204" s="32"/>
      <c r="JL204" s="32"/>
      <c r="JM204" s="32"/>
      <c r="JN204" s="32"/>
      <c r="JO204" s="32"/>
      <c r="JP204" s="32"/>
      <c r="JQ204" s="32"/>
      <c r="JR204" s="32"/>
      <c r="JS204" s="32"/>
      <c r="JT204" s="32"/>
      <c r="JU204" s="32"/>
      <c r="JV204" s="32"/>
      <c r="JW204" s="32"/>
      <c r="JX204" s="32"/>
      <c r="JY204" s="32"/>
      <c r="JZ204" s="32"/>
      <c r="KA204" s="32"/>
      <c r="KB204" s="32"/>
      <c r="KC204" s="32"/>
      <c r="KD204" s="32"/>
      <c r="KE204" s="32"/>
      <c r="KF204" s="32"/>
      <c r="KG204" s="32"/>
      <c r="KH204" s="32"/>
      <c r="KI204" s="32"/>
      <c r="KJ204" s="32"/>
      <c r="KK204" s="32"/>
      <c r="KL204" s="32"/>
      <c r="KM204" s="32"/>
      <c r="KN204" s="32"/>
      <c r="KO204" s="32"/>
      <c r="KP204" s="32"/>
      <c r="KQ204" s="32"/>
      <c r="KR204" s="32"/>
      <c r="KS204" s="32"/>
      <c r="KT204" s="32"/>
      <c r="KU204" s="32"/>
      <c r="KV204" s="32"/>
      <c r="KW204" s="32"/>
      <c r="KX204" s="32"/>
      <c r="KY204" s="32"/>
      <c r="KZ204" s="32"/>
      <c r="LA204" s="32"/>
      <c r="LB204" s="32"/>
      <c r="LC204" s="32"/>
      <c r="LD204" s="32"/>
      <c r="LE204" s="32"/>
      <c r="LF204" s="32"/>
      <c r="LG204" s="32"/>
      <c r="LH204" s="32"/>
      <c r="LI204" s="32"/>
      <c r="LJ204" s="32"/>
      <c r="LK204" s="32"/>
      <c r="LL204" s="32"/>
      <c r="LM204" s="32"/>
      <c r="LN204" s="32"/>
      <c r="LO204" s="32"/>
      <c r="LP204" s="32"/>
      <c r="LQ204" s="32"/>
      <c r="LR204" s="32"/>
      <c r="LS204" s="32"/>
      <c r="LT204" s="32"/>
      <c r="LU204" s="32"/>
      <c r="LV204" s="32"/>
      <c r="LW204" s="32"/>
      <c r="LX204" s="32"/>
      <c r="LY204" s="32"/>
      <c r="LZ204" s="32"/>
      <c r="MA204" s="32"/>
      <c r="MB204" s="32"/>
      <c r="MC204" s="32"/>
      <c r="MD204" s="32"/>
      <c r="ME204" s="32"/>
      <c r="MF204" s="32"/>
      <c r="MG204" s="32"/>
      <c r="MH204" s="32"/>
      <c r="MI204" s="32"/>
      <c r="MJ204" s="32"/>
      <c r="MK204" s="32"/>
      <c r="ML204" s="32"/>
      <c r="MM204" s="32"/>
      <c r="MN204" s="32"/>
      <c r="MO204" s="32"/>
      <c r="MP204" s="32"/>
      <c r="MQ204" s="32"/>
      <c r="MR204" s="32"/>
      <c r="MS204" s="32"/>
      <c r="MT204" s="32"/>
      <c r="MU204" s="32"/>
      <c r="MV204" s="32"/>
      <c r="MW204" s="32"/>
      <c r="MX204" s="32"/>
      <c r="MY204" s="32"/>
      <c r="MZ204" s="32"/>
      <c r="NA204" s="32"/>
      <c r="NB204" s="32"/>
      <c r="NC204" s="32"/>
      <c r="ND204" s="32"/>
      <c r="NE204" s="32"/>
      <c r="NF204" s="32"/>
      <c r="NG204" s="32"/>
      <c r="NH204" s="32"/>
      <c r="NI204" s="32"/>
      <c r="NJ204" s="32"/>
      <c r="NK204" s="32"/>
      <c r="NL204" s="32"/>
      <c r="NM204" s="32"/>
      <c r="NN204" s="32"/>
      <c r="NO204" s="32"/>
      <c r="NP204" s="32"/>
      <c r="NQ204" s="32"/>
      <c r="NR204" s="32"/>
      <c r="NS204" s="32"/>
      <c r="NT204" s="32"/>
      <c r="NU204" s="32"/>
      <c r="NV204" s="32"/>
      <c r="NW204" s="32"/>
      <c r="NX204" s="32"/>
      <c r="NY204" s="32"/>
      <c r="NZ204" s="32"/>
      <c r="OA204" s="32"/>
      <c r="OB204" s="32"/>
      <c r="OC204" s="32"/>
      <c r="OD204" s="32"/>
      <c r="OE204" s="32"/>
      <c r="OF204" s="32"/>
      <c r="OG204" s="32"/>
      <c r="OH204" s="32"/>
      <c r="OI204" s="32"/>
      <c r="OJ204" s="32"/>
      <c r="OK204" s="32"/>
      <c r="OL204" s="32"/>
      <c r="OM204" s="32"/>
      <c r="ON204" s="32"/>
      <c r="OO204" s="32"/>
      <c r="OP204" s="32"/>
      <c r="OQ204" s="32"/>
      <c r="OR204" s="32"/>
      <c r="OS204" s="32"/>
      <c r="OT204" s="32"/>
      <c r="OU204" s="32"/>
      <c r="OV204" s="32"/>
      <c r="OW204" s="32"/>
      <c r="OX204" s="32"/>
      <c r="OY204" s="32"/>
      <c r="OZ204" s="32"/>
      <c r="PA204" s="32"/>
      <c r="PB204" s="32"/>
      <c r="PC204" s="32"/>
      <c r="PD204" s="32"/>
      <c r="PE204" s="32"/>
      <c r="PF204" s="32"/>
      <c r="PG204" s="32"/>
      <c r="PH204" s="32"/>
      <c r="PI204" s="32"/>
      <c r="PJ204" s="32"/>
      <c r="PK204" s="32"/>
      <c r="PL204" s="32"/>
      <c r="PM204" s="32"/>
      <c r="PN204" s="32"/>
      <c r="PO204" s="32"/>
      <c r="PP204" s="32"/>
      <c r="PQ204" s="32"/>
      <c r="PR204" s="32"/>
      <c r="PS204" s="32"/>
      <c r="PT204" s="32"/>
      <c r="PU204" s="32"/>
      <c r="PV204" s="32"/>
      <c r="PW204" s="32"/>
      <c r="PX204" s="32"/>
      <c r="PY204" s="32"/>
      <c r="PZ204" s="32"/>
      <c r="QA204" s="32"/>
      <c r="QB204" s="32"/>
      <c r="QC204" s="32"/>
      <c r="QD204" s="32"/>
      <c r="QE204" s="32"/>
      <c r="QF204" s="32"/>
      <c r="QG204" s="32"/>
      <c r="QH204" s="32"/>
      <c r="QI204" s="32"/>
      <c r="QJ204" s="32"/>
      <c r="QK204" s="32"/>
      <c r="QL204" s="32"/>
      <c r="QM204" s="32"/>
      <c r="QN204" s="32"/>
      <c r="QO204" s="32"/>
      <c r="QP204" s="32"/>
      <c r="QQ204" s="32"/>
      <c r="QR204" s="32"/>
      <c r="QS204" s="32"/>
      <c r="QT204" s="32"/>
      <c r="QU204" s="32"/>
      <c r="QV204" s="32"/>
      <c r="QW204" s="32"/>
      <c r="QX204" s="32"/>
      <c r="QY204" s="32"/>
      <c r="QZ204" s="32"/>
      <c r="RA204" s="32"/>
      <c r="RB204" s="32"/>
      <c r="RC204" s="32"/>
      <c r="RD204" s="32"/>
      <c r="RE204" s="32"/>
      <c r="RF204" s="32"/>
      <c r="RG204" s="32"/>
      <c r="RH204" s="32"/>
      <c r="RI204" s="32"/>
      <c r="RJ204" s="32"/>
      <c r="RK204" s="32"/>
      <c r="RL204" s="32"/>
      <c r="RM204" s="32"/>
      <c r="RN204" s="32"/>
      <c r="RO204" s="32"/>
      <c r="RP204" s="32"/>
      <c r="RQ204" s="32"/>
      <c r="RR204" s="32"/>
      <c r="RS204" s="32"/>
      <c r="RT204" s="32"/>
      <c r="RU204" s="32"/>
      <c r="RV204" s="32"/>
      <c r="RW204" s="32"/>
      <c r="RX204" s="32"/>
      <c r="RY204" s="32"/>
      <c r="RZ204" s="32"/>
      <c r="SA204" s="32"/>
      <c r="SB204" s="32"/>
      <c r="SC204" s="32"/>
      <c r="SD204" s="32"/>
      <c r="SE204" s="32"/>
      <c r="SF204" s="32"/>
      <c r="SG204" s="32"/>
      <c r="SH204" s="32"/>
      <c r="SI204" s="32"/>
      <c r="SJ204" s="32"/>
      <c r="SK204" s="32"/>
      <c r="SL204" s="32"/>
      <c r="SM204" s="32"/>
      <c r="SN204" s="32"/>
      <c r="SO204" s="32"/>
      <c r="SP204" s="32"/>
      <c r="SQ204" s="32"/>
      <c r="SR204" s="32"/>
      <c r="SS204" s="32"/>
      <c r="ST204" s="32"/>
      <c r="SU204" s="32"/>
      <c r="SV204" s="32"/>
      <c r="SW204" s="32"/>
      <c r="SX204" s="32"/>
      <c r="SY204" s="32"/>
      <c r="SZ204" s="32"/>
      <c r="TA204" s="32"/>
      <c r="TB204" s="32"/>
      <c r="TC204" s="32"/>
      <c r="TD204" s="32"/>
      <c r="TE204" s="32"/>
      <c r="TF204" s="32"/>
      <c r="TG204" s="32"/>
    </row>
    <row r="205" spans="1:527" s="34" customFormat="1" ht="21.75" customHeight="1" x14ac:dyDescent="0.25">
      <c r="A205" s="100" t="s">
        <v>194</v>
      </c>
      <c r="B205" s="113"/>
      <c r="C205" s="113"/>
      <c r="D205" s="81" t="s">
        <v>337</v>
      </c>
      <c r="E205" s="102">
        <f>E206+E207+E208+E210+E211++E213+E209+E212+E214</f>
        <v>81903057</v>
      </c>
      <c r="F205" s="102">
        <f t="shared" ref="F205:P205" si="89">F206+F207+F208+F210+F211++F213+F209+F212+F214</f>
        <v>81903057</v>
      </c>
      <c r="G205" s="102">
        <f t="shared" si="89"/>
        <v>62366800</v>
      </c>
      <c r="H205" s="102">
        <f t="shared" si="89"/>
        <v>2305157</v>
      </c>
      <c r="I205" s="102">
        <f t="shared" si="89"/>
        <v>0</v>
      </c>
      <c r="J205" s="102">
        <f t="shared" si="89"/>
        <v>5080600</v>
      </c>
      <c r="K205" s="102">
        <f t="shared" si="89"/>
        <v>2320500</v>
      </c>
      <c r="L205" s="102">
        <f t="shared" si="89"/>
        <v>2756970</v>
      </c>
      <c r="M205" s="102">
        <f t="shared" si="89"/>
        <v>2239004</v>
      </c>
      <c r="N205" s="102">
        <f t="shared" si="89"/>
        <v>3300</v>
      </c>
      <c r="O205" s="102">
        <f t="shared" si="89"/>
        <v>2323630</v>
      </c>
      <c r="P205" s="102">
        <f t="shared" si="89"/>
        <v>86983657</v>
      </c>
      <c r="Q205" s="188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  <c r="GE205" s="33"/>
      <c r="GF205" s="33"/>
      <c r="GG205" s="33"/>
      <c r="GH205" s="33"/>
      <c r="GI205" s="33"/>
      <c r="GJ205" s="33"/>
      <c r="GK205" s="33"/>
      <c r="GL205" s="33"/>
      <c r="GM205" s="33"/>
      <c r="GN205" s="33"/>
      <c r="GO205" s="33"/>
      <c r="GP205" s="33"/>
      <c r="GQ205" s="33"/>
      <c r="GR205" s="33"/>
      <c r="GS205" s="33"/>
      <c r="GT205" s="33"/>
      <c r="GU205" s="33"/>
      <c r="GV205" s="33"/>
      <c r="GW205" s="33"/>
      <c r="GX205" s="33"/>
      <c r="GY205" s="33"/>
      <c r="GZ205" s="33"/>
      <c r="HA205" s="33"/>
      <c r="HB205" s="33"/>
      <c r="HC205" s="33"/>
      <c r="HD205" s="33"/>
      <c r="HE205" s="33"/>
      <c r="HF205" s="33"/>
      <c r="HG205" s="33"/>
      <c r="HH205" s="33"/>
      <c r="HI205" s="33"/>
      <c r="HJ205" s="33"/>
      <c r="HK205" s="33"/>
      <c r="HL205" s="33"/>
      <c r="HM205" s="33"/>
      <c r="HN205" s="33"/>
      <c r="HO205" s="33"/>
      <c r="HP205" s="33"/>
      <c r="HQ205" s="33"/>
      <c r="HR205" s="33"/>
      <c r="HS205" s="33"/>
      <c r="HT205" s="33"/>
      <c r="HU205" s="33"/>
      <c r="HV205" s="33"/>
      <c r="HW205" s="33"/>
      <c r="HX205" s="33"/>
      <c r="HY205" s="33"/>
      <c r="HZ205" s="33"/>
      <c r="IA205" s="33"/>
      <c r="IB205" s="33"/>
      <c r="IC205" s="33"/>
      <c r="ID205" s="33"/>
      <c r="IE205" s="33"/>
      <c r="IF205" s="33"/>
      <c r="IG205" s="33"/>
      <c r="IH205" s="33"/>
      <c r="II205" s="33"/>
      <c r="IJ205" s="33"/>
      <c r="IK205" s="33"/>
      <c r="IL205" s="33"/>
      <c r="IM205" s="33"/>
      <c r="IN205" s="33"/>
      <c r="IO205" s="33"/>
      <c r="IP205" s="33"/>
      <c r="IQ205" s="33"/>
      <c r="IR205" s="33"/>
      <c r="IS205" s="33"/>
      <c r="IT205" s="33"/>
      <c r="IU205" s="33"/>
      <c r="IV205" s="33"/>
      <c r="IW205" s="33"/>
      <c r="IX205" s="33"/>
      <c r="IY205" s="33"/>
      <c r="IZ205" s="33"/>
      <c r="JA205" s="33"/>
      <c r="JB205" s="33"/>
      <c r="JC205" s="33"/>
      <c r="JD205" s="33"/>
      <c r="JE205" s="33"/>
      <c r="JF205" s="33"/>
      <c r="JG205" s="33"/>
      <c r="JH205" s="33"/>
      <c r="JI205" s="33"/>
      <c r="JJ205" s="33"/>
      <c r="JK205" s="33"/>
      <c r="JL205" s="33"/>
      <c r="JM205" s="33"/>
      <c r="JN205" s="33"/>
      <c r="JO205" s="33"/>
      <c r="JP205" s="33"/>
      <c r="JQ205" s="33"/>
      <c r="JR205" s="33"/>
      <c r="JS205" s="33"/>
      <c r="JT205" s="33"/>
      <c r="JU205" s="33"/>
      <c r="JV205" s="33"/>
      <c r="JW205" s="33"/>
      <c r="JX205" s="33"/>
      <c r="JY205" s="33"/>
      <c r="JZ205" s="33"/>
      <c r="KA205" s="33"/>
      <c r="KB205" s="33"/>
      <c r="KC205" s="33"/>
      <c r="KD205" s="33"/>
      <c r="KE205" s="33"/>
      <c r="KF205" s="33"/>
      <c r="KG205" s="33"/>
      <c r="KH205" s="33"/>
      <c r="KI205" s="33"/>
      <c r="KJ205" s="33"/>
      <c r="KK205" s="33"/>
      <c r="KL205" s="33"/>
      <c r="KM205" s="33"/>
      <c r="KN205" s="33"/>
      <c r="KO205" s="33"/>
      <c r="KP205" s="33"/>
      <c r="KQ205" s="33"/>
      <c r="KR205" s="33"/>
      <c r="KS205" s="33"/>
      <c r="KT205" s="33"/>
      <c r="KU205" s="33"/>
      <c r="KV205" s="33"/>
      <c r="KW205" s="33"/>
      <c r="KX205" s="33"/>
      <c r="KY205" s="33"/>
      <c r="KZ205" s="33"/>
      <c r="LA205" s="33"/>
      <c r="LB205" s="33"/>
      <c r="LC205" s="33"/>
      <c r="LD205" s="33"/>
      <c r="LE205" s="33"/>
      <c r="LF205" s="33"/>
      <c r="LG205" s="33"/>
      <c r="LH205" s="33"/>
      <c r="LI205" s="33"/>
      <c r="LJ205" s="33"/>
      <c r="LK205" s="33"/>
      <c r="LL205" s="33"/>
      <c r="LM205" s="33"/>
      <c r="LN205" s="33"/>
      <c r="LO205" s="33"/>
      <c r="LP205" s="33"/>
      <c r="LQ205" s="33"/>
      <c r="LR205" s="33"/>
      <c r="LS205" s="33"/>
      <c r="LT205" s="33"/>
      <c r="LU205" s="33"/>
      <c r="LV205" s="33"/>
      <c r="LW205" s="33"/>
      <c r="LX205" s="33"/>
      <c r="LY205" s="33"/>
      <c r="LZ205" s="33"/>
      <c r="MA205" s="33"/>
      <c r="MB205" s="33"/>
      <c r="MC205" s="33"/>
      <c r="MD205" s="33"/>
      <c r="ME205" s="33"/>
      <c r="MF205" s="33"/>
      <c r="MG205" s="33"/>
      <c r="MH205" s="33"/>
      <c r="MI205" s="33"/>
      <c r="MJ205" s="33"/>
      <c r="MK205" s="33"/>
      <c r="ML205" s="33"/>
      <c r="MM205" s="33"/>
      <c r="MN205" s="33"/>
      <c r="MO205" s="33"/>
      <c r="MP205" s="33"/>
      <c r="MQ205" s="33"/>
      <c r="MR205" s="33"/>
      <c r="MS205" s="33"/>
      <c r="MT205" s="33"/>
      <c r="MU205" s="33"/>
      <c r="MV205" s="33"/>
      <c r="MW205" s="33"/>
      <c r="MX205" s="33"/>
      <c r="MY205" s="33"/>
      <c r="MZ205" s="33"/>
      <c r="NA205" s="33"/>
      <c r="NB205" s="33"/>
      <c r="NC205" s="33"/>
      <c r="ND205" s="33"/>
      <c r="NE205" s="33"/>
      <c r="NF205" s="33"/>
      <c r="NG205" s="33"/>
      <c r="NH205" s="33"/>
      <c r="NI205" s="33"/>
      <c r="NJ205" s="33"/>
      <c r="NK205" s="33"/>
      <c r="NL205" s="33"/>
      <c r="NM205" s="33"/>
      <c r="NN205" s="33"/>
      <c r="NO205" s="33"/>
      <c r="NP205" s="33"/>
      <c r="NQ205" s="33"/>
      <c r="NR205" s="33"/>
      <c r="NS205" s="33"/>
      <c r="NT205" s="33"/>
      <c r="NU205" s="33"/>
      <c r="NV205" s="33"/>
      <c r="NW205" s="33"/>
      <c r="NX205" s="33"/>
      <c r="NY205" s="33"/>
      <c r="NZ205" s="33"/>
      <c r="OA205" s="33"/>
      <c r="OB205" s="33"/>
      <c r="OC205" s="33"/>
      <c r="OD205" s="33"/>
      <c r="OE205" s="33"/>
      <c r="OF205" s="33"/>
      <c r="OG205" s="33"/>
      <c r="OH205" s="33"/>
      <c r="OI205" s="33"/>
      <c r="OJ205" s="33"/>
      <c r="OK205" s="33"/>
      <c r="OL205" s="33"/>
      <c r="OM205" s="33"/>
      <c r="ON205" s="33"/>
      <c r="OO205" s="33"/>
      <c r="OP205" s="33"/>
      <c r="OQ205" s="33"/>
      <c r="OR205" s="33"/>
      <c r="OS205" s="33"/>
      <c r="OT205" s="33"/>
      <c r="OU205" s="33"/>
      <c r="OV205" s="33"/>
      <c r="OW205" s="33"/>
      <c r="OX205" s="33"/>
      <c r="OY205" s="33"/>
      <c r="OZ205" s="33"/>
      <c r="PA205" s="33"/>
      <c r="PB205" s="33"/>
      <c r="PC205" s="33"/>
      <c r="PD205" s="33"/>
      <c r="PE205" s="33"/>
      <c r="PF205" s="33"/>
      <c r="PG205" s="33"/>
      <c r="PH205" s="33"/>
      <c r="PI205" s="33"/>
      <c r="PJ205" s="33"/>
      <c r="PK205" s="33"/>
      <c r="PL205" s="33"/>
      <c r="PM205" s="33"/>
      <c r="PN205" s="33"/>
      <c r="PO205" s="33"/>
      <c r="PP205" s="33"/>
      <c r="PQ205" s="33"/>
      <c r="PR205" s="33"/>
      <c r="PS205" s="33"/>
      <c r="PT205" s="33"/>
      <c r="PU205" s="33"/>
      <c r="PV205" s="33"/>
      <c r="PW205" s="33"/>
      <c r="PX205" s="33"/>
      <c r="PY205" s="33"/>
      <c r="PZ205" s="33"/>
      <c r="QA205" s="33"/>
      <c r="QB205" s="33"/>
      <c r="QC205" s="33"/>
      <c r="QD205" s="33"/>
      <c r="QE205" s="33"/>
      <c r="QF205" s="33"/>
      <c r="QG205" s="33"/>
      <c r="QH205" s="33"/>
      <c r="QI205" s="33"/>
      <c r="QJ205" s="33"/>
      <c r="QK205" s="33"/>
      <c r="QL205" s="33"/>
      <c r="QM205" s="33"/>
      <c r="QN205" s="33"/>
      <c r="QO205" s="33"/>
      <c r="QP205" s="33"/>
      <c r="QQ205" s="33"/>
      <c r="QR205" s="33"/>
      <c r="QS205" s="33"/>
      <c r="QT205" s="33"/>
      <c r="QU205" s="33"/>
      <c r="QV205" s="33"/>
      <c r="QW205" s="33"/>
      <c r="QX205" s="33"/>
      <c r="QY205" s="33"/>
      <c r="QZ205" s="33"/>
      <c r="RA205" s="33"/>
      <c r="RB205" s="33"/>
      <c r="RC205" s="33"/>
      <c r="RD205" s="33"/>
      <c r="RE205" s="33"/>
      <c r="RF205" s="33"/>
      <c r="RG205" s="33"/>
      <c r="RH205" s="33"/>
      <c r="RI205" s="33"/>
      <c r="RJ205" s="33"/>
      <c r="RK205" s="33"/>
      <c r="RL205" s="33"/>
      <c r="RM205" s="33"/>
      <c r="RN205" s="33"/>
      <c r="RO205" s="33"/>
      <c r="RP205" s="33"/>
      <c r="RQ205" s="33"/>
      <c r="RR205" s="33"/>
      <c r="RS205" s="33"/>
      <c r="RT205" s="33"/>
      <c r="RU205" s="33"/>
      <c r="RV205" s="33"/>
      <c r="RW205" s="33"/>
      <c r="RX205" s="33"/>
      <c r="RY205" s="33"/>
      <c r="RZ205" s="33"/>
      <c r="SA205" s="33"/>
      <c r="SB205" s="33"/>
      <c r="SC205" s="33"/>
      <c r="SD205" s="33"/>
      <c r="SE205" s="33"/>
      <c r="SF205" s="33"/>
      <c r="SG205" s="33"/>
      <c r="SH205" s="33"/>
      <c r="SI205" s="33"/>
      <c r="SJ205" s="33"/>
      <c r="SK205" s="33"/>
      <c r="SL205" s="33"/>
      <c r="SM205" s="33"/>
      <c r="SN205" s="33"/>
      <c r="SO205" s="33"/>
      <c r="SP205" s="33"/>
      <c r="SQ205" s="33"/>
      <c r="SR205" s="33"/>
      <c r="SS205" s="33"/>
      <c r="ST205" s="33"/>
      <c r="SU205" s="33"/>
      <c r="SV205" s="33"/>
      <c r="SW205" s="33"/>
      <c r="SX205" s="33"/>
      <c r="SY205" s="33"/>
      <c r="SZ205" s="33"/>
      <c r="TA205" s="33"/>
      <c r="TB205" s="33"/>
      <c r="TC205" s="33"/>
      <c r="TD205" s="33"/>
      <c r="TE205" s="33"/>
      <c r="TF205" s="33"/>
      <c r="TG205" s="33"/>
    </row>
    <row r="206" spans="1:527" s="22" customFormat="1" ht="47.25" x14ac:dyDescent="0.25">
      <c r="A206" s="60" t="s">
        <v>141</v>
      </c>
      <c r="B206" s="97" t="str">
        <f>'дод 5'!A20</f>
        <v>0160</v>
      </c>
      <c r="C206" s="97" t="str">
        <f>'дод 5'!B20</f>
        <v>0111</v>
      </c>
      <c r="D206" s="36" t="s">
        <v>503</v>
      </c>
      <c r="E206" s="103">
        <f t="shared" ref="E206:E214" si="90">F206+I206</f>
        <v>2167035</v>
      </c>
      <c r="F206" s="103">
        <f>2163700+3335</f>
        <v>2167035</v>
      </c>
      <c r="G206" s="103">
        <v>1695500</v>
      </c>
      <c r="H206" s="103">
        <f>18000+3335</f>
        <v>21335</v>
      </c>
      <c r="I206" s="103"/>
      <c r="J206" s="103">
        <f>L206+O206</f>
        <v>0</v>
      </c>
      <c r="K206" s="103"/>
      <c r="L206" s="103"/>
      <c r="M206" s="103"/>
      <c r="N206" s="103"/>
      <c r="O206" s="103"/>
      <c r="P206" s="103">
        <f t="shared" ref="P206:P214" si="91">E206+J206</f>
        <v>2167035</v>
      </c>
      <c r="Q206" s="188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  <c r="TF206" s="23"/>
      <c r="TG206" s="23"/>
    </row>
    <row r="207" spans="1:527" s="22" customFormat="1" ht="19.5" customHeight="1" x14ac:dyDescent="0.25">
      <c r="A207" s="60" t="s">
        <v>518</v>
      </c>
      <c r="B207" s="97">
        <v>1080</v>
      </c>
      <c r="C207" s="60" t="s">
        <v>58</v>
      </c>
      <c r="D207" s="61" t="s">
        <v>519</v>
      </c>
      <c r="E207" s="103">
        <f t="shared" si="90"/>
        <v>50948015</v>
      </c>
      <c r="F207" s="103">
        <f>50652500+65000+20000+30000+15000+165515</f>
        <v>50948015</v>
      </c>
      <c r="G207" s="103">
        <v>40594000</v>
      </c>
      <c r="H207" s="103">
        <f>612300+165515</f>
        <v>777815</v>
      </c>
      <c r="I207" s="103"/>
      <c r="J207" s="103">
        <f t="shared" ref="J207:J214" si="92">L207+O207</f>
        <v>2729100</v>
      </c>
      <c r="K207" s="103"/>
      <c r="L207" s="103">
        <v>2725970</v>
      </c>
      <c r="M207" s="103">
        <v>2226904</v>
      </c>
      <c r="N207" s="103"/>
      <c r="O207" s="103">
        <v>3130</v>
      </c>
      <c r="P207" s="103">
        <f t="shared" si="91"/>
        <v>53677115</v>
      </c>
      <c r="Q207" s="188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  <c r="TF207" s="23"/>
      <c r="TG207" s="23"/>
    </row>
    <row r="208" spans="1:527" s="22" customFormat="1" ht="21" customHeight="1" x14ac:dyDescent="0.25">
      <c r="A208" s="60" t="s">
        <v>195</v>
      </c>
      <c r="B208" s="97" t="str">
        <f>'дод 5'!A138</f>
        <v>4030</v>
      </c>
      <c r="C208" s="97" t="str">
        <f>'дод 5'!B138</f>
        <v>0824</v>
      </c>
      <c r="D208" s="61" t="str">
        <f>'дод 5'!C138</f>
        <v>Забезпечення діяльності бібліотек</v>
      </c>
      <c r="E208" s="103">
        <f t="shared" si="90"/>
        <v>23024164</v>
      </c>
      <c r="F208" s="103">
        <f>22627900+77000+112000+10000+2500+194764</f>
        <v>23024164</v>
      </c>
      <c r="G208" s="103">
        <v>16852700</v>
      </c>
      <c r="H208" s="103">
        <f>1133500+194764</f>
        <v>1328264</v>
      </c>
      <c r="I208" s="103"/>
      <c r="J208" s="103">
        <f t="shared" si="92"/>
        <v>252500</v>
      </c>
      <c r="K208" s="103">
        <f>195000+20000+5000+7500</f>
        <v>227500</v>
      </c>
      <c r="L208" s="103">
        <v>25000</v>
      </c>
      <c r="M208" s="103">
        <v>12100</v>
      </c>
      <c r="N208" s="103"/>
      <c r="O208" s="103">
        <f>195000+20000+5000+7500</f>
        <v>227500</v>
      </c>
      <c r="P208" s="103">
        <f t="shared" si="91"/>
        <v>23276664</v>
      </c>
      <c r="Q208" s="188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  <c r="TF208" s="23"/>
      <c r="TG208" s="23"/>
    </row>
    <row r="209" spans="1:527" s="22" customFormat="1" ht="48.75" customHeight="1" x14ac:dyDescent="0.25">
      <c r="A209" s="60">
        <v>1014060</v>
      </c>
      <c r="B209" s="97" t="str">
        <f>'дод 5'!A139</f>
        <v>4060</v>
      </c>
      <c r="C209" s="97" t="str">
        <f>'дод 5'!B139</f>
        <v>0828</v>
      </c>
      <c r="D209" s="61" t="str">
        <f>'дод 5'!C139</f>
        <v>Забезпечення діяльності палаців i будинків культури, клубів, центрів дозвілля та iнших клубних закладів</v>
      </c>
      <c r="E209" s="103">
        <f t="shared" si="90"/>
        <v>2270616</v>
      </c>
      <c r="F209" s="103">
        <f>2160300+15160+20000+25000+40000+10156</f>
        <v>2270616</v>
      </c>
      <c r="G209" s="103">
        <v>1531600</v>
      </c>
      <c r="H209" s="103">
        <f>115700+15160+10156</f>
        <v>141016</v>
      </c>
      <c r="I209" s="103"/>
      <c r="J209" s="103">
        <f t="shared" si="92"/>
        <v>6000</v>
      </c>
      <c r="K209" s="103">
        <f>40000-40000</f>
        <v>0</v>
      </c>
      <c r="L209" s="103">
        <v>6000</v>
      </c>
      <c r="M209" s="103"/>
      <c r="N209" s="103">
        <v>3300</v>
      </c>
      <c r="O209" s="103">
        <f>40000-40000</f>
        <v>0</v>
      </c>
      <c r="P209" s="103">
        <f t="shared" si="91"/>
        <v>2276616</v>
      </c>
      <c r="Q209" s="188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  <c r="TF209" s="23"/>
      <c r="TG209" s="23"/>
    </row>
    <row r="210" spans="1:527" s="24" customFormat="1" ht="33.75" customHeight="1" x14ac:dyDescent="0.25">
      <c r="A210" s="60">
        <v>1014081</v>
      </c>
      <c r="B210" s="97" t="str">
        <f>'дод 5'!A140</f>
        <v>4081</v>
      </c>
      <c r="C210" s="97" t="str">
        <f>'дод 5'!B140</f>
        <v>0829</v>
      </c>
      <c r="D210" s="61" t="str">
        <f>'дод 5'!C140</f>
        <v>Забезпечення діяльності інших закладів в галузі культури і мистецтва</v>
      </c>
      <c r="E210" s="103">
        <f t="shared" si="90"/>
        <v>2208227</v>
      </c>
      <c r="F210" s="103">
        <f>2206400+1827</f>
        <v>2208227</v>
      </c>
      <c r="G210" s="103">
        <v>1693000</v>
      </c>
      <c r="H210" s="103">
        <f>34900+1827</f>
        <v>36727</v>
      </c>
      <c r="I210" s="103"/>
      <c r="J210" s="103">
        <f t="shared" si="92"/>
        <v>23000</v>
      </c>
      <c r="K210" s="103">
        <v>23000</v>
      </c>
      <c r="L210" s="103"/>
      <c r="M210" s="103"/>
      <c r="N210" s="103"/>
      <c r="O210" s="103">
        <v>23000</v>
      </c>
      <c r="P210" s="103">
        <f t="shared" si="91"/>
        <v>2231227</v>
      </c>
      <c r="Q210" s="188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  <c r="IG210" s="30"/>
      <c r="IH210" s="30"/>
      <c r="II210" s="30"/>
      <c r="IJ210" s="30"/>
      <c r="IK210" s="30"/>
      <c r="IL210" s="30"/>
      <c r="IM210" s="30"/>
      <c r="IN210" s="30"/>
      <c r="IO210" s="30"/>
      <c r="IP210" s="30"/>
      <c r="IQ210" s="30"/>
      <c r="IR210" s="30"/>
      <c r="IS210" s="30"/>
      <c r="IT210" s="30"/>
      <c r="IU210" s="30"/>
      <c r="IV210" s="30"/>
      <c r="IW210" s="30"/>
      <c r="IX210" s="30"/>
      <c r="IY210" s="30"/>
      <c r="IZ210" s="30"/>
      <c r="JA210" s="30"/>
      <c r="JB210" s="30"/>
      <c r="JC210" s="30"/>
      <c r="JD210" s="30"/>
      <c r="JE210" s="30"/>
      <c r="JF210" s="30"/>
      <c r="JG210" s="30"/>
      <c r="JH210" s="30"/>
      <c r="JI210" s="30"/>
      <c r="JJ210" s="30"/>
      <c r="JK210" s="30"/>
      <c r="JL210" s="30"/>
      <c r="JM210" s="30"/>
      <c r="JN210" s="30"/>
      <c r="JO210" s="30"/>
      <c r="JP210" s="30"/>
      <c r="JQ210" s="30"/>
      <c r="JR210" s="30"/>
      <c r="JS210" s="30"/>
      <c r="JT210" s="30"/>
      <c r="JU210" s="30"/>
      <c r="JV210" s="30"/>
      <c r="JW210" s="30"/>
      <c r="JX210" s="30"/>
      <c r="JY210" s="30"/>
      <c r="JZ210" s="30"/>
      <c r="KA210" s="30"/>
      <c r="KB210" s="30"/>
      <c r="KC210" s="30"/>
      <c r="KD210" s="30"/>
      <c r="KE210" s="30"/>
      <c r="KF210" s="30"/>
      <c r="KG210" s="30"/>
      <c r="KH210" s="30"/>
      <c r="KI210" s="30"/>
      <c r="KJ210" s="30"/>
      <c r="KK210" s="30"/>
      <c r="KL210" s="30"/>
      <c r="KM210" s="30"/>
      <c r="KN210" s="30"/>
      <c r="KO210" s="30"/>
      <c r="KP210" s="30"/>
      <c r="KQ210" s="30"/>
      <c r="KR210" s="30"/>
      <c r="KS210" s="30"/>
      <c r="KT210" s="30"/>
      <c r="KU210" s="30"/>
      <c r="KV210" s="30"/>
      <c r="KW210" s="30"/>
      <c r="KX210" s="30"/>
      <c r="KY210" s="30"/>
      <c r="KZ210" s="30"/>
      <c r="LA210" s="30"/>
      <c r="LB210" s="30"/>
      <c r="LC210" s="30"/>
      <c r="LD210" s="30"/>
      <c r="LE210" s="30"/>
      <c r="LF210" s="30"/>
      <c r="LG210" s="30"/>
      <c r="LH210" s="30"/>
      <c r="LI210" s="30"/>
      <c r="LJ210" s="30"/>
      <c r="LK210" s="30"/>
      <c r="LL210" s="30"/>
      <c r="LM210" s="30"/>
      <c r="LN210" s="30"/>
      <c r="LO210" s="30"/>
      <c r="LP210" s="30"/>
      <c r="LQ210" s="30"/>
      <c r="LR210" s="30"/>
      <c r="LS210" s="30"/>
      <c r="LT210" s="30"/>
      <c r="LU210" s="30"/>
      <c r="LV210" s="30"/>
      <c r="LW210" s="30"/>
      <c r="LX210" s="30"/>
      <c r="LY210" s="30"/>
      <c r="LZ210" s="30"/>
      <c r="MA210" s="30"/>
      <c r="MB210" s="30"/>
      <c r="MC210" s="30"/>
      <c r="MD210" s="30"/>
      <c r="ME210" s="30"/>
      <c r="MF210" s="30"/>
      <c r="MG210" s="30"/>
      <c r="MH210" s="30"/>
      <c r="MI210" s="30"/>
      <c r="MJ210" s="30"/>
      <c r="MK210" s="30"/>
      <c r="ML210" s="30"/>
      <c r="MM210" s="30"/>
      <c r="MN210" s="30"/>
      <c r="MO210" s="30"/>
      <c r="MP210" s="30"/>
      <c r="MQ210" s="30"/>
      <c r="MR210" s="30"/>
      <c r="MS210" s="30"/>
      <c r="MT210" s="30"/>
      <c r="MU210" s="30"/>
      <c r="MV210" s="30"/>
      <c r="MW210" s="30"/>
      <c r="MX210" s="30"/>
      <c r="MY210" s="30"/>
      <c r="MZ210" s="30"/>
      <c r="NA210" s="30"/>
      <c r="NB210" s="30"/>
      <c r="NC210" s="30"/>
      <c r="ND210" s="30"/>
      <c r="NE210" s="30"/>
      <c r="NF210" s="30"/>
      <c r="NG210" s="30"/>
      <c r="NH210" s="30"/>
      <c r="NI210" s="30"/>
      <c r="NJ210" s="30"/>
      <c r="NK210" s="30"/>
      <c r="NL210" s="30"/>
      <c r="NM210" s="30"/>
      <c r="NN210" s="30"/>
      <c r="NO210" s="30"/>
      <c r="NP210" s="30"/>
      <c r="NQ210" s="30"/>
      <c r="NR210" s="30"/>
      <c r="NS210" s="30"/>
      <c r="NT210" s="30"/>
      <c r="NU210" s="30"/>
      <c r="NV210" s="30"/>
      <c r="NW210" s="30"/>
      <c r="NX210" s="30"/>
      <c r="NY210" s="30"/>
      <c r="NZ210" s="30"/>
      <c r="OA210" s="30"/>
      <c r="OB210" s="30"/>
      <c r="OC210" s="30"/>
      <c r="OD210" s="30"/>
      <c r="OE210" s="30"/>
      <c r="OF210" s="30"/>
      <c r="OG210" s="30"/>
      <c r="OH210" s="30"/>
      <c r="OI210" s="30"/>
      <c r="OJ210" s="30"/>
      <c r="OK210" s="30"/>
      <c r="OL210" s="30"/>
      <c r="OM210" s="30"/>
      <c r="ON210" s="30"/>
      <c r="OO210" s="30"/>
      <c r="OP210" s="30"/>
      <c r="OQ210" s="30"/>
      <c r="OR210" s="30"/>
      <c r="OS210" s="30"/>
      <c r="OT210" s="30"/>
      <c r="OU210" s="30"/>
      <c r="OV210" s="30"/>
      <c r="OW210" s="30"/>
      <c r="OX210" s="30"/>
      <c r="OY210" s="30"/>
      <c r="OZ210" s="30"/>
      <c r="PA210" s="30"/>
      <c r="PB210" s="30"/>
      <c r="PC210" s="30"/>
      <c r="PD210" s="30"/>
      <c r="PE210" s="30"/>
      <c r="PF210" s="30"/>
      <c r="PG210" s="30"/>
      <c r="PH210" s="30"/>
      <c r="PI210" s="30"/>
      <c r="PJ210" s="30"/>
      <c r="PK210" s="30"/>
      <c r="PL210" s="30"/>
      <c r="PM210" s="30"/>
      <c r="PN210" s="30"/>
      <c r="PO210" s="30"/>
      <c r="PP210" s="30"/>
      <c r="PQ210" s="30"/>
      <c r="PR210" s="30"/>
      <c r="PS210" s="30"/>
      <c r="PT210" s="30"/>
      <c r="PU210" s="30"/>
      <c r="PV210" s="30"/>
      <c r="PW210" s="30"/>
      <c r="PX210" s="30"/>
      <c r="PY210" s="30"/>
      <c r="PZ210" s="30"/>
      <c r="QA210" s="30"/>
      <c r="QB210" s="30"/>
      <c r="QC210" s="30"/>
      <c r="QD210" s="30"/>
      <c r="QE210" s="30"/>
      <c r="QF210" s="30"/>
      <c r="QG210" s="30"/>
      <c r="QH210" s="30"/>
      <c r="QI210" s="30"/>
      <c r="QJ210" s="30"/>
      <c r="QK210" s="30"/>
      <c r="QL210" s="30"/>
      <c r="QM210" s="30"/>
      <c r="QN210" s="30"/>
      <c r="QO210" s="30"/>
      <c r="QP210" s="30"/>
      <c r="QQ210" s="30"/>
      <c r="QR210" s="30"/>
      <c r="QS210" s="30"/>
      <c r="QT210" s="30"/>
      <c r="QU210" s="30"/>
      <c r="QV210" s="30"/>
      <c r="QW210" s="30"/>
      <c r="QX210" s="30"/>
      <c r="QY210" s="30"/>
      <c r="QZ210" s="30"/>
      <c r="RA210" s="30"/>
      <c r="RB210" s="30"/>
      <c r="RC210" s="30"/>
      <c r="RD210" s="30"/>
      <c r="RE210" s="30"/>
      <c r="RF210" s="30"/>
      <c r="RG210" s="30"/>
      <c r="RH210" s="30"/>
      <c r="RI210" s="30"/>
      <c r="RJ210" s="30"/>
      <c r="RK210" s="30"/>
      <c r="RL210" s="30"/>
      <c r="RM210" s="30"/>
      <c r="RN210" s="30"/>
      <c r="RO210" s="30"/>
      <c r="RP210" s="30"/>
      <c r="RQ210" s="30"/>
      <c r="RR210" s="30"/>
      <c r="RS210" s="30"/>
      <c r="RT210" s="30"/>
      <c r="RU210" s="30"/>
      <c r="RV210" s="30"/>
      <c r="RW210" s="30"/>
      <c r="RX210" s="30"/>
      <c r="RY210" s="30"/>
      <c r="RZ210" s="30"/>
      <c r="SA210" s="30"/>
      <c r="SB210" s="30"/>
      <c r="SC210" s="30"/>
      <c r="SD210" s="30"/>
      <c r="SE210" s="30"/>
      <c r="SF210" s="30"/>
      <c r="SG210" s="30"/>
      <c r="SH210" s="30"/>
      <c r="SI210" s="30"/>
      <c r="SJ210" s="30"/>
      <c r="SK210" s="30"/>
      <c r="SL210" s="30"/>
      <c r="SM210" s="30"/>
      <c r="SN210" s="30"/>
      <c r="SO210" s="30"/>
      <c r="SP210" s="30"/>
      <c r="SQ210" s="30"/>
      <c r="SR210" s="30"/>
      <c r="SS210" s="30"/>
      <c r="ST210" s="30"/>
      <c r="SU210" s="30"/>
      <c r="SV210" s="30"/>
      <c r="SW210" s="30"/>
      <c r="SX210" s="30"/>
      <c r="SY210" s="30"/>
      <c r="SZ210" s="30"/>
      <c r="TA210" s="30"/>
      <c r="TB210" s="30"/>
      <c r="TC210" s="30"/>
      <c r="TD210" s="30"/>
      <c r="TE210" s="30"/>
      <c r="TF210" s="30"/>
      <c r="TG210" s="30"/>
    </row>
    <row r="211" spans="1:527" s="24" customFormat="1" ht="25.5" customHeight="1" x14ac:dyDescent="0.25">
      <c r="A211" s="60">
        <v>1014082</v>
      </c>
      <c r="B211" s="97" t="str">
        <f>'дод 5'!A141</f>
        <v>4082</v>
      </c>
      <c r="C211" s="97" t="str">
        <f>'дод 5'!B141</f>
        <v>0829</v>
      </c>
      <c r="D211" s="61" t="str">
        <f>'дод 5'!C141</f>
        <v>Інші заходи в галузі культури і мистецтва</v>
      </c>
      <c r="E211" s="103">
        <f t="shared" si="90"/>
        <v>1285000</v>
      </c>
      <c r="F211" s="103">
        <f>1100000+100000+85000</f>
        <v>1285000</v>
      </c>
      <c r="G211" s="103"/>
      <c r="H211" s="103"/>
      <c r="I211" s="103"/>
      <c r="J211" s="103">
        <f t="shared" si="92"/>
        <v>0</v>
      </c>
      <c r="K211" s="103"/>
      <c r="L211" s="103"/>
      <c r="M211" s="103"/>
      <c r="N211" s="103"/>
      <c r="O211" s="103"/>
      <c r="P211" s="103">
        <f t="shared" si="91"/>
        <v>1285000</v>
      </c>
      <c r="Q211" s="188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30"/>
      <c r="GR211" s="30"/>
      <c r="GS211" s="30"/>
      <c r="GT211" s="30"/>
      <c r="GU211" s="30"/>
      <c r="GV211" s="30"/>
      <c r="GW211" s="30"/>
      <c r="GX211" s="30"/>
      <c r="GY211" s="30"/>
      <c r="GZ211" s="30"/>
      <c r="HA211" s="30"/>
      <c r="HB211" s="30"/>
      <c r="HC211" s="30"/>
      <c r="HD211" s="30"/>
      <c r="HE211" s="30"/>
      <c r="HF211" s="30"/>
      <c r="HG211" s="30"/>
      <c r="HH211" s="30"/>
      <c r="HI211" s="30"/>
      <c r="HJ211" s="30"/>
      <c r="HK211" s="30"/>
      <c r="HL211" s="30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30"/>
      <c r="IE211" s="30"/>
      <c r="IF211" s="30"/>
      <c r="IG211" s="30"/>
      <c r="IH211" s="30"/>
      <c r="II211" s="30"/>
      <c r="IJ211" s="30"/>
      <c r="IK211" s="30"/>
      <c r="IL211" s="30"/>
      <c r="IM211" s="30"/>
      <c r="IN211" s="30"/>
      <c r="IO211" s="30"/>
      <c r="IP211" s="30"/>
      <c r="IQ211" s="30"/>
      <c r="IR211" s="30"/>
      <c r="IS211" s="30"/>
      <c r="IT211" s="30"/>
      <c r="IU211" s="30"/>
      <c r="IV211" s="30"/>
      <c r="IW211" s="30"/>
      <c r="IX211" s="30"/>
      <c r="IY211" s="30"/>
      <c r="IZ211" s="30"/>
      <c r="JA211" s="30"/>
      <c r="JB211" s="30"/>
      <c r="JC211" s="30"/>
      <c r="JD211" s="30"/>
      <c r="JE211" s="30"/>
      <c r="JF211" s="30"/>
      <c r="JG211" s="30"/>
      <c r="JH211" s="30"/>
      <c r="JI211" s="30"/>
      <c r="JJ211" s="30"/>
      <c r="JK211" s="30"/>
      <c r="JL211" s="30"/>
      <c r="JM211" s="30"/>
      <c r="JN211" s="30"/>
      <c r="JO211" s="30"/>
      <c r="JP211" s="30"/>
      <c r="JQ211" s="30"/>
      <c r="JR211" s="30"/>
      <c r="JS211" s="30"/>
      <c r="JT211" s="30"/>
      <c r="JU211" s="30"/>
      <c r="JV211" s="30"/>
      <c r="JW211" s="30"/>
      <c r="JX211" s="30"/>
      <c r="JY211" s="30"/>
      <c r="JZ211" s="30"/>
      <c r="KA211" s="30"/>
      <c r="KB211" s="30"/>
      <c r="KC211" s="30"/>
      <c r="KD211" s="30"/>
      <c r="KE211" s="30"/>
      <c r="KF211" s="30"/>
      <c r="KG211" s="30"/>
      <c r="KH211" s="30"/>
      <c r="KI211" s="30"/>
      <c r="KJ211" s="30"/>
      <c r="KK211" s="30"/>
      <c r="KL211" s="30"/>
      <c r="KM211" s="30"/>
      <c r="KN211" s="30"/>
      <c r="KO211" s="30"/>
      <c r="KP211" s="30"/>
      <c r="KQ211" s="30"/>
      <c r="KR211" s="30"/>
      <c r="KS211" s="30"/>
      <c r="KT211" s="30"/>
      <c r="KU211" s="30"/>
      <c r="KV211" s="30"/>
      <c r="KW211" s="30"/>
      <c r="KX211" s="30"/>
      <c r="KY211" s="30"/>
      <c r="KZ211" s="30"/>
      <c r="LA211" s="30"/>
      <c r="LB211" s="30"/>
      <c r="LC211" s="30"/>
      <c r="LD211" s="30"/>
      <c r="LE211" s="30"/>
      <c r="LF211" s="30"/>
      <c r="LG211" s="30"/>
      <c r="LH211" s="30"/>
      <c r="LI211" s="30"/>
      <c r="LJ211" s="30"/>
      <c r="LK211" s="30"/>
      <c r="LL211" s="30"/>
      <c r="LM211" s="30"/>
      <c r="LN211" s="30"/>
      <c r="LO211" s="30"/>
      <c r="LP211" s="30"/>
      <c r="LQ211" s="30"/>
      <c r="LR211" s="30"/>
      <c r="LS211" s="30"/>
      <c r="LT211" s="30"/>
      <c r="LU211" s="30"/>
      <c r="LV211" s="30"/>
      <c r="LW211" s="30"/>
      <c r="LX211" s="30"/>
      <c r="LY211" s="30"/>
      <c r="LZ211" s="30"/>
      <c r="MA211" s="30"/>
      <c r="MB211" s="30"/>
      <c r="MC211" s="30"/>
      <c r="MD211" s="30"/>
      <c r="ME211" s="30"/>
      <c r="MF211" s="30"/>
      <c r="MG211" s="30"/>
      <c r="MH211" s="30"/>
      <c r="MI211" s="30"/>
      <c r="MJ211" s="30"/>
      <c r="MK211" s="30"/>
      <c r="ML211" s="30"/>
      <c r="MM211" s="30"/>
      <c r="MN211" s="30"/>
      <c r="MO211" s="30"/>
      <c r="MP211" s="30"/>
      <c r="MQ211" s="30"/>
      <c r="MR211" s="30"/>
      <c r="MS211" s="30"/>
      <c r="MT211" s="30"/>
      <c r="MU211" s="30"/>
      <c r="MV211" s="30"/>
      <c r="MW211" s="30"/>
      <c r="MX211" s="30"/>
      <c r="MY211" s="30"/>
      <c r="MZ211" s="30"/>
      <c r="NA211" s="30"/>
      <c r="NB211" s="30"/>
      <c r="NC211" s="30"/>
      <c r="ND211" s="30"/>
      <c r="NE211" s="30"/>
      <c r="NF211" s="30"/>
      <c r="NG211" s="30"/>
      <c r="NH211" s="30"/>
      <c r="NI211" s="30"/>
      <c r="NJ211" s="30"/>
      <c r="NK211" s="30"/>
      <c r="NL211" s="30"/>
      <c r="NM211" s="30"/>
      <c r="NN211" s="30"/>
      <c r="NO211" s="30"/>
      <c r="NP211" s="30"/>
      <c r="NQ211" s="30"/>
      <c r="NR211" s="30"/>
      <c r="NS211" s="30"/>
      <c r="NT211" s="30"/>
      <c r="NU211" s="30"/>
      <c r="NV211" s="30"/>
      <c r="NW211" s="30"/>
      <c r="NX211" s="30"/>
      <c r="NY211" s="30"/>
      <c r="NZ211" s="30"/>
      <c r="OA211" s="30"/>
      <c r="OB211" s="30"/>
      <c r="OC211" s="30"/>
      <c r="OD211" s="30"/>
      <c r="OE211" s="30"/>
      <c r="OF211" s="30"/>
      <c r="OG211" s="30"/>
      <c r="OH211" s="30"/>
      <c r="OI211" s="30"/>
      <c r="OJ211" s="30"/>
      <c r="OK211" s="30"/>
      <c r="OL211" s="30"/>
      <c r="OM211" s="30"/>
      <c r="ON211" s="30"/>
      <c r="OO211" s="30"/>
      <c r="OP211" s="30"/>
      <c r="OQ211" s="30"/>
      <c r="OR211" s="30"/>
      <c r="OS211" s="30"/>
      <c r="OT211" s="30"/>
      <c r="OU211" s="30"/>
      <c r="OV211" s="30"/>
      <c r="OW211" s="30"/>
      <c r="OX211" s="30"/>
      <c r="OY211" s="30"/>
      <c r="OZ211" s="30"/>
      <c r="PA211" s="30"/>
      <c r="PB211" s="30"/>
      <c r="PC211" s="30"/>
      <c r="PD211" s="30"/>
      <c r="PE211" s="30"/>
      <c r="PF211" s="30"/>
      <c r="PG211" s="30"/>
      <c r="PH211" s="30"/>
      <c r="PI211" s="30"/>
      <c r="PJ211" s="30"/>
      <c r="PK211" s="30"/>
      <c r="PL211" s="30"/>
      <c r="PM211" s="30"/>
      <c r="PN211" s="30"/>
      <c r="PO211" s="30"/>
      <c r="PP211" s="30"/>
      <c r="PQ211" s="30"/>
      <c r="PR211" s="30"/>
      <c r="PS211" s="30"/>
      <c r="PT211" s="30"/>
      <c r="PU211" s="30"/>
      <c r="PV211" s="30"/>
      <c r="PW211" s="30"/>
      <c r="PX211" s="30"/>
      <c r="PY211" s="30"/>
      <c r="PZ211" s="30"/>
      <c r="QA211" s="30"/>
      <c r="QB211" s="30"/>
      <c r="QC211" s="30"/>
      <c r="QD211" s="30"/>
      <c r="QE211" s="30"/>
      <c r="QF211" s="30"/>
      <c r="QG211" s="30"/>
      <c r="QH211" s="30"/>
      <c r="QI211" s="30"/>
      <c r="QJ211" s="30"/>
      <c r="QK211" s="30"/>
      <c r="QL211" s="30"/>
      <c r="QM211" s="30"/>
      <c r="QN211" s="30"/>
      <c r="QO211" s="30"/>
      <c r="QP211" s="30"/>
      <c r="QQ211" s="30"/>
      <c r="QR211" s="30"/>
      <c r="QS211" s="30"/>
      <c r="QT211" s="30"/>
      <c r="QU211" s="30"/>
      <c r="QV211" s="30"/>
      <c r="QW211" s="30"/>
      <c r="QX211" s="30"/>
      <c r="QY211" s="30"/>
      <c r="QZ211" s="30"/>
      <c r="RA211" s="30"/>
      <c r="RB211" s="30"/>
      <c r="RC211" s="30"/>
      <c r="RD211" s="30"/>
      <c r="RE211" s="30"/>
      <c r="RF211" s="30"/>
      <c r="RG211" s="30"/>
      <c r="RH211" s="30"/>
      <c r="RI211" s="30"/>
      <c r="RJ211" s="30"/>
      <c r="RK211" s="30"/>
      <c r="RL211" s="30"/>
      <c r="RM211" s="30"/>
      <c r="RN211" s="30"/>
      <c r="RO211" s="30"/>
      <c r="RP211" s="30"/>
      <c r="RQ211" s="30"/>
      <c r="RR211" s="30"/>
      <c r="RS211" s="30"/>
      <c r="RT211" s="30"/>
      <c r="RU211" s="30"/>
      <c r="RV211" s="30"/>
      <c r="RW211" s="30"/>
      <c r="RX211" s="30"/>
      <c r="RY211" s="30"/>
      <c r="RZ211" s="30"/>
      <c r="SA211" s="30"/>
      <c r="SB211" s="30"/>
      <c r="SC211" s="30"/>
      <c r="SD211" s="30"/>
      <c r="SE211" s="30"/>
      <c r="SF211" s="30"/>
      <c r="SG211" s="30"/>
      <c r="SH211" s="30"/>
      <c r="SI211" s="30"/>
      <c r="SJ211" s="30"/>
      <c r="SK211" s="30"/>
      <c r="SL211" s="30"/>
      <c r="SM211" s="30"/>
      <c r="SN211" s="30"/>
      <c r="SO211" s="30"/>
      <c r="SP211" s="30"/>
      <c r="SQ211" s="30"/>
      <c r="SR211" s="30"/>
      <c r="SS211" s="30"/>
      <c r="ST211" s="30"/>
      <c r="SU211" s="30"/>
      <c r="SV211" s="30"/>
      <c r="SW211" s="30"/>
      <c r="SX211" s="30"/>
      <c r="SY211" s="30"/>
      <c r="SZ211" s="30"/>
      <c r="TA211" s="30"/>
      <c r="TB211" s="30"/>
      <c r="TC211" s="30"/>
      <c r="TD211" s="30"/>
      <c r="TE211" s="30"/>
      <c r="TF211" s="30"/>
      <c r="TG211" s="30"/>
    </row>
    <row r="212" spans="1:527" s="24" customFormat="1" ht="21.75" customHeight="1" x14ac:dyDescent="0.25">
      <c r="A212" s="60" t="s">
        <v>459</v>
      </c>
      <c r="B212" s="60" t="s">
        <v>460</v>
      </c>
      <c r="C212" s="60" t="s">
        <v>113</v>
      </c>
      <c r="D212" s="6" t="s">
        <v>565</v>
      </c>
      <c r="E212" s="103">
        <f t="shared" si="90"/>
        <v>0</v>
      </c>
      <c r="F212" s="103"/>
      <c r="G212" s="103"/>
      <c r="H212" s="103"/>
      <c r="I212" s="103"/>
      <c r="J212" s="103">
        <f t="shared" si="92"/>
        <v>570000</v>
      </c>
      <c r="K212" s="103">
        <f>950000+20000-400000</f>
        <v>570000</v>
      </c>
      <c r="L212" s="103"/>
      <c r="M212" s="103"/>
      <c r="N212" s="103"/>
      <c r="O212" s="103">
        <f>950000+20000-400000</f>
        <v>570000</v>
      </c>
      <c r="P212" s="103">
        <f t="shared" si="91"/>
        <v>570000</v>
      </c>
      <c r="Q212" s="188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/>
      <c r="IJ212" s="30"/>
      <c r="IK212" s="30"/>
      <c r="IL212" s="30"/>
      <c r="IM212" s="30"/>
      <c r="IN212" s="30"/>
      <c r="IO212" s="30"/>
      <c r="IP212" s="30"/>
      <c r="IQ212" s="30"/>
      <c r="IR212" s="30"/>
      <c r="IS212" s="30"/>
      <c r="IT212" s="30"/>
      <c r="IU212" s="30"/>
      <c r="IV212" s="30"/>
      <c r="IW212" s="30"/>
      <c r="IX212" s="30"/>
      <c r="IY212" s="30"/>
      <c r="IZ212" s="30"/>
      <c r="JA212" s="30"/>
      <c r="JB212" s="30"/>
      <c r="JC212" s="30"/>
      <c r="JD212" s="30"/>
      <c r="JE212" s="30"/>
      <c r="JF212" s="30"/>
      <c r="JG212" s="30"/>
      <c r="JH212" s="30"/>
      <c r="JI212" s="30"/>
      <c r="JJ212" s="30"/>
      <c r="JK212" s="30"/>
      <c r="JL212" s="30"/>
      <c r="JM212" s="30"/>
      <c r="JN212" s="30"/>
      <c r="JO212" s="30"/>
      <c r="JP212" s="30"/>
      <c r="JQ212" s="30"/>
      <c r="JR212" s="30"/>
      <c r="JS212" s="30"/>
      <c r="JT212" s="30"/>
      <c r="JU212" s="30"/>
      <c r="JV212" s="30"/>
      <c r="JW212" s="30"/>
      <c r="JX212" s="30"/>
      <c r="JY212" s="30"/>
      <c r="JZ212" s="30"/>
      <c r="KA212" s="30"/>
      <c r="KB212" s="30"/>
      <c r="KC212" s="30"/>
      <c r="KD212" s="30"/>
      <c r="KE212" s="30"/>
      <c r="KF212" s="30"/>
      <c r="KG212" s="30"/>
      <c r="KH212" s="30"/>
      <c r="KI212" s="30"/>
      <c r="KJ212" s="30"/>
      <c r="KK212" s="30"/>
      <c r="KL212" s="30"/>
      <c r="KM212" s="30"/>
      <c r="KN212" s="30"/>
      <c r="KO212" s="30"/>
      <c r="KP212" s="30"/>
      <c r="KQ212" s="30"/>
      <c r="KR212" s="30"/>
      <c r="KS212" s="30"/>
      <c r="KT212" s="30"/>
      <c r="KU212" s="30"/>
      <c r="KV212" s="30"/>
      <c r="KW212" s="30"/>
      <c r="KX212" s="30"/>
      <c r="KY212" s="30"/>
      <c r="KZ212" s="30"/>
      <c r="LA212" s="30"/>
      <c r="LB212" s="30"/>
      <c r="LC212" s="30"/>
      <c r="LD212" s="30"/>
      <c r="LE212" s="30"/>
      <c r="LF212" s="30"/>
      <c r="LG212" s="30"/>
      <c r="LH212" s="30"/>
      <c r="LI212" s="30"/>
      <c r="LJ212" s="30"/>
      <c r="LK212" s="30"/>
      <c r="LL212" s="30"/>
      <c r="LM212" s="30"/>
      <c r="LN212" s="30"/>
      <c r="LO212" s="30"/>
      <c r="LP212" s="30"/>
      <c r="LQ212" s="30"/>
      <c r="LR212" s="30"/>
      <c r="LS212" s="30"/>
      <c r="LT212" s="30"/>
      <c r="LU212" s="30"/>
      <c r="LV212" s="30"/>
      <c r="LW212" s="30"/>
      <c r="LX212" s="30"/>
      <c r="LY212" s="30"/>
      <c r="LZ212" s="30"/>
      <c r="MA212" s="30"/>
      <c r="MB212" s="30"/>
      <c r="MC212" s="30"/>
      <c r="MD212" s="30"/>
      <c r="ME212" s="30"/>
      <c r="MF212" s="30"/>
      <c r="MG212" s="30"/>
      <c r="MH212" s="30"/>
      <c r="MI212" s="30"/>
      <c r="MJ212" s="30"/>
      <c r="MK212" s="30"/>
      <c r="ML212" s="30"/>
      <c r="MM212" s="30"/>
      <c r="MN212" s="30"/>
      <c r="MO212" s="30"/>
      <c r="MP212" s="30"/>
      <c r="MQ212" s="30"/>
      <c r="MR212" s="30"/>
      <c r="MS212" s="30"/>
      <c r="MT212" s="30"/>
      <c r="MU212" s="30"/>
      <c r="MV212" s="30"/>
      <c r="MW212" s="30"/>
      <c r="MX212" s="30"/>
      <c r="MY212" s="30"/>
      <c r="MZ212" s="30"/>
      <c r="NA212" s="30"/>
      <c r="NB212" s="30"/>
      <c r="NC212" s="30"/>
      <c r="ND212" s="30"/>
      <c r="NE212" s="30"/>
      <c r="NF212" s="30"/>
      <c r="NG212" s="30"/>
      <c r="NH212" s="30"/>
      <c r="NI212" s="30"/>
      <c r="NJ212" s="30"/>
      <c r="NK212" s="30"/>
      <c r="NL212" s="30"/>
      <c r="NM212" s="30"/>
      <c r="NN212" s="30"/>
      <c r="NO212" s="30"/>
      <c r="NP212" s="30"/>
      <c r="NQ212" s="30"/>
      <c r="NR212" s="30"/>
      <c r="NS212" s="30"/>
      <c r="NT212" s="30"/>
      <c r="NU212" s="30"/>
      <c r="NV212" s="30"/>
      <c r="NW212" s="30"/>
      <c r="NX212" s="30"/>
      <c r="NY212" s="30"/>
      <c r="NZ212" s="30"/>
      <c r="OA212" s="30"/>
      <c r="OB212" s="30"/>
      <c r="OC212" s="30"/>
      <c r="OD212" s="30"/>
      <c r="OE212" s="30"/>
      <c r="OF212" s="30"/>
      <c r="OG212" s="30"/>
      <c r="OH212" s="30"/>
      <c r="OI212" s="30"/>
      <c r="OJ212" s="30"/>
      <c r="OK212" s="30"/>
      <c r="OL212" s="30"/>
      <c r="OM212" s="30"/>
      <c r="ON212" s="30"/>
      <c r="OO212" s="30"/>
      <c r="OP212" s="30"/>
      <c r="OQ212" s="30"/>
      <c r="OR212" s="30"/>
      <c r="OS212" s="30"/>
      <c r="OT212" s="30"/>
      <c r="OU212" s="30"/>
      <c r="OV212" s="30"/>
      <c r="OW212" s="30"/>
      <c r="OX212" s="30"/>
      <c r="OY212" s="30"/>
      <c r="OZ212" s="30"/>
      <c r="PA212" s="30"/>
      <c r="PB212" s="30"/>
      <c r="PC212" s="30"/>
      <c r="PD212" s="30"/>
      <c r="PE212" s="30"/>
      <c r="PF212" s="30"/>
      <c r="PG212" s="30"/>
      <c r="PH212" s="30"/>
      <c r="PI212" s="30"/>
      <c r="PJ212" s="30"/>
      <c r="PK212" s="30"/>
      <c r="PL212" s="30"/>
      <c r="PM212" s="30"/>
      <c r="PN212" s="30"/>
      <c r="PO212" s="30"/>
      <c r="PP212" s="30"/>
      <c r="PQ212" s="30"/>
      <c r="PR212" s="30"/>
      <c r="PS212" s="30"/>
      <c r="PT212" s="30"/>
      <c r="PU212" s="30"/>
      <c r="PV212" s="30"/>
      <c r="PW212" s="30"/>
      <c r="PX212" s="30"/>
      <c r="PY212" s="30"/>
      <c r="PZ212" s="30"/>
      <c r="QA212" s="30"/>
      <c r="QB212" s="30"/>
      <c r="QC212" s="30"/>
      <c r="QD212" s="30"/>
      <c r="QE212" s="30"/>
      <c r="QF212" s="30"/>
      <c r="QG212" s="30"/>
      <c r="QH212" s="30"/>
      <c r="QI212" s="30"/>
      <c r="QJ212" s="30"/>
      <c r="QK212" s="30"/>
      <c r="QL212" s="30"/>
      <c r="QM212" s="30"/>
      <c r="QN212" s="30"/>
      <c r="QO212" s="30"/>
      <c r="QP212" s="30"/>
      <c r="QQ212" s="30"/>
      <c r="QR212" s="30"/>
      <c r="QS212" s="30"/>
      <c r="QT212" s="30"/>
      <c r="QU212" s="30"/>
      <c r="QV212" s="30"/>
      <c r="QW212" s="30"/>
      <c r="QX212" s="30"/>
      <c r="QY212" s="30"/>
      <c r="QZ212" s="30"/>
      <c r="RA212" s="30"/>
      <c r="RB212" s="30"/>
      <c r="RC212" s="30"/>
      <c r="RD212" s="30"/>
      <c r="RE212" s="30"/>
      <c r="RF212" s="30"/>
      <c r="RG212" s="30"/>
      <c r="RH212" s="30"/>
      <c r="RI212" s="30"/>
      <c r="RJ212" s="30"/>
      <c r="RK212" s="30"/>
      <c r="RL212" s="30"/>
      <c r="RM212" s="30"/>
      <c r="RN212" s="30"/>
      <c r="RO212" s="30"/>
      <c r="RP212" s="30"/>
      <c r="RQ212" s="30"/>
      <c r="RR212" s="30"/>
      <c r="RS212" s="30"/>
      <c r="RT212" s="30"/>
      <c r="RU212" s="30"/>
      <c r="RV212" s="30"/>
      <c r="RW212" s="30"/>
      <c r="RX212" s="30"/>
      <c r="RY212" s="30"/>
      <c r="RZ212" s="30"/>
      <c r="SA212" s="30"/>
      <c r="SB212" s="30"/>
      <c r="SC212" s="30"/>
      <c r="SD212" s="30"/>
      <c r="SE212" s="30"/>
      <c r="SF212" s="30"/>
      <c r="SG212" s="30"/>
      <c r="SH212" s="30"/>
      <c r="SI212" s="30"/>
      <c r="SJ212" s="30"/>
      <c r="SK212" s="30"/>
      <c r="SL212" s="30"/>
      <c r="SM212" s="30"/>
      <c r="SN212" s="30"/>
      <c r="SO212" s="30"/>
      <c r="SP212" s="30"/>
      <c r="SQ212" s="30"/>
      <c r="SR212" s="30"/>
      <c r="SS212" s="30"/>
      <c r="ST212" s="30"/>
      <c r="SU212" s="30"/>
      <c r="SV212" s="30"/>
      <c r="SW212" s="30"/>
      <c r="SX212" s="30"/>
      <c r="SY212" s="30"/>
      <c r="SZ212" s="30"/>
      <c r="TA212" s="30"/>
      <c r="TB212" s="30"/>
      <c r="TC212" s="30"/>
      <c r="TD212" s="30"/>
      <c r="TE212" s="30"/>
      <c r="TF212" s="30"/>
      <c r="TG212" s="30"/>
    </row>
    <row r="213" spans="1:527" s="22" customFormat="1" ht="22.5" customHeight="1" x14ac:dyDescent="0.25">
      <c r="A213" s="60" t="s">
        <v>147</v>
      </c>
      <c r="B213" s="97" t="str">
        <f>'дод 5'!A203</f>
        <v>7640</v>
      </c>
      <c r="C213" s="97" t="str">
        <f>'дод 5'!B203</f>
        <v>0470</v>
      </c>
      <c r="D213" s="61" t="s">
        <v>424</v>
      </c>
      <c r="E213" s="103">
        <f t="shared" si="90"/>
        <v>0</v>
      </c>
      <c r="F213" s="103"/>
      <c r="G213" s="103"/>
      <c r="H213" s="103"/>
      <c r="I213" s="103"/>
      <c r="J213" s="103">
        <f t="shared" si="92"/>
        <v>1500000</v>
      </c>
      <c r="K213" s="103">
        <v>1500000</v>
      </c>
      <c r="L213" s="103"/>
      <c r="M213" s="103"/>
      <c r="N213" s="103"/>
      <c r="O213" s="103">
        <v>1500000</v>
      </c>
      <c r="P213" s="103">
        <f t="shared" si="91"/>
        <v>1500000</v>
      </c>
      <c r="Q213" s="188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</row>
    <row r="214" spans="1:527" s="22" customFormat="1" ht="22.5" hidden="1" customHeight="1" x14ac:dyDescent="0.25">
      <c r="A214" s="60">
        <v>1018340</v>
      </c>
      <c r="B214" s="97" t="str">
        <f>'дод 5'!A225</f>
        <v>8340</v>
      </c>
      <c r="C214" s="97" t="str">
        <f>'дод 5'!B225</f>
        <v>0540</v>
      </c>
      <c r="D214" s="121" t="str">
        <f>'дод 5'!C225</f>
        <v>Природоохоронні заходи за рахунок цільових фондів</v>
      </c>
      <c r="E214" s="103">
        <f t="shared" si="90"/>
        <v>0</v>
      </c>
      <c r="F214" s="103"/>
      <c r="G214" s="103"/>
      <c r="H214" s="103"/>
      <c r="I214" s="103"/>
      <c r="J214" s="103">
        <f t="shared" si="92"/>
        <v>0</v>
      </c>
      <c r="K214" s="103"/>
      <c r="L214" s="103"/>
      <c r="M214" s="103"/>
      <c r="N214" s="103"/>
      <c r="O214" s="103"/>
      <c r="P214" s="103">
        <f t="shared" si="91"/>
        <v>0</v>
      </c>
      <c r="Q214" s="188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</row>
    <row r="215" spans="1:527" s="27" customFormat="1" ht="34.5" customHeight="1" x14ac:dyDescent="0.25">
      <c r="A215" s="114" t="s">
        <v>196</v>
      </c>
      <c r="B215" s="116"/>
      <c r="C215" s="116"/>
      <c r="D215" s="111" t="s">
        <v>33</v>
      </c>
      <c r="E215" s="99">
        <f>E216</f>
        <v>327903635.13999999</v>
      </c>
      <c r="F215" s="99">
        <f t="shared" ref="F215:J215" si="93">F216</f>
        <v>295161676.65999997</v>
      </c>
      <c r="G215" s="99">
        <f t="shared" si="93"/>
        <v>11274000</v>
      </c>
      <c r="H215" s="99">
        <f t="shared" si="93"/>
        <v>35226635</v>
      </c>
      <c r="I215" s="99">
        <f t="shared" si="93"/>
        <v>32741958.48</v>
      </c>
      <c r="J215" s="99">
        <f t="shared" si="93"/>
        <v>162659749.72999996</v>
      </c>
      <c r="K215" s="99">
        <f t="shared" ref="K215" si="94">K216</f>
        <v>155654583.15999997</v>
      </c>
      <c r="L215" s="99">
        <f t="shared" ref="L215" si="95">L216</f>
        <v>1926086.57</v>
      </c>
      <c r="M215" s="99">
        <f t="shared" ref="M215" si="96">M216</f>
        <v>0</v>
      </c>
      <c r="N215" s="99">
        <f t="shared" ref="N215" si="97">N216</f>
        <v>0</v>
      </c>
      <c r="O215" s="99">
        <f t="shared" ref="O215:P215" si="98">O216</f>
        <v>160733663.15999997</v>
      </c>
      <c r="P215" s="99">
        <f t="shared" si="98"/>
        <v>490563384.87</v>
      </c>
      <c r="Q215" s="188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 s="32"/>
      <c r="EI215" s="32"/>
      <c r="EJ215" s="32"/>
      <c r="EK215" s="32"/>
      <c r="EL215" s="32"/>
      <c r="EM215" s="32"/>
      <c r="EN215" s="32"/>
      <c r="EO215" s="32"/>
      <c r="EP215" s="32"/>
      <c r="EQ215" s="32"/>
      <c r="ER215" s="32"/>
      <c r="ES215" s="32"/>
      <c r="ET215" s="32"/>
      <c r="EU215" s="32"/>
      <c r="EV215" s="32"/>
      <c r="EW215" s="32"/>
      <c r="EX215" s="32"/>
      <c r="EY215" s="32"/>
      <c r="EZ215" s="32"/>
      <c r="FA215" s="32"/>
      <c r="FB215" s="32"/>
      <c r="FC215" s="32"/>
      <c r="FD215" s="32"/>
      <c r="FE215" s="32"/>
      <c r="FF215" s="32"/>
      <c r="FG215" s="32"/>
      <c r="FH215" s="32"/>
      <c r="FI215" s="32"/>
      <c r="FJ215" s="32"/>
      <c r="FK215" s="32"/>
      <c r="FL215" s="32"/>
      <c r="FM215" s="32"/>
      <c r="FN215" s="32"/>
      <c r="FO215" s="32"/>
      <c r="FP215" s="32"/>
      <c r="FQ215" s="32"/>
      <c r="FR215" s="32"/>
      <c r="FS215" s="32"/>
      <c r="FT215" s="32"/>
      <c r="FU215" s="32"/>
      <c r="FV215" s="32"/>
      <c r="FW215" s="32"/>
      <c r="FX215" s="32"/>
      <c r="FY215" s="32"/>
      <c r="FZ215" s="32"/>
      <c r="GA215" s="32"/>
      <c r="GB215" s="32"/>
      <c r="GC215" s="32"/>
      <c r="GD215" s="32"/>
      <c r="GE215" s="32"/>
      <c r="GF215" s="32"/>
      <c r="GG215" s="32"/>
      <c r="GH215" s="32"/>
      <c r="GI215" s="32"/>
      <c r="GJ215" s="32"/>
      <c r="GK215" s="32"/>
      <c r="GL215" s="32"/>
      <c r="GM215" s="32"/>
      <c r="GN215" s="32"/>
      <c r="GO215" s="32"/>
      <c r="GP215" s="32"/>
      <c r="GQ215" s="32"/>
      <c r="GR215" s="32"/>
      <c r="GS215" s="32"/>
      <c r="GT215" s="32"/>
      <c r="GU215" s="32"/>
      <c r="GV215" s="32"/>
      <c r="GW215" s="32"/>
      <c r="GX215" s="32"/>
      <c r="GY215" s="32"/>
      <c r="GZ215" s="32"/>
      <c r="HA215" s="32"/>
      <c r="HB215" s="32"/>
      <c r="HC215" s="32"/>
      <c r="HD215" s="32"/>
      <c r="HE215" s="32"/>
      <c r="HF215" s="32"/>
      <c r="HG215" s="32"/>
      <c r="HH215" s="32"/>
      <c r="HI215" s="32"/>
      <c r="HJ215" s="32"/>
      <c r="HK215" s="32"/>
      <c r="HL215" s="32"/>
      <c r="HM215" s="32"/>
      <c r="HN215" s="32"/>
      <c r="HO215" s="32"/>
      <c r="HP215" s="32"/>
      <c r="HQ215" s="32"/>
      <c r="HR215" s="32"/>
      <c r="HS215" s="32"/>
      <c r="HT215" s="32"/>
      <c r="HU215" s="32"/>
      <c r="HV215" s="32"/>
      <c r="HW215" s="32"/>
      <c r="HX215" s="32"/>
      <c r="HY215" s="32"/>
      <c r="HZ215" s="32"/>
      <c r="IA215" s="32"/>
      <c r="IB215" s="32"/>
      <c r="IC215" s="32"/>
      <c r="ID215" s="32"/>
      <c r="IE215" s="32"/>
      <c r="IF215" s="32"/>
      <c r="IG215" s="32"/>
      <c r="IH215" s="32"/>
      <c r="II215" s="32"/>
      <c r="IJ215" s="32"/>
      <c r="IK215" s="32"/>
      <c r="IL215" s="32"/>
      <c r="IM215" s="32"/>
      <c r="IN215" s="32"/>
      <c r="IO215" s="32"/>
      <c r="IP215" s="32"/>
      <c r="IQ215" s="32"/>
      <c r="IR215" s="32"/>
      <c r="IS215" s="32"/>
      <c r="IT215" s="32"/>
      <c r="IU215" s="32"/>
      <c r="IV215" s="32"/>
      <c r="IW215" s="32"/>
      <c r="IX215" s="32"/>
      <c r="IY215" s="32"/>
      <c r="IZ215" s="32"/>
      <c r="JA215" s="32"/>
      <c r="JB215" s="32"/>
      <c r="JC215" s="32"/>
      <c r="JD215" s="32"/>
      <c r="JE215" s="32"/>
      <c r="JF215" s="32"/>
      <c r="JG215" s="32"/>
      <c r="JH215" s="32"/>
      <c r="JI215" s="32"/>
      <c r="JJ215" s="32"/>
      <c r="JK215" s="32"/>
      <c r="JL215" s="32"/>
      <c r="JM215" s="32"/>
      <c r="JN215" s="32"/>
      <c r="JO215" s="32"/>
      <c r="JP215" s="32"/>
      <c r="JQ215" s="32"/>
      <c r="JR215" s="32"/>
      <c r="JS215" s="32"/>
      <c r="JT215" s="32"/>
      <c r="JU215" s="32"/>
      <c r="JV215" s="32"/>
      <c r="JW215" s="32"/>
      <c r="JX215" s="32"/>
      <c r="JY215" s="32"/>
      <c r="JZ215" s="32"/>
      <c r="KA215" s="32"/>
      <c r="KB215" s="32"/>
      <c r="KC215" s="32"/>
      <c r="KD215" s="32"/>
      <c r="KE215" s="32"/>
      <c r="KF215" s="32"/>
      <c r="KG215" s="32"/>
      <c r="KH215" s="32"/>
      <c r="KI215" s="32"/>
      <c r="KJ215" s="32"/>
      <c r="KK215" s="32"/>
      <c r="KL215" s="32"/>
      <c r="KM215" s="32"/>
      <c r="KN215" s="32"/>
      <c r="KO215" s="32"/>
      <c r="KP215" s="32"/>
      <c r="KQ215" s="32"/>
      <c r="KR215" s="32"/>
      <c r="KS215" s="32"/>
      <c r="KT215" s="32"/>
      <c r="KU215" s="32"/>
      <c r="KV215" s="32"/>
      <c r="KW215" s="32"/>
      <c r="KX215" s="32"/>
      <c r="KY215" s="32"/>
      <c r="KZ215" s="32"/>
      <c r="LA215" s="32"/>
      <c r="LB215" s="32"/>
      <c r="LC215" s="32"/>
      <c r="LD215" s="32"/>
      <c r="LE215" s="32"/>
      <c r="LF215" s="32"/>
      <c r="LG215" s="32"/>
      <c r="LH215" s="32"/>
      <c r="LI215" s="32"/>
      <c r="LJ215" s="32"/>
      <c r="LK215" s="32"/>
      <c r="LL215" s="32"/>
      <c r="LM215" s="32"/>
      <c r="LN215" s="32"/>
      <c r="LO215" s="32"/>
      <c r="LP215" s="32"/>
      <c r="LQ215" s="32"/>
      <c r="LR215" s="32"/>
      <c r="LS215" s="32"/>
      <c r="LT215" s="32"/>
      <c r="LU215" s="32"/>
      <c r="LV215" s="32"/>
      <c r="LW215" s="32"/>
      <c r="LX215" s="32"/>
      <c r="LY215" s="32"/>
      <c r="LZ215" s="32"/>
      <c r="MA215" s="32"/>
      <c r="MB215" s="32"/>
      <c r="MC215" s="32"/>
      <c r="MD215" s="32"/>
      <c r="ME215" s="32"/>
      <c r="MF215" s="32"/>
      <c r="MG215" s="32"/>
      <c r="MH215" s="32"/>
      <c r="MI215" s="32"/>
      <c r="MJ215" s="32"/>
      <c r="MK215" s="32"/>
      <c r="ML215" s="32"/>
      <c r="MM215" s="32"/>
      <c r="MN215" s="32"/>
      <c r="MO215" s="32"/>
      <c r="MP215" s="32"/>
      <c r="MQ215" s="32"/>
      <c r="MR215" s="32"/>
      <c r="MS215" s="32"/>
      <c r="MT215" s="32"/>
      <c r="MU215" s="32"/>
      <c r="MV215" s="32"/>
      <c r="MW215" s="32"/>
      <c r="MX215" s="32"/>
      <c r="MY215" s="32"/>
      <c r="MZ215" s="32"/>
      <c r="NA215" s="32"/>
      <c r="NB215" s="32"/>
      <c r="NC215" s="32"/>
      <c r="ND215" s="32"/>
      <c r="NE215" s="32"/>
      <c r="NF215" s="32"/>
      <c r="NG215" s="32"/>
      <c r="NH215" s="32"/>
      <c r="NI215" s="32"/>
      <c r="NJ215" s="32"/>
      <c r="NK215" s="32"/>
      <c r="NL215" s="32"/>
      <c r="NM215" s="32"/>
      <c r="NN215" s="32"/>
      <c r="NO215" s="32"/>
      <c r="NP215" s="32"/>
      <c r="NQ215" s="32"/>
      <c r="NR215" s="32"/>
      <c r="NS215" s="32"/>
      <c r="NT215" s="32"/>
      <c r="NU215" s="32"/>
      <c r="NV215" s="32"/>
      <c r="NW215" s="32"/>
      <c r="NX215" s="32"/>
      <c r="NY215" s="32"/>
      <c r="NZ215" s="32"/>
      <c r="OA215" s="32"/>
      <c r="OB215" s="32"/>
      <c r="OC215" s="32"/>
      <c r="OD215" s="32"/>
      <c r="OE215" s="32"/>
      <c r="OF215" s="32"/>
      <c r="OG215" s="32"/>
      <c r="OH215" s="32"/>
      <c r="OI215" s="32"/>
      <c r="OJ215" s="32"/>
      <c r="OK215" s="32"/>
      <c r="OL215" s="32"/>
      <c r="OM215" s="32"/>
      <c r="ON215" s="32"/>
      <c r="OO215" s="32"/>
      <c r="OP215" s="32"/>
      <c r="OQ215" s="32"/>
      <c r="OR215" s="32"/>
      <c r="OS215" s="32"/>
      <c r="OT215" s="32"/>
      <c r="OU215" s="32"/>
      <c r="OV215" s="32"/>
      <c r="OW215" s="32"/>
      <c r="OX215" s="32"/>
      <c r="OY215" s="32"/>
      <c r="OZ215" s="32"/>
      <c r="PA215" s="32"/>
      <c r="PB215" s="32"/>
      <c r="PC215" s="32"/>
      <c r="PD215" s="32"/>
      <c r="PE215" s="32"/>
      <c r="PF215" s="32"/>
      <c r="PG215" s="32"/>
      <c r="PH215" s="32"/>
      <c r="PI215" s="32"/>
      <c r="PJ215" s="32"/>
      <c r="PK215" s="32"/>
      <c r="PL215" s="32"/>
      <c r="PM215" s="32"/>
      <c r="PN215" s="32"/>
      <c r="PO215" s="32"/>
      <c r="PP215" s="32"/>
      <c r="PQ215" s="32"/>
      <c r="PR215" s="32"/>
      <c r="PS215" s="32"/>
      <c r="PT215" s="32"/>
      <c r="PU215" s="32"/>
      <c r="PV215" s="32"/>
      <c r="PW215" s="32"/>
      <c r="PX215" s="32"/>
      <c r="PY215" s="32"/>
      <c r="PZ215" s="32"/>
      <c r="QA215" s="32"/>
      <c r="QB215" s="32"/>
      <c r="QC215" s="32"/>
      <c r="QD215" s="32"/>
      <c r="QE215" s="32"/>
      <c r="QF215" s="32"/>
      <c r="QG215" s="32"/>
      <c r="QH215" s="32"/>
      <c r="QI215" s="32"/>
      <c r="QJ215" s="32"/>
      <c r="QK215" s="32"/>
      <c r="QL215" s="32"/>
      <c r="QM215" s="32"/>
      <c r="QN215" s="32"/>
      <c r="QO215" s="32"/>
      <c r="QP215" s="32"/>
      <c r="QQ215" s="32"/>
      <c r="QR215" s="32"/>
      <c r="QS215" s="32"/>
      <c r="QT215" s="32"/>
      <c r="QU215" s="32"/>
      <c r="QV215" s="32"/>
      <c r="QW215" s="32"/>
      <c r="QX215" s="32"/>
      <c r="QY215" s="32"/>
      <c r="QZ215" s="32"/>
      <c r="RA215" s="32"/>
      <c r="RB215" s="32"/>
      <c r="RC215" s="32"/>
      <c r="RD215" s="32"/>
      <c r="RE215" s="32"/>
      <c r="RF215" s="32"/>
      <c r="RG215" s="32"/>
      <c r="RH215" s="32"/>
      <c r="RI215" s="32"/>
      <c r="RJ215" s="32"/>
      <c r="RK215" s="32"/>
      <c r="RL215" s="32"/>
      <c r="RM215" s="32"/>
      <c r="RN215" s="32"/>
      <c r="RO215" s="32"/>
      <c r="RP215" s="32"/>
      <c r="RQ215" s="32"/>
      <c r="RR215" s="32"/>
      <c r="RS215" s="32"/>
      <c r="RT215" s="32"/>
      <c r="RU215" s="32"/>
      <c r="RV215" s="32"/>
      <c r="RW215" s="32"/>
      <c r="RX215" s="32"/>
      <c r="RY215" s="32"/>
      <c r="RZ215" s="32"/>
      <c r="SA215" s="32"/>
      <c r="SB215" s="32"/>
      <c r="SC215" s="32"/>
      <c r="SD215" s="32"/>
      <c r="SE215" s="32"/>
      <c r="SF215" s="32"/>
      <c r="SG215" s="32"/>
      <c r="SH215" s="32"/>
      <c r="SI215" s="32"/>
      <c r="SJ215" s="32"/>
      <c r="SK215" s="32"/>
      <c r="SL215" s="32"/>
      <c r="SM215" s="32"/>
      <c r="SN215" s="32"/>
      <c r="SO215" s="32"/>
      <c r="SP215" s="32"/>
      <c r="SQ215" s="32"/>
      <c r="SR215" s="32"/>
      <c r="SS215" s="32"/>
      <c r="ST215" s="32"/>
      <c r="SU215" s="32"/>
      <c r="SV215" s="32"/>
      <c r="SW215" s="32"/>
      <c r="SX215" s="32"/>
      <c r="SY215" s="32"/>
      <c r="SZ215" s="32"/>
      <c r="TA215" s="32"/>
      <c r="TB215" s="32"/>
      <c r="TC215" s="32"/>
      <c r="TD215" s="32"/>
      <c r="TE215" s="32"/>
      <c r="TF215" s="32"/>
      <c r="TG215" s="32"/>
    </row>
    <row r="216" spans="1:527" s="34" customFormat="1" ht="36.75" customHeight="1" x14ac:dyDescent="0.25">
      <c r="A216" s="100" t="s">
        <v>197</v>
      </c>
      <c r="B216" s="113"/>
      <c r="C216" s="113"/>
      <c r="D216" s="81" t="s">
        <v>398</v>
      </c>
      <c r="E216" s="102">
        <f>E222+E223+E224+E225+E226+E227+E228+E229+E230+E231+E232+E233+E235+E234+E237+E242+E243+E244+E246+E249+E250+E251+E236+E239+E248+E247</f>
        <v>327903635.13999999</v>
      </c>
      <c r="F216" s="102">
        <f t="shared" ref="F216:P216" si="99">F222+F223+F224+F225+F226+F227+F228+F229+F230+F231+F232+F233+F235+F234+F237+F242+F243+F244+F246+F249+F250+F251+F236+F239+F248+F247</f>
        <v>295161676.65999997</v>
      </c>
      <c r="G216" s="102">
        <f t="shared" si="99"/>
        <v>11274000</v>
      </c>
      <c r="H216" s="102">
        <f t="shared" si="99"/>
        <v>35226635</v>
      </c>
      <c r="I216" s="102">
        <f t="shared" si="99"/>
        <v>32741958.48</v>
      </c>
      <c r="J216" s="102">
        <f t="shared" si="99"/>
        <v>162659749.72999996</v>
      </c>
      <c r="K216" s="102">
        <f t="shared" si="99"/>
        <v>155654583.15999997</v>
      </c>
      <c r="L216" s="102">
        <f t="shared" si="99"/>
        <v>1926086.57</v>
      </c>
      <c r="M216" s="102">
        <f t="shared" si="99"/>
        <v>0</v>
      </c>
      <c r="N216" s="102">
        <f t="shared" si="99"/>
        <v>0</v>
      </c>
      <c r="O216" s="102">
        <f t="shared" si="99"/>
        <v>160733663.15999997</v>
      </c>
      <c r="P216" s="102">
        <f t="shared" si="99"/>
        <v>490563384.87</v>
      </c>
      <c r="Q216" s="188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  <c r="GB216" s="33"/>
      <c r="GC216" s="33"/>
      <c r="GD216" s="33"/>
      <c r="GE216" s="33"/>
      <c r="GF216" s="33"/>
      <c r="GG216" s="33"/>
      <c r="GH216" s="33"/>
      <c r="GI216" s="33"/>
      <c r="GJ216" s="33"/>
      <c r="GK216" s="33"/>
      <c r="GL216" s="33"/>
      <c r="GM216" s="33"/>
      <c r="GN216" s="33"/>
      <c r="GO216" s="33"/>
      <c r="GP216" s="33"/>
      <c r="GQ216" s="33"/>
      <c r="GR216" s="33"/>
      <c r="GS216" s="33"/>
      <c r="GT216" s="33"/>
      <c r="GU216" s="33"/>
      <c r="GV216" s="33"/>
      <c r="GW216" s="33"/>
      <c r="GX216" s="33"/>
      <c r="GY216" s="33"/>
      <c r="GZ216" s="33"/>
      <c r="HA216" s="33"/>
      <c r="HB216" s="33"/>
      <c r="HC216" s="33"/>
      <c r="HD216" s="33"/>
      <c r="HE216" s="33"/>
      <c r="HF216" s="33"/>
      <c r="HG216" s="33"/>
      <c r="HH216" s="33"/>
      <c r="HI216" s="33"/>
      <c r="HJ216" s="33"/>
      <c r="HK216" s="33"/>
      <c r="HL216" s="33"/>
      <c r="HM216" s="33"/>
      <c r="HN216" s="33"/>
      <c r="HO216" s="33"/>
      <c r="HP216" s="33"/>
      <c r="HQ216" s="33"/>
      <c r="HR216" s="33"/>
      <c r="HS216" s="33"/>
      <c r="HT216" s="33"/>
      <c r="HU216" s="33"/>
      <c r="HV216" s="33"/>
      <c r="HW216" s="33"/>
      <c r="HX216" s="33"/>
      <c r="HY216" s="33"/>
      <c r="HZ216" s="33"/>
      <c r="IA216" s="33"/>
      <c r="IB216" s="33"/>
      <c r="IC216" s="33"/>
      <c r="ID216" s="33"/>
      <c r="IE216" s="33"/>
      <c r="IF216" s="33"/>
      <c r="IG216" s="33"/>
      <c r="IH216" s="33"/>
      <c r="II216" s="33"/>
      <c r="IJ216" s="33"/>
      <c r="IK216" s="33"/>
      <c r="IL216" s="33"/>
      <c r="IM216" s="33"/>
      <c r="IN216" s="33"/>
      <c r="IO216" s="33"/>
      <c r="IP216" s="33"/>
      <c r="IQ216" s="33"/>
      <c r="IR216" s="33"/>
      <c r="IS216" s="33"/>
      <c r="IT216" s="33"/>
      <c r="IU216" s="33"/>
      <c r="IV216" s="33"/>
      <c r="IW216" s="33"/>
      <c r="IX216" s="33"/>
      <c r="IY216" s="33"/>
      <c r="IZ216" s="33"/>
      <c r="JA216" s="33"/>
      <c r="JB216" s="33"/>
      <c r="JC216" s="33"/>
      <c r="JD216" s="33"/>
      <c r="JE216" s="33"/>
      <c r="JF216" s="33"/>
      <c r="JG216" s="33"/>
      <c r="JH216" s="33"/>
      <c r="JI216" s="33"/>
      <c r="JJ216" s="33"/>
      <c r="JK216" s="33"/>
      <c r="JL216" s="33"/>
      <c r="JM216" s="33"/>
      <c r="JN216" s="33"/>
      <c r="JO216" s="33"/>
      <c r="JP216" s="33"/>
      <c r="JQ216" s="33"/>
      <c r="JR216" s="33"/>
      <c r="JS216" s="33"/>
      <c r="JT216" s="33"/>
      <c r="JU216" s="33"/>
      <c r="JV216" s="33"/>
      <c r="JW216" s="33"/>
      <c r="JX216" s="33"/>
      <c r="JY216" s="33"/>
      <c r="JZ216" s="33"/>
      <c r="KA216" s="33"/>
      <c r="KB216" s="33"/>
      <c r="KC216" s="33"/>
      <c r="KD216" s="33"/>
      <c r="KE216" s="33"/>
      <c r="KF216" s="33"/>
      <c r="KG216" s="33"/>
      <c r="KH216" s="33"/>
      <c r="KI216" s="33"/>
      <c r="KJ216" s="33"/>
      <c r="KK216" s="33"/>
      <c r="KL216" s="33"/>
      <c r="KM216" s="33"/>
      <c r="KN216" s="33"/>
      <c r="KO216" s="33"/>
      <c r="KP216" s="33"/>
      <c r="KQ216" s="33"/>
      <c r="KR216" s="33"/>
      <c r="KS216" s="33"/>
      <c r="KT216" s="33"/>
      <c r="KU216" s="33"/>
      <c r="KV216" s="33"/>
      <c r="KW216" s="33"/>
      <c r="KX216" s="33"/>
      <c r="KY216" s="33"/>
      <c r="KZ216" s="33"/>
      <c r="LA216" s="33"/>
      <c r="LB216" s="33"/>
      <c r="LC216" s="33"/>
      <c r="LD216" s="33"/>
      <c r="LE216" s="33"/>
      <c r="LF216" s="33"/>
      <c r="LG216" s="33"/>
      <c r="LH216" s="33"/>
      <c r="LI216" s="33"/>
      <c r="LJ216" s="33"/>
      <c r="LK216" s="33"/>
      <c r="LL216" s="33"/>
      <c r="LM216" s="33"/>
      <c r="LN216" s="33"/>
      <c r="LO216" s="33"/>
      <c r="LP216" s="33"/>
      <c r="LQ216" s="33"/>
      <c r="LR216" s="33"/>
      <c r="LS216" s="33"/>
      <c r="LT216" s="33"/>
      <c r="LU216" s="33"/>
      <c r="LV216" s="33"/>
      <c r="LW216" s="33"/>
      <c r="LX216" s="33"/>
      <c r="LY216" s="33"/>
      <c r="LZ216" s="33"/>
      <c r="MA216" s="33"/>
      <c r="MB216" s="33"/>
      <c r="MC216" s="33"/>
      <c r="MD216" s="33"/>
      <c r="ME216" s="33"/>
      <c r="MF216" s="33"/>
      <c r="MG216" s="33"/>
      <c r="MH216" s="33"/>
      <c r="MI216" s="33"/>
      <c r="MJ216" s="33"/>
      <c r="MK216" s="33"/>
      <c r="ML216" s="33"/>
      <c r="MM216" s="33"/>
      <c r="MN216" s="33"/>
      <c r="MO216" s="33"/>
      <c r="MP216" s="33"/>
      <c r="MQ216" s="33"/>
      <c r="MR216" s="33"/>
      <c r="MS216" s="33"/>
      <c r="MT216" s="33"/>
      <c r="MU216" s="33"/>
      <c r="MV216" s="33"/>
      <c r="MW216" s="33"/>
      <c r="MX216" s="33"/>
      <c r="MY216" s="33"/>
      <c r="MZ216" s="33"/>
      <c r="NA216" s="33"/>
      <c r="NB216" s="33"/>
      <c r="NC216" s="33"/>
      <c r="ND216" s="33"/>
      <c r="NE216" s="33"/>
      <c r="NF216" s="33"/>
      <c r="NG216" s="33"/>
      <c r="NH216" s="33"/>
      <c r="NI216" s="33"/>
      <c r="NJ216" s="33"/>
      <c r="NK216" s="33"/>
      <c r="NL216" s="33"/>
      <c r="NM216" s="33"/>
      <c r="NN216" s="33"/>
      <c r="NO216" s="33"/>
      <c r="NP216" s="33"/>
      <c r="NQ216" s="33"/>
      <c r="NR216" s="33"/>
      <c r="NS216" s="33"/>
      <c r="NT216" s="33"/>
      <c r="NU216" s="33"/>
      <c r="NV216" s="33"/>
      <c r="NW216" s="33"/>
      <c r="NX216" s="33"/>
      <c r="NY216" s="33"/>
      <c r="NZ216" s="33"/>
      <c r="OA216" s="33"/>
      <c r="OB216" s="33"/>
      <c r="OC216" s="33"/>
      <c r="OD216" s="33"/>
      <c r="OE216" s="33"/>
      <c r="OF216" s="33"/>
      <c r="OG216" s="33"/>
      <c r="OH216" s="33"/>
      <c r="OI216" s="33"/>
      <c r="OJ216" s="33"/>
      <c r="OK216" s="33"/>
      <c r="OL216" s="33"/>
      <c r="OM216" s="33"/>
      <c r="ON216" s="33"/>
      <c r="OO216" s="33"/>
      <c r="OP216" s="33"/>
      <c r="OQ216" s="33"/>
      <c r="OR216" s="33"/>
      <c r="OS216" s="33"/>
      <c r="OT216" s="33"/>
      <c r="OU216" s="33"/>
      <c r="OV216" s="33"/>
      <c r="OW216" s="33"/>
      <c r="OX216" s="33"/>
      <c r="OY216" s="33"/>
      <c r="OZ216" s="33"/>
      <c r="PA216" s="33"/>
      <c r="PB216" s="33"/>
      <c r="PC216" s="33"/>
      <c r="PD216" s="33"/>
      <c r="PE216" s="33"/>
      <c r="PF216" s="33"/>
      <c r="PG216" s="33"/>
      <c r="PH216" s="33"/>
      <c r="PI216" s="33"/>
      <c r="PJ216" s="33"/>
      <c r="PK216" s="33"/>
      <c r="PL216" s="33"/>
      <c r="PM216" s="33"/>
      <c r="PN216" s="33"/>
      <c r="PO216" s="33"/>
      <c r="PP216" s="33"/>
      <c r="PQ216" s="33"/>
      <c r="PR216" s="33"/>
      <c r="PS216" s="33"/>
      <c r="PT216" s="33"/>
      <c r="PU216" s="33"/>
      <c r="PV216" s="33"/>
      <c r="PW216" s="33"/>
      <c r="PX216" s="33"/>
      <c r="PY216" s="33"/>
      <c r="PZ216" s="33"/>
      <c r="QA216" s="33"/>
      <c r="QB216" s="33"/>
      <c r="QC216" s="33"/>
      <c r="QD216" s="33"/>
      <c r="QE216" s="33"/>
      <c r="QF216" s="33"/>
      <c r="QG216" s="33"/>
      <c r="QH216" s="33"/>
      <c r="QI216" s="33"/>
      <c r="QJ216" s="33"/>
      <c r="QK216" s="33"/>
      <c r="QL216" s="33"/>
      <c r="QM216" s="33"/>
      <c r="QN216" s="33"/>
      <c r="QO216" s="33"/>
      <c r="QP216" s="33"/>
      <c r="QQ216" s="33"/>
      <c r="QR216" s="33"/>
      <c r="QS216" s="33"/>
      <c r="QT216" s="33"/>
      <c r="QU216" s="33"/>
      <c r="QV216" s="33"/>
      <c r="QW216" s="33"/>
      <c r="QX216" s="33"/>
      <c r="QY216" s="33"/>
      <c r="QZ216" s="33"/>
      <c r="RA216" s="33"/>
      <c r="RB216" s="33"/>
      <c r="RC216" s="33"/>
      <c r="RD216" s="33"/>
      <c r="RE216" s="33"/>
      <c r="RF216" s="33"/>
      <c r="RG216" s="33"/>
      <c r="RH216" s="33"/>
      <c r="RI216" s="33"/>
      <c r="RJ216" s="33"/>
      <c r="RK216" s="33"/>
      <c r="RL216" s="33"/>
      <c r="RM216" s="33"/>
      <c r="RN216" s="33"/>
      <c r="RO216" s="33"/>
      <c r="RP216" s="33"/>
      <c r="RQ216" s="33"/>
      <c r="RR216" s="33"/>
      <c r="RS216" s="33"/>
      <c r="RT216" s="33"/>
      <c r="RU216" s="33"/>
      <c r="RV216" s="33"/>
      <c r="RW216" s="33"/>
      <c r="RX216" s="33"/>
      <c r="RY216" s="33"/>
      <c r="RZ216" s="33"/>
      <c r="SA216" s="33"/>
      <c r="SB216" s="33"/>
      <c r="SC216" s="33"/>
      <c r="SD216" s="33"/>
      <c r="SE216" s="33"/>
      <c r="SF216" s="33"/>
      <c r="SG216" s="33"/>
      <c r="SH216" s="33"/>
      <c r="SI216" s="33"/>
      <c r="SJ216" s="33"/>
      <c r="SK216" s="33"/>
      <c r="SL216" s="33"/>
      <c r="SM216" s="33"/>
      <c r="SN216" s="33"/>
      <c r="SO216" s="33"/>
      <c r="SP216" s="33"/>
      <c r="SQ216" s="33"/>
      <c r="SR216" s="33"/>
      <c r="SS216" s="33"/>
      <c r="ST216" s="33"/>
      <c r="SU216" s="33"/>
      <c r="SV216" s="33"/>
      <c r="SW216" s="33"/>
      <c r="SX216" s="33"/>
      <c r="SY216" s="33"/>
      <c r="SZ216" s="33"/>
      <c r="TA216" s="33"/>
      <c r="TB216" s="33"/>
      <c r="TC216" s="33"/>
      <c r="TD216" s="33"/>
      <c r="TE216" s="33"/>
      <c r="TF216" s="33"/>
      <c r="TG216" s="33"/>
    </row>
    <row r="217" spans="1:527" s="34" customFormat="1" ht="45" hidden="1" customHeight="1" x14ac:dyDescent="0.25">
      <c r="A217" s="100"/>
      <c r="B217" s="113"/>
      <c r="C217" s="113"/>
      <c r="D217" s="81" t="s">
        <v>390</v>
      </c>
      <c r="E217" s="102">
        <f>E238</f>
        <v>0</v>
      </c>
      <c r="F217" s="102">
        <f t="shared" ref="F217:P217" si="100">F238</f>
        <v>0</v>
      </c>
      <c r="G217" s="102">
        <f t="shared" si="100"/>
        <v>0</v>
      </c>
      <c r="H217" s="102">
        <f t="shared" si="100"/>
        <v>0</v>
      </c>
      <c r="I217" s="102">
        <f t="shared" si="100"/>
        <v>0</v>
      </c>
      <c r="J217" s="102">
        <f t="shared" si="100"/>
        <v>5000000</v>
      </c>
      <c r="K217" s="102">
        <f t="shared" si="100"/>
        <v>5000000</v>
      </c>
      <c r="L217" s="102">
        <f t="shared" si="100"/>
        <v>0</v>
      </c>
      <c r="M217" s="102">
        <f t="shared" si="100"/>
        <v>0</v>
      </c>
      <c r="N217" s="102">
        <f t="shared" si="100"/>
        <v>0</v>
      </c>
      <c r="O217" s="102">
        <f t="shared" si="100"/>
        <v>5000000</v>
      </c>
      <c r="P217" s="102">
        <f t="shared" si="100"/>
        <v>5000000</v>
      </c>
      <c r="Q217" s="188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  <c r="FM217" s="33"/>
      <c r="FN217" s="33"/>
      <c r="FO217" s="33"/>
      <c r="FP217" s="33"/>
      <c r="FQ217" s="33"/>
      <c r="FR217" s="33"/>
      <c r="FS217" s="33"/>
      <c r="FT217" s="33"/>
      <c r="FU217" s="33"/>
      <c r="FV217" s="33"/>
      <c r="FW217" s="33"/>
      <c r="FX217" s="33"/>
      <c r="FY217" s="33"/>
      <c r="FZ217" s="33"/>
      <c r="GA217" s="33"/>
      <c r="GB217" s="33"/>
      <c r="GC217" s="33"/>
      <c r="GD217" s="33"/>
      <c r="GE217" s="33"/>
      <c r="GF217" s="33"/>
      <c r="GG217" s="33"/>
      <c r="GH217" s="33"/>
      <c r="GI217" s="33"/>
      <c r="GJ217" s="33"/>
      <c r="GK217" s="33"/>
      <c r="GL217" s="33"/>
      <c r="GM217" s="33"/>
      <c r="GN217" s="33"/>
      <c r="GO217" s="33"/>
      <c r="GP217" s="33"/>
      <c r="GQ217" s="33"/>
      <c r="GR217" s="33"/>
      <c r="GS217" s="33"/>
      <c r="GT217" s="33"/>
      <c r="GU217" s="33"/>
      <c r="GV217" s="33"/>
      <c r="GW217" s="33"/>
      <c r="GX217" s="33"/>
      <c r="GY217" s="33"/>
      <c r="GZ217" s="33"/>
      <c r="HA217" s="33"/>
      <c r="HB217" s="33"/>
      <c r="HC217" s="33"/>
      <c r="HD217" s="33"/>
      <c r="HE217" s="33"/>
      <c r="HF217" s="33"/>
      <c r="HG217" s="33"/>
      <c r="HH217" s="33"/>
      <c r="HI217" s="33"/>
      <c r="HJ217" s="33"/>
      <c r="HK217" s="33"/>
      <c r="HL217" s="33"/>
      <c r="HM217" s="33"/>
      <c r="HN217" s="33"/>
      <c r="HO217" s="33"/>
      <c r="HP217" s="33"/>
      <c r="HQ217" s="33"/>
      <c r="HR217" s="33"/>
      <c r="HS217" s="33"/>
      <c r="HT217" s="33"/>
      <c r="HU217" s="33"/>
      <c r="HV217" s="33"/>
      <c r="HW217" s="33"/>
      <c r="HX217" s="33"/>
      <c r="HY217" s="33"/>
      <c r="HZ217" s="33"/>
      <c r="IA217" s="33"/>
      <c r="IB217" s="33"/>
      <c r="IC217" s="33"/>
      <c r="ID217" s="33"/>
      <c r="IE217" s="33"/>
      <c r="IF217" s="33"/>
      <c r="IG217" s="33"/>
      <c r="IH217" s="33"/>
      <c r="II217" s="33"/>
      <c r="IJ217" s="33"/>
      <c r="IK217" s="33"/>
      <c r="IL217" s="33"/>
      <c r="IM217" s="33"/>
      <c r="IN217" s="33"/>
      <c r="IO217" s="33"/>
      <c r="IP217" s="33"/>
      <c r="IQ217" s="33"/>
      <c r="IR217" s="33"/>
      <c r="IS217" s="33"/>
      <c r="IT217" s="33"/>
      <c r="IU217" s="33"/>
      <c r="IV217" s="33"/>
      <c r="IW217" s="33"/>
      <c r="IX217" s="33"/>
      <c r="IY217" s="33"/>
      <c r="IZ217" s="33"/>
      <c r="JA217" s="33"/>
      <c r="JB217" s="33"/>
      <c r="JC217" s="33"/>
      <c r="JD217" s="33"/>
      <c r="JE217" s="33"/>
      <c r="JF217" s="33"/>
      <c r="JG217" s="33"/>
      <c r="JH217" s="33"/>
      <c r="JI217" s="33"/>
      <c r="JJ217" s="33"/>
      <c r="JK217" s="33"/>
      <c r="JL217" s="33"/>
      <c r="JM217" s="33"/>
      <c r="JN217" s="33"/>
      <c r="JO217" s="33"/>
      <c r="JP217" s="33"/>
      <c r="JQ217" s="33"/>
      <c r="JR217" s="33"/>
      <c r="JS217" s="33"/>
      <c r="JT217" s="33"/>
      <c r="JU217" s="33"/>
      <c r="JV217" s="33"/>
      <c r="JW217" s="33"/>
      <c r="JX217" s="33"/>
      <c r="JY217" s="33"/>
      <c r="JZ217" s="33"/>
      <c r="KA217" s="33"/>
      <c r="KB217" s="33"/>
      <c r="KC217" s="33"/>
      <c r="KD217" s="33"/>
      <c r="KE217" s="33"/>
      <c r="KF217" s="33"/>
      <c r="KG217" s="33"/>
      <c r="KH217" s="33"/>
      <c r="KI217" s="33"/>
      <c r="KJ217" s="33"/>
      <c r="KK217" s="33"/>
      <c r="KL217" s="33"/>
      <c r="KM217" s="33"/>
      <c r="KN217" s="33"/>
      <c r="KO217" s="33"/>
      <c r="KP217" s="33"/>
      <c r="KQ217" s="33"/>
      <c r="KR217" s="33"/>
      <c r="KS217" s="33"/>
      <c r="KT217" s="33"/>
      <c r="KU217" s="33"/>
      <c r="KV217" s="33"/>
      <c r="KW217" s="33"/>
      <c r="KX217" s="33"/>
      <c r="KY217" s="33"/>
      <c r="KZ217" s="33"/>
      <c r="LA217" s="33"/>
      <c r="LB217" s="33"/>
      <c r="LC217" s="33"/>
      <c r="LD217" s="33"/>
      <c r="LE217" s="33"/>
      <c r="LF217" s="33"/>
      <c r="LG217" s="33"/>
      <c r="LH217" s="33"/>
      <c r="LI217" s="33"/>
      <c r="LJ217" s="33"/>
      <c r="LK217" s="33"/>
      <c r="LL217" s="33"/>
      <c r="LM217" s="33"/>
      <c r="LN217" s="33"/>
      <c r="LO217" s="33"/>
      <c r="LP217" s="33"/>
      <c r="LQ217" s="33"/>
      <c r="LR217" s="33"/>
      <c r="LS217" s="33"/>
      <c r="LT217" s="33"/>
      <c r="LU217" s="33"/>
      <c r="LV217" s="33"/>
      <c r="LW217" s="33"/>
      <c r="LX217" s="33"/>
      <c r="LY217" s="33"/>
      <c r="LZ217" s="33"/>
      <c r="MA217" s="33"/>
      <c r="MB217" s="33"/>
      <c r="MC217" s="33"/>
      <c r="MD217" s="33"/>
      <c r="ME217" s="33"/>
      <c r="MF217" s="33"/>
      <c r="MG217" s="33"/>
      <c r="MH217" s="33"/>
      <c r="MI217" s="33"/>
      <c r="MJ217" s="33"/>
      <c r="MK217" s="33"/>
      <c r="ML217" s="33"/>
      <c r="MM217" s="33"/>
      <c r="MN217" s="33"/>
      <c r="MO217" s="33"/>
      <c r="MP217" s="33"/>
      <c r="MQ217" s="33"/>
      <c r="MR217" s="33"/>
      <c r="MS217" s="33"/>
      <c r="MT217" s="33"/>
      <c r="MU217" s="33"/>
      <c r="MV217" s="33"/>
      <c r="MW217" s="33"/>
      <c r="MX217" s="33"/>
      <c r="MY217" s="33"/>
      <c r="MZ217" s="33"/>
      <c r="NA217" s="33"/>
      <c r="NB217" s="33"/>
      <c r="NC217" s="33"/>
      <c r="ND217" s="33"/>
      <c r="NE217" s="33"/>
      <c r="NF217" s="33"/>
      <c r="NG217" s="33"/>
      <c r="NH217" s="33"/>
      <c r="NI217" s="33"/>
      <c r="NJ217" s="33"/>
      <c r="NK217" s="33"/>
      <c r="NL217" s="33"/>
      <c r="NM217" s="33"/>
      <c r="NN217" s="33"/>
      <c r="NO217" s="33"/>
      <c r="NP217" s="33"/>
      <c r="NQ217" s="33"/>
      <c r="NR217" s="33"/>
      <c r="NS217" s="33"/>
      <c r="NT217" s="33"/>
      <c r="NU217" s="33"/>
      <c r="NV217" s="33"/>
      <c r="NW217" s="33"/>
      <c r="NX217" s="33"/>
      <c r="NY217" s="33"/>
      <c r="NZ217" s="33"/>
      <c r="OA217" s="33"/>
      <c r="OB217" s="33"/>
      <c r="OC217" s="33"/>
      <c r="OD217" s="33"/>
      <c r="OE217" s="33"/>
      <c r="OF217" s="33"/>
      <c r="OG217" s="33"/>
      <c r="OH217" s="33"/>
      <c r="OI217" s="33"/>
      <c r="OJ217" s="33"/>
      <c r="OK217" s="33"/>
      <c r="OL217" s="33"/>
      <c r="OM217" s="33"/>
      <c r="ON217" s="33"/>
      <c r="OO217" s="33"/>
      <c r="OP217" s="33"/>
      <c r="OQ217" s="33"/>
      <c r="OR217" s="33"/>
      <c r="OS217" s="33"/>
      <c r="OT217" s="33"/>
      <c r="OU217" s="33"/>
      <c r="OV217" s="33"/>
      <c r="OW217" s="33"/>
      <c r="OX217" s="33"/>
      <c r="OY217" s="33"/>
      <c r="OZ217" s="33"/>
      <c r="PA217" s="33"/>
      <c r="PB217" s="33"/>
      <c r="PC217" s="33"/>
      <c r="PD217" s="33"/>
      <c r="PE217" s="33"/>
      <c r="PF217" s="33"/>
      <c r="PG217" s="33"/>
      <c r="PH217" s="33"/>
      <c r="PI217" s="33"/>
      <c r="PJ217" s="33"/>
      <c r="PK217" s="33"/>
      <c r="PL217" s="33"/>
      <c r="PM217" s="33"/>
      <c r="PN217" s="33"/>
      <c r="PO217" s="33"/>
      <c r="PP217" s="33"/>
      <c r="PQ217" s="33"/>
      <c r="PR217" s="33"/>
      <c r="PS217" s="33"/>
      <c r="PT217" s="33"/>
      <c r="PU217" s="33"/>
      <c r="PV217" s="33"/>
      <c r="PW217" s="33"/>
      <c r="PX217" s="33"/>
      <c r="PY217" s="33"/>
      <c r="PZ217" s="33"/>
      <c r="QA217" s="33"/>
      <c r="QB217" s="33"/>
      <c r="QC217" s="33"/>
      <c r="QD217" s="33"/>
      <c r="QE217" s="33"/>
      <c r="QF217" s="33"/>
      <c r="QG217" s="33"/>
      <c r="QH217" s="33"/>
      <c r="QI217" s="33"/>
      <c r="QJ217" s="33"/>
      <c r="QK217" s="33"/>
      <c r="QL217" s="33"/>
      <c r="QM217" s="33"/>
      <c r="QN217" s="33"/>
      <c r="QO217" s="33"/>
      <c r="QP217" s="33"/>
      <c r="QQ217" s="33"/>
      <c r="QR217" s="33"/>
      <c r="QS217" s="33"/>
      <c r="QT217" s="33"/>
      <c r="QU217" s="33"/>
      <c r="QV217" s="33"/>
      <c r="QW217" s="33"/>
      <c r="QX217" s="33"/>
      <c r="QY217" s="33"/>
      <c r="QZ217" s="33"/>
      <c r="RA217" s="33"/>
      <c r="RB217" s="33"/>
      <c r="RC217" s="33"/>
      <c r="RD217" s="33"/>
      <c r="RE217" s="33"/>
      <c r="RF217" s="33"/>
      <c r="RG217" s="33"/>
      <c r="RH217" s="33"/>
      <c r="RI217" s="33"/>
      <c r="RJ217" s="33"/>
      <c r="RK217" s="33"/>
      <c r="RL217" s="33"/>
      <c r="RM217" s="33"/>
      <c r="RN217" s="33"/>
      <c r="RO217" s="33"/>
      <c r="RP217" s="33"/>
      <c r="RQ217" s="33"/>
      <c r="RR217" s="33"/>
      <c r="RS217" s="33"/>
      <c r="RT217" s="33"/>
      <c r="RU217" s="33"/>
      <c r="RV217" s="33"/>
      <c r="RW217" s="33"/>
      <c r="RX217" s="33"/>
      <c r="RY217" s="33"/>
      <c r="RZ217" s="33"/>
      <c r="SA217" s="33"/>
      <c r="SB217" s="33"/>
      <c r="SC217" s="33"/>
      <c r="SD217" s="33"/>
      <c r="SE217" s="33"/>
      <c r="SF217" s="33"/>
      <c r="SG217" s="33"/>
      <c r="SH217" s="33"/>
      <c r="SI217" s="33"/>
      <c r="SJ217" s="33"/>
      <c r="SK217" s="33"/>
      <c r="SL217" s="33"/>
      <c r="SM217" s="33"/>
      <c r="SN217" s="33"/>
      <c r="SO217" s="33"/>
      <c r="SP217" s="33"/>
      <c r="SQ217" s="33"/>
      <c r="SR217" s="33"/>
      <c r="SS217" s="33"/>
      <c r="ST217" s="33"/>
      <c r="SU217" s="33"/>
      <c r="SV217" s="33"/>
      <c r="SW217" s="33"/>
      <c r="SX217" s="33"/>
      <c r="SY217" s="33"/>
      <c r="SZ217" s="33"/>
      <c r="TA217" s="33"/>
      <c r="TB217" s="33"/>
      <c r="TC217" s="33"/>
      <c r="TD217" s="33"/>
      <c r="TE217" s="33"/>
      <c r="TF217" s="33"/>
      <c r="TG217" s="33"/>
    </row>
    <row r="218" spans="1:527" s="34" customFormat="1" ht="96.75" hidden="1" customHeight="1" x14ac:dyDescent="0.25">
      <c r="A218" s="100"/>
      <c r="B218" s="113"/>
      <c r="C218" s="113"/>
      <c r="D218" s="81" t="s">
        <v>399</v>
      </c>
      <c r="E218" s="102">
        <f>E240</f>
        <v>0</v>
      </c>
      <c r="F218" s="102">
        <f t="shared" ref="F218:P218" si="101">F240</f>
        <v>0</v>
      </c>
      <c r="G218" s="102">
        <f t="shared" si="101"/>
        <v>0</v>
      </c>
      <c r="H218" s="102">
        <f t="shared" si="101"/>
        <v>0</v>
      </c>
      <c r="I218" s="102">
        <f t="shared" si="101"/>
        <v>0</v>
      </c>
      <c r="J218" s="102">
        <f t="shared" si="101"/>
        <v>0</v>
      </c>
      <c r="K218" s="102">
        <f t="shared" si="101"/>
        <v>0</v>
      </c>
      <c r="L218" s="102">
        <f t="shared" si="101"/>
        <v>0</v>
      </c>
      <c r="M218" s="102">
        <f t="shared" si="101"/>
        <v>0</v>
      </c>
      <c r="N218" s="102">
        <f t="shared" si="101"/>
        <v>0</v>
      </c>
      <c r="O218" s="102">
        <f t="shared" si="101"/>
        <v>0</v>
      </c>
      <c r="P218" s="102">
        <f t="shared" si="101"/>
        <v>0</v>
      </c>
      <c r="Q218" s="188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  <c r="FQ218" s="33"/>
      <c r="FR218" s="33"/>
      <c r="FS218" s="33"/>
      <c r="FT218" s="33"/>
      <c r="FU218" s="33"/>
      <c r="FV218" s="33"/>
      <c r="FW218" s="33"/>
      <c r="FX218" s="33"/>
      <c r="FY218" s="33"/>
      <c r="FZ218" s="33"/>
      <c r="GA218" s="33"/>
      <c r="GB218" s="33"/>
      <c r="GC218" s="33"/>
      <c r="GD218" s="33"/>
      <c r="GE218" s="33"/>
      <c r="GF218" s="33"/>
      <c r="GG218" s="33"/>
      <c r="GH218" s="33"/>
      <c r="GI218" s="33"/>
      <c r="GJ218" s="33"/>
      <c r="GK218" s="33"/>
      <c r="GL218" s="33"/>
      <c r="GM218" s="33"/>
      <c r="GN218" s="33"/>
      <c r="GO218" s="33"/>
      <c r="GP218" s="33"/>
      <c r="GQ218" s="33"/>
      <c r="GR218" s="33"/>
      <c r="GS218" s="33"/>
      <c r="GT218" s="33"/>
      <c r="GU218" s="33"/>
      <c r="GV218" s="33"/>
      <c r="GW218" s="33"/>
      <c r="GX218" s="33"/>
      <c r="GY218" s="33"/>
      <c r="GZ218" s="33"/>
      <c r="HA218" s="33"/>
      <c r="HB218" s="33"/>
      <c r="HC218" s="33"/>
      <c r="HD218" s="33"/>
      <c r="HE218" s="33"/>
      <c r="HF218" s="33"/>
      <c r="HG218" s="33"/>
      <c r="HH218" s="33"/>
      <c r="HI218" s="33"/>
      <c r="HJ218" s="33"/>
      <c r="HK218" s="33"/>
      <c r="HL218" s="33"/>
      <c r="HM218" s="33"/>
      <c r="HN218" s="33"/>
      <c r="HO218" s="33"/>
      <c r="HP218" s="33"/>
      <c r="HQ218" s="33"/>
      <c r="HR218" s="33"/>
      <c r="HS218" s="33"/>
      <c r="HT218" s="33"/>
      <c r="HU218" s="33"/>
      <c r="HV218" s="33"/>
      <c r="HW218" s="33"/>
      <c r="HX218" s="33"/>
      <c r="HY218" s="33"/>
      <c r="HZ218" s="33"/>
      <c r="IA218" s="33"/>
      <c r="IB218" s="33"/>
      <c r="IC218" s="33"/>
      <c r="ID218" s="33"/>
      <c r="IE218" s="33"/>
      <c r="IF218" s="33"/>
      <c r="IG218" s="33"/>
      <c r="IH218" s="33"/>
      <c r="II218" s="33"/>
      <c r="IJ218" s="33"/>
      <c r="IK218" s="33"/>
      <c r="IL218" s="33"/>
      <c r="IM218" s="33"/>
      <c r="IN218" s="33"/>
      <c r="IO218" s="33"/>
      <c r="IP218" s="33"/>
      <c r="IQ218" s="33"/>
      <c r="IR218" s="33"/>
      <c r="IS218" s="33"/>
      <c r="IT218" s="33"/>
      <c r="IU218" s="33"/>
      <c r="IV218" s="33"/>
      <c r="IW218" s="33"/>
      <c r="IX218" s="33"/>
      <c r="IY218" s="33"/>
      <c r="IZ218" s="33"/>
      <c r="JA218" s="33"/>
      <c r="JB218" s="33"/>
      <c r="JC218" s="33"/>
      <c r="JD218" s="33"/>
      <c r="JE218" s="33"/>
      <c r="JF218" s="33"/>
      <c r="JG218" s="33"/>
      <c r="JH218" s="33"/>
      <c r="JI218" s="33"/>
      <c r="JJ218" s="33"/>
      <c r="JK218" s="33"/>
      <c r="JL218" s="33"/>
      <c r="JM218" s="33"/>
      <c r="JN218" s="33"/>
      <c r="JO218" s="33"/>
      <c r="JP218" s="33"/>
      <c r="JQ218" s="33"/>
      <c r="JR218" s="33"/>
      <c r="JS218" s="33"/>
      <c r="JT218" s="33"/>
      <c r="JU218" s="33"/>
      <c r="JV218" s="33"/>
      <c r="JW218" s="33"/>
      <c r="JX218" s="33"/>
      <c r="JY218" s="33"/>
      <c r="JZ218" s="33"/>
      <c r="KA218" s="33"/>
      <c r="KB218" s="33"/>
      <c r="KC218" s="33"/>
      <c r="KD218" s="33"/>
      <c r="KE218" s="33"/>
      <c r="KF218" s="33"/>
      <c r="KG218" s="33"/>
      <c r="KH218" s="33"/>
      <c r="KI218" s="33"/>
      <c r="KJ218" s="33"/>
      <c r="KK218" s="33"/>
      <c r="KL218" s="33"/>
      <c r="KM218" s="33"/>
      <c r="KN218" s="33"/>
      <c r="KO218" s="33"/>
      <c r="KP218" s="33"/>
      <c r="KQ218" s="33"/>
      <c r="KR218" s="33"/>
      <c r="KS218" s="33"/>
      <c r="KT218" s="33"/>
      <c r="KU218" s="33"/>
      <c r="KV218" s="33"/>
      <c r="KW218" s="33"/>
      <c r="KX218" s="33"/>
      <c r="KY218" s="33"/>
      <c r="KZ218" s="33"/>
      <c r="LA218" s="33"/>
      <c r="LB218" s="33"/>
      <c r="LC218" s="33"/>
      <c r="LD218" s="33"/>
      <c r="LE218" s="33"/>
      <c r="LF218" s="33"/>
      <c r="LG218" s="33"/>
      <c r="LH218" s="33"/>
      <c r="LI218" s="33"/>
      <c r="LJ218" s="33"/>
      <c r="LK218" s="33"/>
      <c r="LL218" s="33"/>
      <c r="LM218" s="33"/>
      <c r="LN218" s="33"/>
      <c r="LO218" s="33"/>
      <c r="LP218" s="33"/>
      <c r="LQ218" s="33"/>
      <c r="LR218" s="33"/>
      <c r="LS218" s="33"/>
      <c r="LT218" s="33"/>
      <c r="LU218" s="33"/>
      <c r="LV218" s="33"/>
      <c r="LW218" s="33"/>
      <c r="LX218" s="33"/>
      <c r="LY218" s="33"/>
      <c r="LZ218" s="33"/>
      <c r="MA218" s="33"/>
      <c r="MB218" s="33"/>
      <c r="MC218" s="33"/>
      <c r="MD218" s="33"/>
      <c r="ME218" s="33"/>
      <c r="MF218" s="33"/>
      <c r="MG218" s="33"/>
      <c r="MH218" s="33"/>
      <c r="MI218" s="33"/>
      <c r="MJ218" s="33"/>
      <c r="MK218" s="33"/>
      <c r="ML218" s="33"/>
      <c r="MM218" s="33"/>
      <c r="MN218" s="33"/>
      <c r="MO218" s="33"/>
      <c r="MP218" s="33"/>
      <c r="MQ218" s="33"/>
      <c r="MR218" s="33"/>
      <c r="MS218" s="33"/>
      <c r="MT218" s="33"/>
      <c r="MU218" s="33"/>
      <c r="MV218" s="33"/>
      <c r="MW218" s="33"/>
      <c r="MX218" s="33"/>
      <c r="MY218" s="33"/>
      <c r="MZ218" s="33"/>
      <c r="NA218" s="33"/>
      <c r="NB218" s="33"/>
      <c r="NC218" s="33"/>
      <c r="ND218" s="33"/>
      <c r="NE218" s="33"/>
      <c r="NF218" s="33"/>
      <c r="NG218" s="33"/>
      <c r="NH218" s="33"/>
      <c r="NI218" s="33"/>
      <c r="NJ218" s="33"/>
      <c r="NK218" s="33"/>
      <c r="NL218" s="33"/>
      <c r="NM218" s="33"/>
      <c r="NN218" s="33"/>
      <c r="NO218" s="33"/>
      <c r="NP218" s="33"/>
      <c r="NQ218" s="33"/>
      <c r="NR218" s="33"/>
      <c r="NS218" s="33"/>
      <c r="NT218" s="33"/>
      <c r="NU218" s="33"/>
      <c r="NV218" s="33"/>
      <c r="NW218" s="33"/>
      <c r="NX218" s="33"/>
      <c r="NY218" s="33"/>
      <c r="NZ218" s="33"/>
      <c r="OA218" s="33"/>
      <c r="OB218" s="33"/>
      <c r="OC218" s="33"/>
      <c r="OD218" s="33"/>
      <c r="OE218" s="33"/>
      <c r="OF218" s="33"/>
      <c r="OG218" s="33"/>
      <c r="OH218" s="33"/>
      <c r="OI218" s="33"/>
      <c r="OJ218" s="33"/>
      <c r="OK218" s="33"/>
      <c r="OL218" s="33"/>
      <c r="OM218" s="33"/>
      <c r="ON218" s="33"/>
      <c r="OO218" s="33"/>
      <c r="OP218" s="33"/>
      <c r="OQ218" s="33"/>
      <c r="OR218" s="33"/>
      <c r="OS218" s="33"/>
      <c r="OT218" s="33"/>
      <c r="OU218" s="33"/>
      <c r="OV218" s="33"/>
      <c r="OW218" s="33"/>
      <c r="OX218" s="33"/>
      <c r="OY218" s="33"/>
      <c r="OZ218" s="33"/>
      <c r="PA218" s="33"/>
      <c r="PB218" s="33"/>
      <c r="PC218" s="33"/>
      <c r="PD218" s="33"/>
      <c r="PE218" s="33"/>
      <c r="PF218" s="33"/>
      <c r="PG218" s="33"/>
      <c r="PH218" s="33"/>
      <c r="PI218" s="33"/>
      <c r="PJ218" s="33"/>
      <c r="PK218" s="33"/>
      <c r="PL218" s="33"/>
      <c r="PM218" s="33"/>
      <c r="PN218" s="33"/>
      <c r="PO218" s="33"/>
      <c r="PP218" s="33"/>
      <c r="PQ218" s="33"/>
      <c r="PR218" s="33"/>
      <c r="PS218" s="33"/>
      <c r="PT218" s="33"/>
      <c r="PU218" s="33"/>
      <c r="PV218" s="33"/>
      <c r="PW218" s="33"/>
      <c r="PX218" s="33"/>
      <c r="PY218" s="33"/>
      <c r="PZ218" s="33"/>
      <c r="QA218" s="33"/>
      <c r="QB218" s="33"/>
      <c r="QC218" s="33"/>
      <c r="QD218" s="33"/>
      <c r="QE218" s="33"/>
      <c r="QF218" s="33"/>
      <c r="QG218" s="33"/>
      <c r="QH218" s="33"/>
      <c r="QI218" s="33"/>
      <c r="QJ218" s="33"/>
      <c r="QK218" s="33"/>
      <c r="QL218" s="33"/>
      <c r="QM218" s="33"/>
      <c r="QN218" s="33"/>
      <c r="QO218" s="33"/>
      <c r="QP218" s="33"/>
      <c r="QQ218" s="33"/>
      <c r="QR218" s="33"/>
      <c r="QS218" s="33"/>
      <c r="QT218" s="33"/>
      <c r="QU218" s="33"/>
      <c r="QV218" s="33"/>
      <c r="QW218" s="33"/>
      <c r="QX218" s="33"/>
      <c r="QY218" s="33"/>
      <c r="QZ218" s="33"/>
      <c r="RA218" s="33"/>
      <c r="RB218" s="33"/>
      <c r="RC218" s="33"/>
      <c r="RD218" s="33"/>
      <c r="RE218" s="33"/>
      <c r="RF218" s="33"/>
      <c r="RG218" s="33"/>
      <c r="RH218" s="33"/>
      <c r="RI218" s="33"/>
      <c r="RJ218" s="33"/>
      <c r="RK218" s="33"/>
      <c r="RL218" s="33"/>
      <c r="RM218" s="33"/>
      <c r="RN218" s="33"/>
      <c r="RO218" s="33"/>
      <c r="RP218" s="33"/>
      <c r="RQ218" s="33"/>
      <c r="RR218" s="33"/>
      <c r="RS218" s="33"/>
      <c r="RT218" s="33"/>
      <c r="RU218" s="33"/>
      <c r="RV218" s="33"/>
      <c r="RW218" s="33"/>
      <c r="RX218" s="33"/>
      <c r="RY218" s="33"/>
      <c r="RZ218" s="33"/>
      <c r="SA218" s="33"/>
      <c r="SB218" s="33"/>
      <c r="SC218" s="33"/>
      <c r="SD218" s="33"/>
      <c r="SE218" s="33"/>
      <c r="SF218" s="33"/>
      <c r="SG218" s="33"/>
      <c r="SH218" s="33"/>
      <c r="SI218" s="33"/>
      <c r="SJ218" s="33"/>
      <c r="SK218" s="33"/>
      <c r="SL218" s="33"/>
      <c r="SM218" s="33"/>
      <c r="SN218" s="33"/>
      <c r="SO218" s="33"/>
      <c r="SP218" s="33"/>
      <c r="SQ218" s="33"/>
      <c r="SR218" s="33"/>
      <c r="SS218" s="33"/>
      <c r="ST218" s="33"/>
      <c r="SU218" s="33"/>
      <c r="SV218" s="33"/>
      <c r="SW218" s="33"/>
      <c r="SX218" s="33"/>
      <c r="SY218" s="33"/>
      <c r="SZ218" s="33"/>
      <c r="TA218" s="33"/>
      <c r="TB218" s="33"/>
      <c r="TC218" s="33"/>
      <c r="TD218" s="33"/>
      <c r="TE218" s="33"/>
      <c r="TF218" s="33"/>
      <c r="TG218" s="33"/>
    </row>
    <row r="219" spans="1:527" s="34" customFormat="1" ht="81.75" customHeight="1" x14ac:dyDescent="0.25">
      <c r="A219" s="100"/>
      <c r="B219" s="113"/>
      <c r="C219" s="113"/>
      <c r="D219" s="81" t="s">
        <v>554</v>
      </c>
      <c r="E219" s="102">
        <f>E241</f>
        <v>1527346</v>
      </c>
      <c r="F219" s="102">
        <f t="shared" ref="F219:P219" si="102">F241</f>
        <v>1527346</v>
      </c>
      <c r="G219" s="102">
        <f t="shared" si="102"/>
        <v>0</v>
      </c>
      <c r="H219" s="102">
        <f t="shared" si="102"/>
        <v>0</v>
      </c>
      <c r="I219" s="102">
        <f t="shared" si="102"/>
        <v>0</v>
      </c>
      <c r="J219" s="102">
        <f t="shared" si="102"/>
        <v>0</v>
      </c>
      <c r="K219" s="102">
        <f t="shared" si="102"/>
        <v>0</v>
      </c>
      <c r="L219" s="102">
        <f t="shared" si="102"/>
        <v>0</v>
      </c>
      <c r="M219" s="102">
        <f t="shared" si="102"/>
        <v>0</v>
      </c>
      <c r="N219" s="102">
        <f t="shared" si="102"/>
        <v>0</v>
      </c>
      <c r="O219" s="102">
        <f t="shared" si="102"/>
        <v>0</v>
      </c>
      <c r="P219" s="102">
        <f t="shared" si="102"/>
        <v>1527346</v>
      </c>
      <c r="Q219" s="188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  <c r="GB219" s="33"/>
      <c r="GC219" s="33"/>
      <c r="GD219" s="33"/>
      <c r="GE219" s="33"/>
      <c r="GF219" s="33"/>
      <c r="GG219" s="33"/>
      <c r="GH219" s="33"/>
      <c r="GI219" s="33"/>
      <c r="GJ219" s="33"/>
      <c r="GK219" s="33"/>
      <c r="GL219" s="33"/>
      <c r="GM219" s="33"/>
      <c r="GN219" s="33"/>
      <c r="GO219" s="33"/>
      <c r="GP219" s="33"/>
      <c r="GQ219" s="33"/>
      <c r="GR219" s="33"/>
      <c r="GS219" s="33"/>
      <c r="GT219" s="33"/>
      <c r="GU219" s="33"/>
      <c r="GV219" s="33"/>
      <c r="GW219" s="33"/>
      <c r="GX219" s="33"/>
      <c r="GY219" s="33"/>
      <c r="GZ219" s="33"/>
      <c r="HA219" s="33"/>
      <c r="HB219" s="33"/>
      <c r="HC219" s="33"/>
      <c r="HD219" s="33"/>
      <c r="HE219" s="33"/>
      <c r="HF219" s="33"/>
      <c r="HG219" s="33"/>
      <c r="HH219" s="33"/>
      <c r="HI219" s="33"/>
      <c r="HJ219" s="33"/>
      <c r="HK219" s="33"/>
      <c r="HL219" s="33"/>
      <c r="HM219" s="33"/>
      <c r="HN219" s="33"/>
      <c r="HO219" s="33"/>
      <c r="HP219" s="33"/>
      <c r="HQ219" s="33"/>
      <c r="HR219" s="33"/>
      <c r="HS219" s="33"/>
      <c r="HT219" s="33"/>
      <c r="HU219" s="33"/>
      <c r="HV219" s="33"/>
      <c r="HW219" s="33"/>
      <c r="HX219" s="33"/>
      <c r="HY219" s="33"/>
      <c r="HZ219" s="33"/>
      <c r="IA219" s="33"/>
      <c r="IB219" s="33"/>
      <c r="IC219" s="33"/>
      <c r="ID219" s="33"/>
      <c r="IE219" s="33"/>
      <c r="IF219" s="33"/>
      <c r="IG219" s="33"/>
      <c r="IH219" s="33"/>
      <c r="II219" s="33"/>
      <c r="IJ219" s="33"/>
      <c r="IK219" s="33"/>
      <c r="IL219" s="33"/>
      <c r="IM219" s="33"/>
      <c r="IN219" s="33"/>
      <c r="IO219" s="33"/>
      <c r="IP219" s="33"/>
      <c r="IQ219" s="33"/>
      <c r="IR219" s="33"/>
      <c r="IS219" s="33"/>
      <c r="IT219" s="33"/>
      <c r="IU219" s="33"/>
      <c r="IV219" s="33"/>
      <c r="IW219" s="33"/>
      <c r="IX219" s="33"/>
      <c r="IY219" s="33"/>
      <c r="IZ219" s="33"/>
      <c r="JA219" s="33"/>
      <c r="JB219" s="33"/>
      <c r="JC219" s="33"/>
      <c r="JD219" s="33"/>
      <c r="JE219" s="33"/>
      <c r="JF219" s="33"/>
      <c r="JG219" s="33"/>
      <c r="JH219" s="33"/>
      <c r="JI219" s="33"/>
      <c r="JJ219" s="33"/>
      <c r="JK219" s="33"/>
      <c r="JL219" s="33"/>
      <c r="JM219" s="33"/>
      <c r="JN219" s="33"/>
      <c r="JO219" s="33"/>
      <c r="JP219" s="33"/>
      <c r="JQ219" s="33"/>
      <c r="JR219" s="33"/>
      <c r="JS219" s="33"/>
      <c r="JT219" s="33"/>
      <c r="JU219" s="33"/>
      <c r="JV219" s="33"/>
      <c r="JW219" s="33"/>
      <c r="JX219" s="33"/>
      <c r="JY219" s="33"/>
      <c r="JZ219" s="33"/>
      <c r="KA219" s="33"/>
      <c r="KB219" s="33"/>
      <c r="KC219" s="33"/>
      <c r="KD219" s="33"/>
      <c r="KE219" s="33"/>
      <c r="KF219" s="33"/>
      <c r="KG219" s="33"/>
      <c r="KH219" s="33"/>
      <c r="KI219" s="33"/>
      <c r="KJ219" s="33"/>
      <c r="KK219" s="33"/>
      <c r="KL219" s="33"/>
      <c r="KM219" s="33"/>
      <c r="KN219" s="33"/>
      <c r="KO219" s="33"/>
      <c r="KP219" s="33"/>
      <c r="KQ219" s="33"/>
      <c r="KR219" s="33"/>
      <c r="KS219" s="33"/>
      <c r="KT219" s="33"/>
      <c r="KU219" s="33"/>
      <c r="KV219" s="33"/>
      <c r="KW219" s="33"/>
      <c r="KX219" s="33"/>
      <c r="KY219" s="33"/>
      <c r="KZ219" s="33"/>
      <c r="LA219" s="33"/>
      <c r="LB219" s="33"/>
      <c r="LC219" s="33"/>
      <c r="LD219" s="33"/>
      <c r="LE219" s="33"/>
      <c r="LF219" s="33"/>
      <c r="LG219" s="33"/>
      <c r="LH219" s="33"/>
      <c r="LI219" s="33"/>
      <c r="LJ219" s="33"/>
      <c r="LK219" s="33"/>
      <c r="LL219" s="33"/>
      <c r="LM219" s="33"/>
      <c r="LN219" s="33"/>
      <c r="LO219" s="33"/>
      <c r="LP219" s="33"/>
      <c r="LQ219" s="33"/>
      <c r="LR219" s="33"/>
      <c r="LS219" s="33"/>
      <c r="LT219" s="33"/>
      <c r="LU219" s="33"/>
      <c r="LV219" s="33"/>
      <c r="LW219" s="33"/>
      <c r="LX219" s="33"/>
      <c r="LY219" s="33"/>
      <c r="LZ219" s="33"/>
      <c r="MA219" s="33"/>
      <c r="MB219" s="33"/>
      <c r="MC219" s="33"/>
      <c r="MD219" s="33"/>
      <c r="ME219" s="33"/>
      <c r="MF219" s="33"/>
      <c r="MG219" s="33"/>
      <c r="MH219" s="33"/>
      <c r="MI219" s="33"/>
      <c r="MJ219" s="33"/>
      <c r="MK219" s="33"/>
      <c r="ML219" s="33"/>
      <c r="MM219" s="33"/>
      <c r="MN219" s="33"/>
      <c r="MO219" s="33"/>
      <c r="MP219" s="33"/>
      <c r="MQ219" s="33"/>
      <c r="MR219" s="33"/>
      <c r="MS219" s="33"/>
      <c r="MT219" s="33"/>
      <c r="MU219" s="33"/>
      <c r="MV219" s="33"/>
      <c r="MW219" s="33"/>
      <c r="MX219" s="33"/>
      <c r="MY219" s="33"/>
      <c r="MZ219" s="33"/>
      <c r="NA219" s="33"/>
      <c r="NB219" s="33"/>
      <c r="NC219" s="33"/>
      <c r="ND219" s="33"/>
      <c r="NE219" s="33"/>
      <c r="NF219" s="33"/>
      <c r="NG219" s="33"/>
      <c r="NH219" s="33"/>
      <c r="NI219" s="33"/>
      <c r="NJ219" s="33"/>
      <c r="NK219" s="33"/>
      <c r="NL219" s="33"/>
      <c r="NM219" s="33"/>
      <c r="NN219" s="33"/>
      <c r="NO219" s="33"/>
      <c r="NP219" s="33"/>
      <c r="NQ219" s="33"/>
      <c r="NR219" s="33"/>
      <c r="NS219" s="33"/>
      <c r="NT219" s="33"/>
      <c r="NU219" s="33"/>
      <c r="NV219" s="33"/>
      <c r="NW219" s="33"/>
      <c r="NX219" s="33"/>
      <c r="NY219" s="33"/>
      <c r="NZ219" s="33"/>
      <c r="OA219" s="33"/>
      <c r="OB219" s="33"/>
      <c r="OC219" s="33"/>
      <c r="OD219" s="33"/>
      <c r="OE219" s="33"/>
      <c r="OF219" s="33"/>
      <c r="OG219" s="33"/>
      <c r="OH219" s="33"/>
      <c r="OI219" s="33"/>
      <c r="OJ219" s="33"/>
      <c r="OK219" s="33"/>
      <c r="OL219" s="33"/>
      <c r="OM219" s="33"/>
      <c r="ON219" s="33"/>
      <c r="OO219" s="33"/>
      <c r="OP219" s="33"/>
      <c r="OQ219" s="33"/>
      <c r="OR219" s="33"/>
      <c r="OS219" s="33"/>
      <c r="OT219" s="33"/>
      <c r="OU219" s="33"/>
      <c r="OV219" s="33"/>
      <c r="OW219" s="33"/>
      <c r="OX219" s="33"/>
      <c r="OY219" s="33"/>
      <c r="OZ219" s="33"/>
      <c r="PA219" s="33"/>
      <c r="PB219" s="33"/>
      <c r="PC219" s="33"/>
      <c r="PD219" s="33"/>
      <c r="PE219" s="33"/>
      <c r="PF219" s="33"/>
      <c r="PG219" s="33"/>
      <c r="PH219" s="33"/>
      <c r="PI219" s="33"/>
      <c r="PJ219" s="33"/>
      <c r="PK219" s="33"/>
      <c r="PL219" s="33"/>
      <c r="PM219" s="33"/>
      <c r="PN219" s="33"/>
      <c r="PO219" s="33"/>
      <c r="PP219" s="33"/>
      <c r="PQ219" s="33"/>
      <c r="PR219" s="33"/>
      <c r="PS219" s="33"/>
      <c r="PT219" s="33"/>
      <c r="PU219" s="33"/>
      <c r="PV219" s="33"/>
      <c r="PW219" s="33"/>
      <c r="PX219" s="33"/>
      <c r="PY219" s="33"/>
      <c r="PZ219" s="33"/>
      <c r="QA219" s="33"/>
      <c r="QB219" s="33"/>
      <c r="QC219" s="33"/>
      <c r="QD219" s="33"/>
      <c r="QE219" s="33"/>
      <c r="QF219" s="33"/>
      <c r="QG219" s="33"/>
      <c r="QH219" s="33"/>
      <c r="QI219" s="33"/>
      <c r="QJ219" s="33"/>
      <c r="QK219" s="33"/>
      <c r="QL219" s="33"/>
      <c r="QM219" s="33"/>
      <c r="QN219" s="33"/>
      <c r="QO219" s="33"/>
      <c r="QP219" s="33"/>
      <c r="QQ219" s="33"/>
      <c r="QR219" s="33"/>
      <c r="QS219" s="33"/>
      <c r="QT219" s="33"/>
      <c r="QU219" s="33"/>
      <c r="QV219" s="33"/>
      <c r="QW219" s="33"/>
      <c r="QX219" s="33"/>
      <c r="QY219" s="33"/>
      <c r="QZ219" s="33"/>
      <c r="RA219" s="33"/>
      <c r="RB219" s="33"/>
      <c r="RC219" s="33"/>
      <c r="RD219" s="33"/>
      <c r="RE219" s="33"/>
      <c r="RF219" s="33"/>
      <c r="RG219" s="33"/>
      <c r="RH219" s="33"/>
      <c r="RI219" s="33"/>
      <c r="RJ219" s="33"/>
      <c r="RK219" s="33"/>
      <c r="RL219" s="33"/>
      <c r="RM219" s="33"/>
      <c r="RN219" s="33"/>
      <c r="RO219" s="33"/>
      <c r="RP219" s="33"/>
      <c r="RQ219" s="33"/>
      <c r="RR219" s="33"/>
      <c r="RS219" s="33"/>
      <c r="RT219" s="33"/>
      <c r="RU219" s="33"/>
      <c r="RV219" s="33"/>
      <c r="RW219" s="33"/>
      <c r="RX219" s="33"/>
      <c r="RY219" s="33"/>
      <c r="RZ219" s="33"/>
      <c r="SA219" s="33"/>
      <c r="SB219" s="33"/>
      <c r="SC219" s="33"/>
      <c r="SD219" s="33"/>
      <c r="SE219" s="33"/>
      <c r="SF219" s="33"/>
      <c r="SG219" s="33"/>
      <c r="SH219" s="33"/>
      <c r="SI219" s="33"/>
      <c r="SJ219" s="33"/>
      <c r="SK219" s="33"/>
      <c r="SL219" s="33"/>
      <c r="SM219" s="33"/>
      <c r="SN219" s="33"/>
      <c r="SO219" s="33"/>
      <c r="SP219" s="33"/>
      <c r="SQ219" s="33"/>
      <c r="SR219" s="33"/>
      <c r="SS219" s="33"/>
      <c r="ST219" s="33"/>
      <c r="SU219" s="33"/>
      <c r="SV219" s="33"/>
      <c r="SW219" s="33"/>
      <c r="SX219" s="33"/>
      <c r="SY219" s="33"/>
      <c r="SZ219" s="33"/>
      <c r="TA219" s="33"/>
      <c r="TB219" s="33"/>
      <c r="TC219" s="33"/>
      <c r="TD219" s="33"/>
      <c r="TE219" s="33"/>
      <c r="TF219" s="33"/>
      <c r="TG219" s="33"/>
    </row>
    <row r="220" spans="1:527" s="34" customFormat="1" ht="48.75" customHeight="1" x14ac:dyDescent="0.25">
      <c r="A220" s="100"/>
      <c r="B220" s="113"/>
      <c r="C220" s="113"/>
      <c r="D220" s="81" t="s">
        <v>569</v>
      </c>
      <c r="E220" s="102">
        <f>E238</f>
        <v>0</v>
      </c>
      <c r="F220" s="102">
        <f t="shared" ref="F220:P220" si="103">F238</f>
        <v>0</v>
      </c>
      <c r="G220" s="102">
        <f t="shared" si="103"/>
        <v>0</v>
      </c>
      <c r="H220" s="102">
        <f t="shared" si="103"/>
        <v>0</v>
      </c>
      <c r="I220" s="102">
        <f t="shared" si="103"/>
        <v>0</v>
      </c>
      <c r="J220" s="102">
        <f t="shared" si="103"/>
        <v>5000000</v>
      </c>
      <c r="K220" s="102">
        <f t="shared" si="103"/>
        <v>5000000</v>
      </c>
      <c r="L220" s="102">
        <f t="shared" si="103"/>
        <v>0</v>
      </c>
      <c r="M220" s="102">
        <f t="shared" si="103"/>
        <v>0</v>
      </c>
      <c r="N220" s="102">
        <f t="shared" si="103"/>
        <v>0</v>
      </c>
      <c r="O220" s="102">
        <f t="shared" si="103"/>
        <v>5000000</v>
      </c>
      <c r="P220" s="102">
        <f t="shared" si="103"/>
        <v>5000000</v>
      </c>
      <c r="Q220" s="188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  <c r="FV220" s="33"/>
      <c r="FW220" s="33"/>
      <c r="FX220" s="33"/>
      <c r="FY220" s="33"/>
      <c r="FZ220" s="33"/>
      <c r="GA220" s="33"/>
      <c r="GB220" s="33"/>
      <c r="GC220" s="33"/>
      <c r="GD220" s="33"/>
      <c r="GE220" s="33"/>
      <c r="GF220" s="33"/>
      <c r="GG220" s="33"/>
      <c r="GH220" s="33"/>
      <c r="GI220" s="33"/>
      <c r="GJ220" s="33"/>
      <c r="GK220" s="33"/>
      <c r="GL220" s="33"/>
      <c r="GM220" s="33"/>
      <c r="GN220" s="33"/>
      <c r="GO220" s="33"/>
      <c r="GP220" s="33"/>
      <c r="GQ220" s="33"/>
      <c r="GR220" s="33"/>
      <c r="GS220" s="33"/>
      <c r="GT220" s="33"/>
      <c r="GU220" s="33"/>
      <c r="GV220" s="33"/>
      <c r="GW220" s="33"/>
      <c r="GX220" s="33"/>
      <c r="GY220" s="33"/>
      <c r="GZ220" s="33"/>
      <c r="HA220" s="33"/>
      <c r="HB220" s="33"/>
      <c r="HC220" s="33"/>
      <c r="HD220" s="33"/>
      <c r="HE220" s="33"/>
      <c r="HF220" s="33"/>
      <c r="HG220" s="33"/>
      <c r="HH220" s="33"/>
      <c r="HI220" s="33"/>
      <c r="HJ220" s="33"/>
      <c r="HK220" s="33"/>
      <c r="HL220" s="33"/>
      <c r="HM220" s="33"/>
      <c r="HN220" s="33"/>
      <c r="HO220" s="33"/>
      <c r="HP220" s="33"/>
      <c r="HQ220" s="33"/>
      <c r="HR220" s="33"/>
      <c r="HS220" s="33"/>
      <c r="HT220" s="33"/>
      <c r="HU220" s="33"/>
      <c r="HV220" s="33"/>
      <c r="HW220" s="33"/>
      <c r="HX220" s="33"/>
      <c r="HY220" s="33"/>
      <c r="HZ220" s="33"/>
      <c r="IA220" s="33"/>
      <c r="IB220" s="33"/>
      <c r="IC220" s="33"/>
      <c r="ID220" s="33"/>
      <c r="IE220" s="33"/>
      <c r="IF220" s="33"/>
      <c r="IG220" s="33"/>
      <c r="IH220" s="33"/>
      <c r="II220" s="33"/>
      <c r="IJ220" s="33"/>
      <c r="IK220" s="33"/>
      <c r="IL220" s="33"/>
      <c r="IM220" s="33"/>
      <c r="IN220" s="33"/>
      <c r="IO220" s="33"/>
      <c r="IP220" s="33"/>
      <c r="IQ220" s="33"/>
      <c r="IR220" s="33"/>
      <c r="IS220" s="33"/>
      <c r="IT220" s="33"/>
      <c r="IU220" s="33"/>
      <c r="IV220" s="33"/>
      <c r="IW220" s="33"/>
      <c r="IX220" s="33"/>
      <c r="IY220" s="33"/>
      <c r="IZ220" s="33"/>
      <c r="JA220" s="33"/>
      <c r="JB220" s="33"/>
      <c r="JC220" s="33"/>
      <c r="JD220" s="33"/>
      <c r="JE220" s="33"/>
      <c r="JF220" s="33"/>
      <c r="JG220" s="33"/>
      <c r="JH220" s="33"/>
      <c r="JI220" s="33"/>
      <c r="JJ220" s="33"/>
      <c r="JK220" s="33"/>
      <c r="JL220" s="33"/>
      <c r="JM220" s="33"/>
      <c r="JN220" s="33"/>
      <c r="JO220" s="33"/>
      <c r="JP220" s="33"/>
      <c r="JQ220" s="33"/>
      <c r="JR220" s="33"/>
      <c r="JS220" s="33"/>
      <c r="JT220" s="33"/>
      <c r="JU220" s="33"/>
      <c r="JV220" s="33"/>
      <c r="JW220" s="33"/>
      <c r="JX220" s="33"/>
      <c r="JY220" s="33"/>
      <c r="JZ220" s="33"/>
      <c r="KA220" s="33"/>
      <c r="KB220" s="33"/>
      <c r="KC220" s="33"/>
      <c r="KD220" s="33"/>
      <c r="KE220" s="33"/>
      <c r="KF220" s="33"/>
      <c r="KG220" s="33"/>
      <c r="KH220" s="33"/>
      <c r="KI220" s="33"/>
      <c r="KJ220" s="33"/>
      <c r="KK220" s="33"/>
      <c r="KL220" s="33"/>
      <c r="KM220" s="33"/>
      <c r="KN220" s="33"/>
      <c r="KO220" s="33"/>
      <c r="KP220" s="33"/>
      <c r="KQ220" s="33"/>
      <c r="KR220" s="33"/>
      <c r="KS220" s="33"/>
      <c r="KT220" s="33"/>
      <c r="KU220" s="33"/>
      <c r="KV220" s="33"/>
      <c r="KW220" s="33"/>
      <c r="KX220" s="33"/>
      <c r="KY220" s="33"/>
      <c r="KZ220" s="33"/>
      <c r="LA220" s="33"/>
      <c r="LB220" s="33"/>
      <c r="LC220" s="33"/>
      <c r="LD220" s="33"/>
      <c r="LE220" s="33"/>
      <c r="LF220" s="33"/>
      <c r="LG220" s="33"/>
      <c r="LH220" s="33"/>
      <c r="LI220" s="33"/>
      <c r="LJ220" s="33"/>
      <c r="LK220" s="33"/>
      <c r="LL220" s="33"/>
      <c r="LM220" s="33"/>
      <c r="LN220" s="33"/>
      <c r="LO220" s="33"/>
      <c r="LP220" s="33"/>
      <c r="LQ220" s="33"/>
      <c r="LR220" s="33"/>
      <c r="LS220" s="33"/>
      <c r="LT220" s="33"/>
      <c r="LU220" s="33"/>
      <c r="LV220" s="33"/>
      <c r="LW220" s="33"/>
      <c r="LX220" s="33"/>
      <c r="LY220" s="33"/>
      <c r="LZ220" s="33"/>
      <c r="MA220" s="33"/>
      <c r="MB220" s="33"/>
      <c r="MC220" s="33"/>
      <c r="MD220" s="33"/>
      <c r="ME220" s="33"/>
      <c r="MF220" s="33"/>
      <c r="MG220" s="33"/>
      <c r="MH220" s="33"/>
      <c r="MI220" s="33"/>
      <c r="MJ220" s="33"/>
      <c r="MK220" s="33"/>
      <c r="ML220" s="33"/>
      <c r="MM220" s="33"/>
      <c r="MN220" s="33"/>
      <c r="MO220" s="33"/>
      <c r="MP220" s="33"/>
      <c r="MQ220" s="33"/>
      <c r="MR220" s="33"/>
      <c r="MS220" s="33"/>
      <c r="MT220" s="33"/>
      <c r="MU220" s="33"/>
      <c r="MV220" s="33"/>
      <c r="MW220" s="33"/>
      <c r="MX220" s="33"/>
      <c r="MY220" s="33"/>
      <c r="MZ220" s="33"/>
      <c r="NA220" s="33"/>
      <c r="NB220" s="33"/>
      <c r="NC220" s="33"/>
      <c r="ND220" s="33"/>
      <c r="NE220" s="33"/>
      <c r="NF220" s="33"/>
      <c r="NG220" s="33"/>
      <c r="NH220" s="33"/>
      <c r="NI220" s="33"/>
      <c r="NJ220" s="33"/>
      <c r="NK220" s="33"/>
      <c r="NL220" s="33"/>
      <c r="NM220" s="33"/>
      <c r="NN220" s="33"/>
      <c r="NO220" s="33"/>
      <c r="NP220" s="33"/>
      <c r="NQ220" s="33"/>
      <c r="NR220" s="33"/>
      <c r="NS220" s="33"/>
      <c r="NT220" s="33"/>
      <c r="NU220" s="33"/>
      <c r="NV220" s="33"/>
      <c r="NW220" s="33"/>
      <c r="NX220" s="33"/>
      <c r="NY220" s="33"/>
      <c r="NZ220" s="33"/>
      <c r="OA220" s="33"/>
      <c r="OB220" s="33"/>
      <c r="OC220" s="33"/>
      <c r="OD220" s="33"/>
      <c r="OE220" s="33"/>
      <c r="OF220" s="33"/>
      <c r="OG220" s="33"/>
      <c r="OH220" s="33"/>
      <c r="OI220" s="33"/>
      <c r="OJ220" s="33"/>
      <c r="OK220" s="33"/>
      <c r="OL220" s="33"/>
      <c r="OM220" s="33"/>
      <c r="ON220" s="33"/>
      <c r="OO220" s="33"/>
      <c r="OP220" s="33"/>
      <c r="OQ220" s="33"/>
      <c r="OR220" s="33"/>
      <c r="OS220" s="33"/>
      <c r="OT220" s="33"/>
      <c r="OU220" s="33"/>
      <c r="OV220" s="33"/>
      <c r="OW220" s="33"/>
      <c r="OX220" s="33"/>
      <c r="OY220" s="33"/>
      <c r="OZ220" s="33"/>
      <c r="PA220" s="33"/>
      <c r="PB220" s="33"/>
      <c r="PC220" s="33"/>
      <c r="PD220" s="33"/>
      <c r="PE220" s="33"/>
      <c r="PF220" s="33"/>
      <c r="PG220" s="33"/>
      <c r="PH220" s="33"/>
      <c r="PI220" s="33"/>
      <c r="PJ220" s="33"/>
      <c r="PK220" s="33"/>
      <c r="PL220" s="33"/>
      <c r="PM220" s="33"/>
      <c r="PN220" s="33"/>
      <c r="PO220" s="33"/>
      <c r="PP220" s="33"/>
      <c r="PQ220" s="33"/>
      <c r="PR220" s="33"/>
      <c r="PS220" s="33"/>
      <c r="PT220" s="33"/>
      <c r="PU220" s="33"/>
      <c r="PV220" s="33"/>
      <c r="PW220" s="33"/>
      <c r="PX220" s="33"/>
      <c r="PY220" s="33"/>
      <c r="PZ220" s="33"/>
      <c r="QA220" s="33"/>
      <c r="QB220" s="33"/>
      <c r="QC220" s="33"/>
      <c r="QD220" s="33"/>
      <c r="QE220" s="33"/>
      <c r="QF220" s="33"/>
      <c r="QG220" s="33"/>
      <c r="QH220" s="33"/>
      <c r="QI220" s="33"/>
      <c r="QJ220" s="33"/>
      <c r="QK220" s="33"/>
      <c r="QL220" s="33"/>
      <c r="QM220" s="33"/>
      <c r="QN220" s="33"/>
      <c r="QO220" s="33"/>
      <c r="QP220" s="33"/>
      <c r="QQ220" s="33"/>
      <c r="QR220" s="33"/>
      <c r="QS220" s="33"/>
      <c r="QT220" s="33"/>
      <c r="QU220" s="33"/>
      <c r="QV220" s="33"/>
      <c r="QW220" s="33"/>
      <c r="QX220" s="33"/>
      <c r="QY220" s="33"/>
      <c r="QZ220" s="33"/>
      <c r="RA220" s="33"/>
      <c r="RB220" s="33"/>
      <c r="RC220" s="33"/>
      <c r="RD220" s="33"/>
      <c r="RE220" s="33"/>
      <c r="RF220" s="33"/>
      <c r="RG220" s="33"/>
      <c r="RH220" s="33"/>
      <c r="RI220" s="33"/>
      <c r="RJ220" s="33"/>
      <c r="RK220" s="33"/>
      <c r="RL220" s="33"/>
      <c r="RM220" s="33"/>
      <c r="RN220" s="33"/>
      <c r="RO220" s="33"/>
      <c r="RP220" s="33"/>
      <c r="RQ220" s="33"/>
      <c r="RR220" s="33"/>
      <c r="RS220" s="33"/>
      <c r="RT220" s="33"/>
      <c r="RU220" s="33"/>
      <c r="RV220" s="33"/>
      <c r="RW220" s="33"/>
      <c r="RX220" s="33"/>
      <c r="RY220" s="33"/>
      <c r="RZ220" s="33"/>
      <c r="SA220" s="33"/>
      <c r="SB220" s="33"/>
      <c r="SC220" s="33"/>
      <c r="SD220" s="33"/>
      <c r="SE220" s="33"/>
      <c r="SF220" s="33"/>
      <c r="SG220" s="33"/>
      <c r="SH220" s="33"/>
      <c r="SI220" s="33"/>
      <c r="SJ220" s="33"/>
      <c r="SK220" s="33"/>
      <c r="SL220" s="33"/>
      <c r="SM220" s="33"/>
      <c r="SN220" s="33"/>
      <c r="SO220" s="33"/>
      <c r="SP220" s="33"/>
      <c r="SQ220" s="33"/>
      <c r="SR220" s="33"/>
      <c r="SS220" s="33"/>
      <c r="ST220" s="33"/>
      <c r="SU220" s="33"/>
      <c r="SV220" s="33"/>
      <c r="SW220" s="33"/>
      <c r="SX220" s="33"/>
      <c r="SY220" s="33"/>
      <c r="SZ220" s="33"/>
      <c r="TA220" s="33"/>
      <c r="TB220" s="33"/>
      <c r="TC220" s="33"/>
      <c r="TD220" s="33"/>
      <c r="TE220" s="33"/>
      <c r="TF220" s="33"/>
      <c r="TG220" s="33"/>
    </row>
    <row r="221" spans="1:527" s="34" customFormat="1" ht="15.75" x14ac:dyDescent="0.25">
      <c r="A221" s="100"/>
      <c r="B221" s="113"/>
      <c r="C221" s="113"/>
      <c r="D221" s="87" t="s">
        <v>421</v>
      </c>
      <c r="E221" s="102">
        <f>E245</f>
        <v>0</v>
      </c>
      <c r="F221" s="102">
        <f t="shared" ref="F221:P221" si="104">F245</f>
        <v>0</v>
      </c>
      <c r="G221" s="102">
        <f t="shared" si="104"/>
        <v>0</v>
      </c>
      <c r="H221" s="102">
        <f t="shared" si="104"/>
        <v>0</v>
      </c>
      <c r="I221" s="102">
        <f t="shared" si="104"/>
        <v>0</v>
      </c>
      <c r="J221" s="102">
        <f t="shared" si="104"/>
        <v>26250000</v>
      </c>
      <c r="K221" s="102">
        <f t="shared" si="104"/>
        <v>26250000</v>
      </c>
      <c r="L221" s="102">
        <f t="shared" si="104"/>
        <v>0</v>
      </c>
      <c r="M221" s="102">
        <f t="shared" si="104"/>
        <v>0</v>
      </c>
      <c r="N221" s="102">
        <f t="shared" si="104"/>
        <v>0</v>
      </c>
      <c r="O221" s="102">
        <f t="shared" si="104"/>
        <v>26250000</v>
      </c>
      <c r="P221" s="102">
        <f t="shared" si="104"/>
        <v>26250000</v>
      </c>
      <c r="Q221" s="188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  <c r="FV221" s="33"/>
      <c r="FW221" s="33"/>
      <c r="FX221" s="33"/>
      <c r="FY221" s="33"/>
      <c r="FZ221" s="33"/>
      <c r="GA221" s="33"/>
      <c r="GB221" s="33"/>
      <c r="GC221" s="33"/>
      <c r="GD221" s="33"/>
      <c r="GE221" s="33"/>
      <c r="GF221" s="33"/>
      <c r="GG221" s="33"/>
      <c r="GH221" s="33"/>
      <c r="GI221" s="33"/>
      <c r="GJ221" s="33"/>
      <c r="GK221" s="33"/>
      <c r="GL221" s="33"/>
      <c r="GM221" s="33"/>
      <c r="GN221" s="33"/>
      <c r="GO221" s="33"/>
      <c r="GP221" s="33"/>
      <c r="GQ221" s="33"/>
      <c r="GR221" s="33"/>
      <c r="GS221" s="33"/>
      <c r="GT221" s="33"/>
      <c r="GU221" s="33"/>
      <c r="GV221" s="33"/>
      <c r="GW221" s="33"/>
      <c r="GX221" s="33"/>
      <c r="GY221" s="33"/>
      <c r="GZ221" s="33"/>
      <c r="HA221" s="33"/>
      <c r="HB221" s="33"/>
      <c r="HC221" s="33"/>
      <c r="HD221" s="33"/>
      <c r="HE221" s="33"/>
      <c r="HF221" s="33"/>
      <c r="HG221" s="33"/>
      <c r="HH221" s="33"/>
      <c r="HI221" s="33"/>
      <c r="HJ221" s="33"/>
      <c r="HK221" s="33"/>
      <c r="HL221" s="33"/>
      <c r="HM221" s="33"/>
      <c r="HN221" s="33"/>
      <c r="HO221" s="33"/>
      <c r="HP221" s="33"/>
      <c r="HQ221" s="33"/>
      <c r="HR221" s="33"/>
      <c r="HS221" s="33"/>
      <c r="HT221" s="33"/>
      <c r="HU221" s="33"/>
      <c r="HV221" s="33"/>
      <c r="HW221" s="33"/>
      <c r="HX221" s="33"/>
      <c r="HY221" s="33"/>
      <c r="HZ221" s="33"/>
      <c r="IA221" s="33"/>
      <c r="IB221" s="33"/>
      <c r="IC221" s="33"/>
      <c r="ID221" s="33"/>
      <c r="IE221" s="33"/>
      <c r="IF221" s="33"/>
      <c r="IG221" s="33"/>
      <c r="IH221" s="33"/>
      <c r="II221" s="33"/>
      <c r="IJ221" s="33"/>
      <c r="IK221" s="33"/>
      <c r="IL221" s="33"/>
      <c r="IM221" s="33"/>
      <c r="IN221" s="33"/>
      <c r="IO221" s="33"/>
      <c r="IP221" s="33"/>
      <c r="IQ221" s="33"/>
      <c r="IR221" s="33"/>
      <c r="IS221" s="33"/>
      <c r="IT221" s="33"/>
      <c r="IU221" s="33"/>
      <c r="IV221" s="33"/>
      <c r="IW221" s="33"/>
      <c r="IX221" s="33"/>
      <c r="IY221" s="33"/>
      <c r="IZ221" s="33"/>
      <c r="JA221" s="33"/>
      <c r="JB221" s="33"/>
      <c r="JC221" s="33"/>
      <c r="JD221" s="33"/>
      <c r="JE221" s="33"/>
      <c r="JF221" s="33"/>
      <c r="JG221" s="33"/>
      <c r="JH221" s="33"/>
      <c r="JI221" s="33"/>
      <c r="JJ221" s="33"/>
      <c r="JK221" s="33"/>
      <c r="JL221" s="33"/>
      <c r="JM221" s="33"/>
      <c r="JN221" s="33"/>
      <c r="JO221" s="33"/>
      <c r="JP221" s="33"/>
      <c r="JQ221" s="33"/>
      <c r="JR221" s="33"/>
      <c r="JS221" s="33"/>
      <c r="JT221" s="33"/>
      <c r="JU221" s="33"/>
      <c r="JV221" s="33"/>
      <c r="JW221" s="33"/>
      <c r="JX221" s="33"/>
      <c r="JY221" s="33"/>
      <c r="JZ221" s="33"/>
      <c r="KA221" s="33"/>
      <c r="KB221" s="33"/>
      <c r="KC221" s="33"/>
      <c r="KD221" s="33"/>
      <c r="KE221" s="33"/>
      <c r="KF221" s="33"/>
      <c r="KG221" s="33"/>
      <c r="KH221" s="33"/>
      <c r="KI221" s="33"/>
      <c r="KJ221" s="33"/>
      <c r="KK221" s="33"/>
      <c r="KL221" s="33"/>
      <c r="KM221" s="33"/>
      <c r="KN221" s="33"/>
      <c r="KO221" s="33"/>
      <c r="KP221" s="33"/>
      <c r="KQ221" s="33"/>
      <c r="KR221" s="33"/>
      <c r="KS221" s="33"/>
      <c r="KT221" s="33"/>
      <c r="KU221" s="33"/>
      <c r="KV221" s="33"/>
      <c r="KW221" s="33"/>
      <c r="KX221" s="33"/>
      <c r="KY221" s="33"/>
      <c r="KZ221" s="33"/>
      <c r="LA221" s="33"/>
      <c r="LB221" s="33"/>
      <c r="LC221" s="33"/>
      <c r="LD221" s="33"/>
      <c r="LE221" s="33"/>
      <c r="LF221" s="33"/>
      <c r="LG221" s="33"/>
      <c r="LH221" s="33"/>
      <c r="LI221" s="33"/>
      <c r="LJ221" s="33"/>
      <c r="LK221" s="33"/>
      <c r="LL221" s="33"/>
      <c r="LM221" s="33"/>
      <c r="LN221" s="33"/>
      <c r="LO221" s="33"/>
      <c r="LP221" s="33"/>
      <c r="LQ221" s="33"/>
      <c r="LR221" s="33"/>
      <c r="LS221" s="33"/>
      <c r="LT221" s="33"/>
      <c r="LU221" s="33"/>
      <c r="LV221" s="33"/>
      <c r="LW221" s="33"/>
      <c r="LX221" s="33"/>
      <c r="LY221" s="33"/>
      <c r="LZ221" s="33"/>
      <c r="MA221" s="33"/>
      <c r="MB221" s="33"/>
      <c r="MC221" s="33"/>
      <c r="MD221" s="33"/>
      <c r="ME221" s="33"/>
      <c r="MF221" s="33"/>
      <c r="MG221" s="33"/>
      <c r="MH221" s="33"/>
      <c r="MI221" s="33"/>
      <c r="MJ221" s="33"/>
      <c r="MK221" s="33"/>
      <c r="ML221" s="33"/>
      <c r="MM221" s="33"/>
      <c r="MN221" s="33"/>
      <c r="MO221" s="33"/>
      <c r="MP221" s="33"/>
      <c r="MQ221" s="33"/>
      <c r="MR221" s="33"/>
      <c r="MS221" s="33"/>
      <c r="MT221" s="33"/>
      <c r="MU221" s="33"/>
      <c r="MV221" s="33"/>
      <c r="MW221" s="33"/>
      <c r="MX221" s="33"/>
      <c r="MY221" s="33"/>
      <c r="MZ221" s="33"/>
      <c r="NA221" s="33"/>
      <c r="NB221" s="33"/>
      <c r="NC221" s="33"/>
      <c r="ND221" s="33"/>
      <c r="NE221" s="33"/>
      <c r="NF221" s="33"/>
      <c r="NG221" s="33"/>
      <c r="NH221" s="33"/>
      <c r="NI221" s="33"/>
      <c r="NJ221" s="33"/>
      <c r="NK221" s="33"/>
      <c r="NL221" s="33"/>
      <c r="NM221" s="33"/>
      <c r="NN221" s="33"/>
      <c r="NO221" s="33"/>
      <c r="NP221" s="33"/>
      <c r="NQ221" s="33"/>
      <c r="NR221" s="33"/>
      <c r="NS221" s="33"/>
      <c r="NT221" s="33"/>
      <c r="NU221" s="33"/>
      <c r="NV221" s="33"/>
      <c r="NW221" s="33"/>
      <c r="NX221" s="33"/>
      <c r="NY221" s="33"/>
      <c r="NZ221" s="33"/>
      <c r="OA221" s="33"/>
      <c r="OB221" s="33"/>
      <c r="OC221" s="33"/>
      <c r="OD221" s="33"/>
      <c r="OE221" s="33"/>
      <c r="OF221" s="33"/>
      <c r="OG221" s="33"/>
      <c r="OH221" s="33"/>
      <c r="OI221" s="33"/>
      <c r="OJ221" s="33"/>
      <c r="OK221" s="33"/>
      <c r="OL221" s="33"/>
      <c r="OM221" s="33"/>
      <c r="ON221" s="33"/>
      <c r="OO221" s="33"/>
      <c r="OP221" s="33"/>
      <c r="OQ221" s="33"/>
      <c r="OR221" s="33"/>
      <c r="OS221" s="33"/>
      <c r="OT221" s="33"/>
      <c r="OU221" s="33"/>
      <c r="OV221" s="33"/>
      <c r="OW221" s="33"/>
      <c r="OX221" s="33"/>
      <c r="OY221" s="33"/>
      <c r="OZ221" s="33"/>
      <c r="PA221" s="33"/>
      <c r="PB221" s="33"/>
      <c r="PC221" s="33"/>
      <c r="PD221" s="33"/>
      <c r="PE221" s="33"/>
      <c r="PF221" s="33"/>
      <c r="PG221" s="33"/>
      <c r="PH221" s="33"/>
      <c r="PI221" s="33"/>
      <c r="PJ221" s="33"/>
      <c r="PK221" s="33"/>
      <c r="PL221" s="33"/>
      <c r="PM221" s="33"/>
      <c r="PN221" s="33"/>
      <c r="PO221" s="33"/>
      <c r="PP221" s="33"/>
      <c r="PQ221" s="33"/>
      <c r="PR221" s="33"/>
      <c r="PS221" s="33"/>
      <c r="PT221" s="33"/>
      <c r="PU221" s="33"/>
      <c r="PV221" s="33"/>
      <c r="PW221" s="33"/>
      <c r="PX221" s="33"/>
      <c r="PY221" s="33"/>
      <c r="PZ221" s="33"/>
      <c r="QA221" s="33"/>
      <c r="QB221" s="33"/>
      <c r="QC221" s="33"/>
      <c r="QD221" s="33"/>
      <c r="QE221" s="33"/>
      <c r="QF221" s="33"/>
      <c r="QG221" s="33"/>
      <c r="QH221" s="33"/>
      <c r="QI221" s="33"/>
      <c r="QJ221" s="33"/>
      <c r="QK221" s="33"/>
      <c r="QL221" s="33"/>
      <c r="QM221" s="33"/>
      <c r="QN221" s="33"/>
      <c r="QO221" s="33"/>
      <c r="QP221" s="33"/>
      <c r="QQ221" s="33"/>
      <c r="QR221" s="33"/>
      <c r="QS221" s="33"/>
      <c r="QT221" s="33"/>
      <c r="QU221" s="33"/>
      <c r="QV221" s="33"/>
      <c r="QW221" s="33"/>
      <c r="QX221" s="33"/>
      <c r="QY221" s="33"/>
      <c r="QZ221" s="33"/>
      <c r="RA221" s="33"/>
      <c r="RB221" s="33"/>
      <c r="RC221" s="33"/>
      <c r="RD221" s="33"/>
      <c r="RE221" s="33"/>
      <c r="RF221" s="33"/>
      <c r="RG221" s="33"/>
      <c r="RH221" s="33"/>
      <c r="RI221" s="33"/>
      <c r="RJ221" s="33"/>
      <c r="RK221" s="33"/>
      <c r="RL221" s="33"/>
      <c r="RM221" s="33"/>
      <c r="RN221" s="33"/>
      <c r="RO221" s="33"/>
      <c r="RP221" s="33"/>
      <c r="RQ221" s="33"/>
      <c r="RR221" s="33"/>
      <c r="RS221" s="33"/>
      <c r="RT221" s="33"/>
      <c r="RU221" s="33"/>
      <c r="RV221" s="33"/>
      <c r="RW221" s="33"/>
      <c r="RX221" s="33"/>
      <c r="RY221" s="33"/>
      <c r="RZ221" s="33"/>
      <c r="SA221" s="33"/>
      <c r="SB221" s="33"/>
      <c r="SC221" s="33"/>
      <c r="SD221" s="33"/>
      <c r="SE221" s="33"/>
      <c r="SF221" s="33"/>
      <c r="SG221" s="33"/>
      <c r="SH221" s="33"/>
      <c r="SI221" s="33"/>
      <c r="SJ221" s="33"/>
      <c r="SK221" s="33"/>
      <c r="SL221" s="33"/>
      <c r="SM221" s="33"/>
      <c r="SN221" s="33"/>
      <c r="SO221" s="33"/>
      <c r="SP221" s="33"/>
      <c r="SQ221" s="33"/>
      <c r="SR221" s="33"/>
      <c r="SS221" s="33"/>
      <c r="ST221" s="33"/>
      <c r="SU221" s="33"/>
      <c r="SV221" s="33"/>
      <c r="SW221" s="33"/>
      <c r="SX221" s="33"/>
      <c r="SY221" s="33"/>
      <c r="SZ221" s="33"/>
      <c r="TA221" s="33"/>
      <c r="TB221" s="33"/>
      <c r="TC221" s="33"/>
      <c r="TD221" s="33"/>
      <c r="TE221" s="33"/>
      <c r="TF221" s="33"/>
      <c r="TG221" s="33"/>
    </row>
    <row r="222" spans="1:527" s="22" customFormat="1" ht="47.25" x14ac:dyDescent="0.25">
      <c r="A222" s="60" t="s">
        <v>198</v>
      </c>
      <c r="B222" s="60" t="str">
        <f>'дод 5'!A20</f>
        <v>0160</v>
      </c>
      <c r="C222" s="60" t="str">
        <f>'дод 5'!B20</f>
        <v>0111</v>
      </c>
      <c r="D222" s="98" t="s">
        <v>503</v>
      </c>
      <c r="E222" s="103">
        <f t="shared" ref="E222:E251" si="105">F222+I222</f>
        <v>14442475</v>
      </c>
      <c r="F222" s="103">
        <f>14436900+5575</f>
        <v>14442475</v>
      </c>
      <c r="G222" s="103">
        <v>11274000</v>
      </c>
      <c r="H222" s="103">
        <f>203100+5575</f>
        <v>208675</v>
      </c>
      <c r="I222" s="103"/>
      <c r="J222" s="103">
        <f>L222+O222</f>
        <v>0</v>
      </c>
      <c r="K222" s="103"/>
      <c r="L222" s="103"/>
      <c r="M222" s="103"/>
      <c r="N222" s="103"/>
      <c r="O222" s="103"/>
      <c r="P222" s="103">
        <f t="shared" ref="P222:P251" si="106">E222+J222</f>
        <v>14442475</v>
      </c>
      <c r="Q222" s="188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</row>
    <row r="223" spans="1:527" s="22" customFormat="1" ht="23.25" customHeight="1" x14ac:dyDescent="0.25">
      <c r="A223" s="60" t="s">
        <v>557</v>
      </c>
      <c r="B223" s="60" t="s">
        <v>46</v>
      </c>
      <c r="C223" s="60" t="s">
        <v>95</v>
      </c>
      <c r="D223" s="98" t="s">
        <v>244</v>
      </c>
      <c r="E223" s="103">
        <f t="shared" si="105"/>
        <v>1000000</v>
      </c>
      <c r="F223" s="103">
        <v>1000000</v>
      </c>
      <c r="G223" s="103"/>
      <c r="H223" s="103"/>
      <c r="I223" s="103"/>
      <c r="J223" s="103">
        <f>L223+O223</f>
        <v>0</v>
      </c>
      <c r="K223" s="103"/>
      <c r="L223" s="103"/>
      <c r="M223" s="103"/>
      <c r="N223" s="103"/>
      <c r="O223" s="103"/>
      <c r="P223" s="103">
        <f t="shared" si="106"/>
        <v>1000000</v>
      </c>
      <c r="Q223" s="188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  <c r="TF223" s="23"/>
      <c r="TG223" s="23"/>
    </row>
    <row r="224" spans="1:527" s="22" customFormat="1" ht="19.5" customHeight="1" x14ac:dyDescent="0.25">
      <c r="A224" s="107" t="s">
        <v>304</v>
      </c>
      <c r="B224" s="42" t="str">
        <f>'дод 5'!A127</f>
        <v>3210</v>
      </c>
      <c r="C224" s="42" t="str">
        <f>'дод 5'!B127</f>
        <v>1050</v>
      </c>
      <c r="D224" s="36" t="str">
        <f>'дод 5'!C127</f>
        <v>Організація та проведення громадських робіт</v>
      </c>
      <c r="E224" s="103">
        <f t="shared" si="105"/>
        <v>160000</v>
      </c>
      <c r="F224" s="103">
        <f>200000-40000</f>
        <v>160000</v>
      </c>
      <c r="G224" s="103"/>
      <c r="H224" s="103"/>
      <c r="I224" s="103"/>
      <c r="J224" s="103">
        <f t="shared" ref="J224:J251" si="107">L224+O224</f>
        <v>0</v>
      </c>
      <c r="K224" s="103"/>
      <c r="L224" s="103"/>
      <c r="M224" s="103"/>
      <c r="N224" s="103"/>
      <c r="O224" s="103"/>
      <c r="P224" s="103">
        <f t="shared" si="106"/>
        <v>160000</v>
      </c>
      <c r="Q224" s="188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  <c r="TF224" s="23"/>
      <c r="TG224" s="23"/>
    </row>
    <row r="225" spans="1:527" s="22" customFormat="1" ht="33.75" customHeight="1" x14ac:dyDescent="0.25">
      <c r="A225" s="60" t="s">
        <v>199</v>
      </c>
      <c r="B225" s="97" t="str">
        <f>'дод 5'!A153</f>
        <v>6011</v>
      </c>
      <c r="C225" s="97" t="str">
        <f>'дод 5'!B153</f>
        <v>0610</v>
      </c>
      <c r="D225" s="61" t="str">
        <f>'дод 5'!C153</f>
        <v>Експлуатація та технічне обслуговування житлового фонду</v>
      </c>
      <c r="E225" s="103">
        <f t="shared" si="105"/>
        <v>0</v>
      </c>
      <c r="F225" s="103"/>
      <c r="G225" s="103"/>
      <c r="H225" s="103"/>
      <c r="I225" s="103"/>
      <c r="J225" s="103">
        <f t="shared" si="107"/>
        <v>8602296</v>
      </c>
      <c r="K225" s="103">
        <f>7054092-807126.65+807126.65+172300+40000+154400+169950+593700+23900-19300+37614+100560+126700+49900+62000</f>
        <v>8565816</v>
      </c>
      <c r="L225" s="103"/>
      <c r="M225" s="103"/>
      <c r="N225" s="103"/>
      <c r="O225" s="103">
        <f>7090572-807126.65+807126.65+172300+40000+154400+169950+593700+23900-19300+37614+100560+126700+49900+62000</f>
        <v>8602296</v>
      </c>
      <c r="P225" s="103">
        <f t="shared" si="106"/>
        <v>8602296</v>
      </c>
      <c r="Q225" s="188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  <c r="TF225" s="23"/>
      <c r="TG225" s="23"/>
    </row>
    <row r="226" spans="1:527" s="22" customFormat="1" ht="31.5" x14ac:dyDescent="0.25">
      <c r="A226" s="60" t="s">
        <v>200</v>
      </c>
      <c r="B226" s="97" t="str">
        <f>'дод 5'!A154</f>
        <v>6013</v>
      </c>
      <c r="C226" s="97" t="str">
        <f>'дод 5'!B154</f>
        <v>0620</v>
      </c>
      <c r="D226" s="61" t="str">
        <f>'дод 5'!C154</f>
        <v>Забезпечення діяльності водопровідно-каналізаційного господарства</v>
      </c>
      <c r="E226" s="103">
        <f t="shared" si="105"/>
        <v>29614040</v>
      </c>
      <c r="F226" s="103">
        <f>3610000-3000000+164040+30000+40000+270000</f>
        <v>1114040</v>
      </c>
      <c r="G226" s="103"/>
      <c r="H226" s="103"/>
      <c r="I226" s="103">
        <f>25250000-100000+3350000</f>
        <v>28500000</v>
      </c>
      <c r="J226" s="103">
        <f t="shared" si="107"/>
        <v>200000</v>
      </c>
      <c r="K226" s="103">
        <f>230000-30000</f>
        <v>200000</v>
      </c>
      <c r="L226" s="103"/>
      <c r="M226" s="103"/>
      <c r="N226" s="103"/>
      <c r="O226" s="103">
        <f>230000-30000</f>
        <v>200000</v>
      </c>
      <c r="P226" s="103">
        <f t="shared" si="106"/>
        <v>29814040</v>
      </c>
      <c r="Q226" s="188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  <c r="TF226" s="23"/>
      <c r="TG226" s="23"/>
    </row>
    <row r="227" spans="1:527" s="22" customFormat="1" ht="33" customHeight="1" x14ac:dyDescent="0.25">
      <c r="A227" s="60" t="s">
        <v>261</v>
      </c>
      <c r="B227" s="97" t="str">
        <f>'дод 5'!A155</f>
        <v>6015</v>
      </c>
      <c r="C227" s="97" t="str">
        <f>'дод 5'!B155</f>
        <v>0620</v>
      </c>
      <c r="D227" s="61" t="str">
        <f>'дод 5'!C155</f>
        <v>Забезпечення надійної та безперебійної експлуатації ліфтів</v>
      </c>
      <c r="E227" s="103">
        <f t="shared" si="105"/>
        <v>115980</v>
      </c>
      <c r="F227" s="103">
        <f>99980+8000+16000+8000-16000</f>
        <v>115980</v>
      </c>
      <c r="G227" s="103"/>
      <c r="H227" s="103"/>
      <c r="I227" s="103"/>
      <c r="J227" s="103">
        <f t="shared" si="107"/>
        <v>32680050</v>
      </c>
      <c r="K227" s="103">
        <f>6600000-96212+96212+4439600+1450000+700000+590000+232000-200000-200000+50000+318000+80000+592000+16000+65000+17450000+447450</f>
        <v>32630050</v>
      </c>
      <c r="L227" s="103"/>
      <c r="M227" s="103"/>
      <c r="N227" s="103"/>
      <c r="O227" s="103">
        <f>6650000-96212+96212+4439600+1450000+700000+590000+232000-200000-200000+50000+318000+80000+592000+16000+65000+17450000+447450</f>
        <v>32680050</v>
      </c>
      <c r="P227" s="103">
        <f t="shared" si="106"/>
        <v>32796030</v>
      </c>
      <c r="Q227" s="188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  <c r="TF227" s="23"/>
      <c r="TG227" s="23"/>
    </row>
    <row r="228" spans="1:527" s="22" customFormat="1" ht="32.25" customHeight="1" x14ac:dyDescent="0.25">
      <c r="A228" s="60" t="s">
        <v>264</v>
      </c>
      <c r="B228" s="97" t="str">
        <f>'дод 5'!A156</f>
        <v>6017</v>
      </c>
      <c r="C228" s="97" t="str">
        <f>'дод 5'!B156</f>
        <v>0620</v>
      </c>
      <c r="D228" s="61" t="str">
        <f>'дод 5'!C156</f>
        <v>Інша діяльність, пов’язана з експлуатацією об’єктів житлово-комунального господарства</v>
      </c>
      <c r="E228" s="103">
        <f t="shared" si="105"/>
        <v>100000</v>
      </c>
      <c r="F228" s="103">
        <v>100000</v>
      </c>
      <c r="G228" s="103"/>
      <c r="H228" s="103"/>
      <c r="I228" s="103"/>
      <c r="J228" s="103">
        <f t="shared" si="107"/>
        <v>0</v>
      </c>
      <c r="K228" s="103"/>
      <c r="L228" s="103"/>
      <c r="M228" s="103"/>
      <c r="N228" s="103"/>
      <c r="O228" s="103"/>
      <c r="P228" s="103">
        <f t="shared" si="106"/>
        <v>100000</v>
      </c>
      <c r="Q228" s="188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  <c r="PA228" s="23"/>
      <c r="PB228" s="23"/>
      <c r="PC228" s="23"/>
      <c r="PD228" s="23"/>
      <c r="PE228" s="23"/>
      <c r="PF228" s="23"/>
      <c r="PG228" s="23"/>
      <c r="PH228" s="23"/>
      <c r="PI228" s="23"/>
      <c r="PJ228" s="23"/>
      <c r="PK228" s="23"/>
      <c r="PL228" s="23"/>
      <c r="PM228" s="23"/>
      <c r="PN228" s="23"/>
      <c r="PO228" s="23"/>
      <c r="PP228" s="23"/>
      <c r="PQ228" s="23"/>
      <c r="PR228" s="23"/>
      <c r="PS228" s="23"/>
      <c r="PT228" s="23"/>
      <c r="PU228" s="23"/>
      <c r="PV228" s="23"/>
      <c r="PW228" s="23"/>
      <c r="PX228" s="23"/>
      <c r="PY228" s="23"/>
      <c r="PZ228" s="23"/>
      <c r="QA228" s="23"/>
      <c r="QB228" s="23"/>
      <c r="QC228" s="23"/>
      <c r="QD228" s="23"/>
      <c r="QE228" s="23"/>
      <c r="QF228" s="23"/>
      <c r="QG228" s="23"/>
      <c r="QH228" s="23"/>
      <c r="QI228" s="23"/>
      <c r="QJ228" s="23"/>
      <c r="QK228" s="23"/>
      <c r="QL228" s="23"/>
      <c r="QM228" s="23"/>
      <c r="QN228" s="23"/>
      <c r="QO228" s="23"/>
      <c r="QP228" s="23"/>
      <c r="QQ228" s="23"/>
      <c r="QR228" s="23"/>
      <c r="QS228" s="23"/>
      <c r="QT228" s="23"/>
      <c r="QU228" s="23"/>
      <c r="QV228" s="23"/>
      <c r="QW228" s="23"/>
      <c r="QX228" s="23"/>
      <c r="QY228" s="23"/>
      <c r="QZ228" s="23"/>
      <c r="RA228" s="23"/>
      <c r="RB228" s="23"/>
      <c r="RC228" s="23"/>
      <c r="RD228" s="23"/>
      <c r="RE228" s="23"/>
      <c r="RF228" s="23"/>
      <c r="RG228" s="23"/>
      <c r="RH228" s="23"/>
      <c r="RI228" s="23"/>
      <c r="RJ228" s="23"/>
      <c r="RK228" s="23"/>
      <c r="RL228" s="23"/>
      <c r="RM228" s="23"/>
      <c r="RN228" s="23"/>
      <c r="RO228" s="23"/>
      <c r="RP228" s="23"/>
      <c r="RQ228" s="23"/>
      <c r="RR228" s="23"/>
      <c r="RS228" s="23"/>
      <c r="RT228" s="23"/>
      <c r="RU228" s="23"/>
      <c r="RV228" s="23"/>
      <c r="RW228" s="23"/>
      <c r="RX228" s="23"/>
      <c r="RY228" s="23"/>
      <c r="RZ228" s="23"/>
      <c r="SA228" s="23"/>
      <c r="SB228" s="23"/>
      <c r="SC228" s="23"/>
      <c r="SD228" s="23"/>
      <c r="SE228" s="23"/>
      <c r="SF228" s="23"/>
      <c r="SG228" s="23"/>
      <c r="SH228" s="23"/>
      <c r="SI228" s="23"/>
      <c r="SJ228" s="23"/>
      <c r="SK228" s="23"/>
      <c r="SL228" s="23"/>
      <c r="SM228" s="23"/>
      <c r="SN228" s="23"/>
      <c r="SO228" s="23"/>
      <c r="SP228" s="23"/>
      <c r="SQ228" s="23"/>
      <c r="SR228" s="23"/>
      <c r="SS228" s="23"/>
      <c r="ST228" s="23"/>
      <c r="SU228" s="23"/>
      <c r="SV228" s="23"/>
      <c r="SW228" s="23"/>
      <c r="SX228" s="23"/>
      <c r="SY228" s="23"/>
      <c r="SZ228" s="23"/>
      <c r="TA228" s="23"/>
      <c r="TB228" s="23"/>
      <c r="TC228" s="23"/>
      <c r="TD228" s="23"/>
      <c r="TE228" s="23"/>
      <c r="TF228" s="23"/>
      <c r="TG228" s="23"/>
    </row>
    <row r="229" spans="1:527" s="22" customFormat="1" ht="47.25" x14ac:dyDescent="0.25">
      <c r="A229" s="60" t="s">
        <v>201</v>
      </c>
      <c r="B229" s="97" t="str">
        <f>'дод 5'!A157</f>
        <v>6020</v>
      </c>
      <c r="C229" s="97" t="str">
        <f>'дод 5'!B157</f>
        <v>0620</v>
      </c>
      <c r="D229" s="61" t="str">
        <f>'дод 5'!C157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29" s="103">
        <f t="shared" si="105"/>
        <v>1871258.48</v>
      </c>
      <c r="F229" s="103">
        <f>29300</f>
        <v>29300</v>
      </c>
      <c r="G229" s="103"/>
      <c r="H229" s="103"/>
      <c r="I229" s="103">
        <f>300000+1541958.48</f>
        <v>1841958.48</v>
      </c>
      <c r="J229" s="103">
        <f t="shared" si="107"/>
        <v>0</v>
      </c>
      <c r="K229" s="103"/>
      <c r="L229" s="103"/>
      <c r="M229" s="103"/>
      <c r="N229" s="103"/>
      <c r="O229" s="103"/>
      <c r="P229" s="103">
        <f t="shared" si="106"/>
        <v>1871258.48</v>
      </c>
      <c r="Q229" s="188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  <c r="TF229" s="23"/>
      <c r="TG229" s="23"/>
    </row>
    <row r="230" spans="1:527" s="22" customFormat="1" ht="24.75" customHeight="1" x14ac:dyDescent="0.25">
      <c r="A230" s="60" t="s">
        <v>202</v>
      </c>
      <c r="B230" s="97" t="str">
        <f>'дод 5'!A158</f>
        <v>6030</v>
      </c>
      <c r="C230" s="97" t="str">
        <f>'дод 5'!B158</f>
        <v>0620</v>
      </c>
      <c r="D230" s="61" t="str">
        <f>'дод 5'!C158</f>
        <v>Організація благоустрою населених пунктів</v>
      </c>
      <c r="E230" s="103">
        <f t="shared" si="105"/>
        <v>225390075.50999999</v>
      </c>
      <c r="F230" s="103">
        <f>220864874.13-7011318-49900-211983.47+990000+100000+72800+872900-100000-18473.69+60000-45080.64-164040+1592924+340394+200000-50500+299310+199600+1500000+98000+310136+40000+1000000+129000-29300+1012980+853612.73-90000+87900+371540.45+253200+30000-200000+31500+500000+250000+1250000-50000</f>
        <v>225290075.50999999</v>
      </c>
      <c r="G230" s="103"/>
      <c r="H230" s="103">
        <f>34504500-600000-164040+1250000</f>
        <v>34990460</v>
      </c>
      <c r="I230" s="103">
        <v>100000</v>
      </c>
      <c r="J230" s="103">
        <f t="shared" si="107"/>
        <v>30163628.579999991</v>
      </c>
      <c r="K230" s="103">
        <f>28422020-300000+7011318-1359437.09+1978809.98+72800-72800+129900+18473.69-60000+170000+50000-1500000+49900+49900-2800000-1150000+250000-2000000+5000000+49000+90000+49000-30000-1000000+694744-7000000+350000+3000000+528294.5-528294.5</f>
        <v>30163628.579999991</v>
      </c>
      <c r="L230" s="117"/>
      <c r="M230" s="103"/>
      <c r="N230" s="103"/>
      <c r="O230" s="103">
        <f>28422020-300000+7011318-1359437.09+1978809.98+72800-72800+129900+18473.69-60000+170000+50000-1500000+49900+49900-2800000-1150000+250000-2000000+5000000+49000+90000+49000-30000-1000000+694744-7000000+350000+3000000+528294.5-528294.5</f>
        <v>30163628.579999991</v>
      </c>
      <c r="P230" s="103">
        <f t="shared" si="106"/>
        <v>255553704.08999997</v>
      </c>
      <c r="Q230" s="188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</row>
    <row r="231" spans="1:527" s="22" customFormat="1" ht="31.5" customHeight="1" x14ac:dyDescent="0.25">
      <c r="A231" s="60" t="s">
        <v>254</v>
      </c>
      <c r="B231" s="97" t="str">
        <f>'дод 5'!A162</f>
        <v>6090</v>
      </c>
      <c r="C231" s="97" t="str">
        <f>'дод 5'!B162</f>
        <v>0640</v>
      </c>
      <c r="D231" s="61" t="str">
        <f>'дод 5'!C162</f>
        <v>Інша діяльність у сфері житлово-комунального господарства</v>
      </c>
      <c r="E231" s="103">
        <f t="shared" si="105"/>
        <v>16754966.280000001</v>
      </c>
      <c r="F231" s="103">
        <f>47773888-76000+38050-9241451.18+49000-200000-6163260-25000-20000+45080.64-300000-4102174-1899640+200000+19300+50500-101200-418760+20000-263600-25000-184814-1453016-25000-78100-179000-2382803-1663012.73-1050451+2500-371540.45-1522530+3000</f>
        <v>16454966.280000001</v>
      </c>
      <c r="G231" s="103"/>
      <c r="H231" s="103">
        <f>24500+3000</f>
        <v>27500</v>
      </c>
      <c r="I231" s="103">
        <v>300000</v>
      </c>
      <c r="J231" s="103">
        <f t="shared" si="107"/>
        <v>1785000</v>
      </c>
      <c r="K231" s="103"/>
      <c r="L231" s="103"/>
      <c r="M231" s="103"/>
      <c r="N231" s="103"/>
      <c r="O231" s="103">
        <v>1785000</v>
      </c>
      <c r="P231" s="103">
        <f t="shared" si="106"/>
        <v>18539966.280000001</v>
      </c>
      <c r="Q231" s="188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</row>
    <row r="232" spans="1:527" s="22" customFormat="1" ht="34.5" x14ac:dyDescent="0.25">
      <c r="A232" s="60" t="s">
        <v>273</v>
      </c>
      <c r="B232" s="97" t="str">
        <f>'дод 5'!A171</f>
        <v>7310</v>
      </c>
      <c r="C232" s="97" t="str">
        <f>'дод 5'!B171</f>
        <v>0443</v>
      </c>
      <c r="D232" s="6" t="s">
        <v>566</v>
      </c>
      <c r="E232" s="103">
        <f t="shared" si="105"/>
        <v>0</v>
      </c>
      <c r="F232" s="103"/>
      <c r="G232" s="103"/>
      <c r="H232" s="103"/>
      <c r="I232" s="103"/>
      <c r="J232" s="103">
        <f t="shared" si="107"/>
        <v>20078713</v>
      </c>
      <c r="K232" s="103">
        <f>19836513+300000-38050+50000+200000-169950-49900-49900+49900-49900</f>
        <v>20078713</v>
      </c>
      <c r="L232" s="103"/>
      <c r="M232" s="103"/>
      <c r="N232" s="103"/>
      <c r="O232" s="103">
        <f>19836513+300000-38050+50000+200000-169950-49900-49900+49900-49900</f>
        <v>20078713</v>
      </c>
      <c r="P232" s="103">
        <f t="shared" si="106"/>
        <v>20078713</v>
      </c>
      <c r="Q232" s="188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</row>
    <row r="233" spans="1:527" s="22" customFormat="1" ht="21" customHeight="1" x14ac:dyDescent="0.25">
      <c r="A233" s="60" t="s">
        <v>275</v>
      </c>
      <c r="B233" s="97" t="str">
        <f>'дод 5'!A177</f>
        <v>7330</v>
      </c>
      <c r="C233" s="97" t="str">
        <f>'дод 5'!B177</f>
        <v>0443</v>
      </c>
      <c r="D233" s="6" t="s">
        <v>561</v>
      </c>
      <c r="E233" s="103">
        <f t="shared" si="105"/>
        <v>0</v>
      </c>
      <c r="F233" s="103"/>
      <c r="G233" s="103"/>
      <c r="H233" s="103"/>
      <c r="I233" s="103"/>
      <c r="J233" s="103">
        <f t="shared" si="107"/>
        <v>19726375.579999998</v>
      </c>
      <c r="K233" s="103">
        <f>22088598+49900-407389.42-200000+3500000-4000000+500000+30000+250000+49900-70000+1000000-726244-230045-3300000+990000+151656+1300000-1300000+50000</f>
        <v>19726375.579999998</v>
      </c>
      <c r="L233" s="103"/>
      <c r="M233" s="103"/>
      <c r="N233" s="103"/>
      <c r="O233" s="103">
        <f>22088598+49900-407389.42-200000+3500000-4000000+500000+30000+250000+49900-70000+1000000-726244-230045-3300000+990000+151656+1300000-1300000+50000</f>
        <v>19726375.579999998</v>
      </c>
      <c r="P233" s="103">
        <f t="shared" si="106"/>
        <v>19726375.579999998</v>
      </c>
      <c r="Q233" s="188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</row>
    <row r="234" spans="1:527" s="22" customFormat="1" ht="33" customHeight="1" x14ac:dyDescent="0.25">
      <c r="A234" s="60" t="s">
        <v>203</v>
      </c>
      <c r="B234" s="97">
        <v>7340</v>
      </c>
      <c r="C234" s="97" t="str">
        <f>'дод 5'!B176</f>
        <v>0443</v>
      </c>
      <c r="D234" s="61" t="str">
        <f>'дод 5'!C178</f>
        <v>Проектування, реставрація та охорона пам'яток архітектури</v>
      </c>
      <c r="E234" s="103">
        <f t="shared" ref="E234" si="108">F234+I234</f>
        <v>0</v>
      </c>
      <c r="F234" s="103"/>
      <c r="G234" s="103"/>
      <c r="H234" s="103"/>
      <c r="I234" s="103"/>
      <c r="J234" s="103">
        <f t="shared" ref="J234" si="109">L234+O234</f>
        <v>3250000</v>
      </c>
      <c r="K234" s="103">
        <f>3250000</f>
        <v>3250000</v>
      </c>
      <c r="L234" s="103"/>
      <c r="M234" s="103"/>
      <c r="N234" s="103"/>
      <c r="O234" s="103">
        <f>3250000</f>
        <v>3250000</v>
      </c>
      <c r="P234" s="103">
        <f t="shared" ref="P234" si="110">E234+J234</f>
        <v>3250000</v>
      </c>
      <c r="Q234" s="188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</row>
    <row r="235" spans="1:527" s="22" customFormat="1" ht="49.5" hidden="1" customHeight="1" x14ac:dyDescent="0.25">
      <c r="A235" s="60" t="s">
        <v>372</v>
      </c>
      <c r="B235" s="97">
        <f>'дод 5'!A180</f>
        <v>7361</v>
      </c>
      <c r="C235" s="97" t="str">
        <f>'дод 5'!B180</f>
        <v>0490</v>
      </c>
      <c r="D235" s="61" t="str">
        <f>'дод 5'!C180</f>
        <v>Співфінансування інвестиційних проектів, що реалізуються за рахунок коштів державного фонду регіонального розвитку</v>
      </c>
      <c r="E235" s="103">
        <f t="shared" si="105"/>
        <v>0</v>
      </c>
      <c r="F235" s="103"/>
      <c r="G235" s="103"/>
      <c r="H235" s="103"/>
      <c r="I235" s="103"/>
      <c r="J235" s="103">
        <f t="shared" si="107"/>
        <v>0</v>
      </c>
      <c r="K235" s="103"/>
      <c r="L235" s="103"/>
      <c r="M235" s="103"/>
      <c r="N235" s="103"/>
      <c r="O235" s="103"/>
      <c r="P235" s="103">
        <f t="shared" si="106"/>
        <v>0</v>
      </c>
      <c r="Q235" s="164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</row>
    <row r="236" spans="1:527" s="22" customFormat="1" ht="30" hidden="1" customHeight="1" x14ac:dyDescent="0.25">
      <c r="A236" s="60">
        <v>1217362</v>
      </c>
      <c r="B236" s="97">
        <f>'дод 5'!A181</f>
        <v>7362</v>
      </c>
      <c r="C236" s="97" t="str">
        <f>'дод 5'!B181</f>
        <v>0490</v>
      </c>
      <c r="D236" s="61" t="str">
        <f>'дод 5'!C181</f>
        <v>Виконання інвестиційних проектів в рамках підтримки розвитку об'єднаних територіальних громад</v>
      </c>
      <c r="E236" s="103">
        <f t="shared" si="105"/>
        <v>0</v>
      </c>
      <c r="F236" s="103"/>
      <c r="G236" s="103"/>
      <c r="H236" s="103"/>
      <c r="I236" s="103"/>
      <c r="J236" s="103">
        <f t="shared" si="107"/>
        <v>0</v>
      </c>
      <c r="K236" s="103"/>
      <c r="L236" s="103"/>
      <c r="M236" s="103"/>
      <c r="N236" s="103"/>
      <c r="O236" s="103"/>
      <c r="P236" s="103">
        <f t="shared" si="106"/>
        <v>0</v>
      </c>
      <c r="Q236" s="164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</row>
    <row r="237" spans="1:527" s="22" customFormat="1" ht="47.25" x14ac:dyDescent="0.25">
      <c r="A237" s="60" t="s">
        <v>370</v>
      </c>
      <c r="B237" s="97">
        <v>7363</v>
      </c>
      <c r="C237" s="37" t="s">
        <v>84</v>
      </c>
      <c r="D237" s="36" t="s">
        <v>400</v>
      </c>
      <c r="E237" s="103">
        <f t="shared" si="105"/>
        <v>0</v>
      </c>
      <c r="F237" s="103"/>
      <c r="G237" s="103"/>
      <c r="H237" s="103"/>
      <c r="I237" s="103"/>
      <c r="J237" s="103">
        <f t="shared" si="107"/>
        <v>7800000</v>
      </c>
      <c r="K237" s="103">
        <f>2800000+5000000</f>
        <v>7800000</v>
      </c>
      <c r="L237" s="103"/>
      <c r="M237" s="103"/>
      <c r="N237" s="103"/>
      <c r="O237" s="103">
        <f>2800000+5000000</f>
        <v>7800000</v>
      </c>
      <c r="P237" s="103">
        <f t="shared" si="106"/>
        <v>7800000</v>
      </c>
      <c r="Q237" s="188">
        <v>15</v>
      </c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</row>
    <row r="238" spans="1:527" s="24" customFormat="1" ht="50.25" customHeight="1" x14ac:dyDescent="0.25">
      <c r="A238" s="88"/>
      <c r="B238" s="115"/>
      <c r="C238" s="115"/>
      <c r="D238" s="91" t="s">
        <v>569</v>
      </c>
      <c r="E238" s="105">
        <f t="shared" si="105"/>
        <v>0</v>
      </c>
      <c r="F238" s="105"/>
      <c r="G238" s="105"/>
      <c r="H238" s="105"/>
      <c r="I238" s="105"/>
      <c r="J238" s="105">
        <f t="shared" si="107"/>
        <v>5000000</v>
      </c>
      <c r="K238" s="105">
        <v>5000000</v>
      </c>
      <c r="L238" s="105"/>
      <c r="M238" s="105"/>
      <c r="N238" s="105"/>
      <c r="O238" s="105">
        <v>5000000</v>
      </c>
      <c r="P238" s="105">
        <f t="shared" si="106"/>
        <v>5000000</v>
      </c>
      <c r="Q238" s="188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  <c r="FJ238" s="30"/>
      <c r="FK238" s="30"/>
      <c r="FL238" s="30"/>
      <c r="FM238" s="30"/>
      <c r="FN238" s="30"/>
      <c r="FO238" s="30"/>
      <c r="FP238" s="30"/>
      <c r="FQ238" s="30"/>
      <c r="FR238" s="30"/>
      <c r="FS238" s="30"/>
      <c r="FT238" s="30"/>
      <c r="FU238" s="30"/>
      <c r="FV238" s="30"/>
      <c r="FW238" s="30"/>
      <c r="FX238" s="30"/>
      <c r="FY238" s="30"/>
      <c r="FZ238" s="30"/>
      <c r="GA238" s="30"/>
      <c r="GB238" s="30"/>
      <c r="GC238" s="30"/>
      <c r="GD238" s="30"/>
      <c r="GE238" s="30"/>
      <c r="GF238" s="30"/>
      <c r="GG238" s="30"/>
      <c r="GH238" s="30"/>
      <c r="GI238" s="30"/>
      <c r="GJ238" s="30"/>
      <c r="GK238" s="30"/>
      <c r="GL238" s="30"/>
      <c r="GM238" s="30"/>
      <c r="GN238" s="30"/>
      <c r="GO238" s="30"/>
      <c r="GP238" s="30"/>
      <c r="GQ238" s="30"/>
      <c r="GR238" s="30"/>
      <c r="GS238" s="30"/>
      <c r="GT238" s="30"/>
      <c r="GU238" s="30"/>
      <c r="GV238" s="30"/>
      <c r="GW238" s="30"/>
      <c r="GX238" s="30"/>
      <c r="GY238" s="30"/>
      <c r="GZ238" s="30"/>
      <c r="HA238" s="30"/>
      <c r="HB238" s="30"/>
      <c r="HC238" s="30"/>
      <c r="HD238" s="30"/>
      <c r="HE238" s="30"/>
      <c r="HF238" s="30"/>
      <c r="HG238" s="30"/>
      <c r="HH238" s="30"/>
      <c r="HI238" s="30"/>
      <c r="HJ238" s="30"/>
      <c r="HK238" s="30"/>
      <c r="HL238" s="30"/>
      <c r="HM238" s="30"/>
      <c r="HN238" s="30"/>
      <c r="HO238" s="30"/>
      <c r="HP238" s="30"/>
      <c r="HQ238" s="30"/>
      <c r="HR238" s="30"/>
      <c r="HS238" s="30"/>
      <c r="HT238" s="30"/>
      <c r="HU238" s="30"/>
      <c r="HV238" s="30"/>
      <c r="HW238" s="30"/>
      <c r="HX238" s="30"/>
      <c r="HY238" s="30"/>
      <c r="HZ238" s="30"/>
      <c r="IA238" s="30"/>
      <c r="IB238" s="30"/>
      <c r="IC238" s="30"/>
      <c r="ID238" s="30"/>
      <c r="IE238" s="30"/>
      <c r="IF238" s="30"/>
      <c r="IG238" s="30"/>
      <c r="IH238" s="30"/>
      <c r="II238" s="30"/>
      <c r="IJ238" s="30"/>
      <c r="IK238" s="30"/>
      <c r="IL238" s="30"/>
      <c r="IM238" s="30"/>
      <c r="IN238" s="30"/>
      <c r="IO238" s="30"/>
      <c r="IP238" s="30"/>
      <c r="IQ238" s="30"/>
      <c r="IR238" s="30"/>
      <c r="IS238" s="30"/>
      <c r="IT238" s="30"/>
      <c r="IU238" s="30"/>
      <c r="IV238" s="30"/>
      <c r="IW238" s="30"/>
      <c r="IX238" s="30"/>
      <c r="IY238" s="30"/>
      <c r="IZ238" s="30"/>
      <c r="JA238" s="30"/>
      <c r="JB238" s="30"/>
      <c r="JC238" s="30"/>
      <c r="JD238" s="30"/>
      <c r="JE238" s="30"/>
      <c r="JF238" s="30"/>
      <c r="JG238" s="30"/>
      <c r="JH238" s="30"/>
      <c r="JI238" s="30"/>
      <c r="JJ238" s="30"/>
      <c r="JK238" s="30"/>
      <c r="JL238" s="30"/>
      <c r="JM238" s="30"/>
      <c r="JN238" s="30"/>
      <c r="JO238" s="30"/>
      <c r="JP238" s="30"/>
      <c r="JQ238" s="30"/>
      <c r="JR238" s="30"/>
      <c r="JS238" s="30"/>
      <c r="JT238" s="30"/>
      <c r="JU238" s="30"/>
      <c r="JV238" s="30"/>
      <c r="JW238" s="30"/>
      <c r="JX238" s="30"/>
      <c r="JY238" s="30"/>
      <c r="JZ238" s="30"/>
      <c r="KA238" s="30"/>
      <c r="KB238" s="30"/>
      <c r="KC238" s="30"/>
      <c r="KD238" s="30"/>
      <c r="KE238" s="30"/>
      <c r="KF238" s="30"/>
      <c r="KG238" s="30"/>
      <c r="KH238" s="30"/>
      <c r="KI238" s="30"/>
      <c r="KJ238" s="30"/>
      <c r="KK238" s="30"/>
      <c r="KL238" s="30"/>
      <c r="KM238" s="30"/>
      <c r="KN238" s="30"/>
      <c r="KO238" s="30"/>
      <c r="KP238" s="30"/>
      <c r="KQ238" s="30"/>
      <c r="KR238" s="30"/>
      <c r="KS238" s="30"/>
      <c r="KT238" s="30"/>
      <c r="KU238" s="30"/>
      <c r="KV238" s="30"/>
      <c r="KW238" s="30"/>
      <c r="KX238" s="30"/>
      <c r="KY238" s="30"/>
      <c r="KZ238" s="30"/>
      <c r="LA238" s="30"/>
      <c r="LB238" s="30"/>
      <c r="LC238" s="30"/>
      <c r="LD238" s="30"/>
      <c r="LE238" s="30"/>
      <c r="LF238" s="30"/>
      <c r="LG238" s="30"/>
      <c r="LH238" s="30"/>
      <c r="LI238" s="30"/>
      <c r="LJ238" s="30"/>
      <c r="LK238" s="30"/>
      <c r="LL238" s="30"/>
      <c r="LM238" s="30"/>
      <c r="LN238" s="30"/>
      <c r="LO238" s="30"/>
      <c r="LP238" s="30"/>
      <c r="LQ238" s="30"/>
      <c r="LR238" s="30"/>
      <c r="LS238" s="30"/>
      <c r="LT238" s="30"/>
      <c r="LU238" s="30"/>
      <c r="LV238" s="30"/>
      <c r="LW238" s="30"/>
      <c r="LX238" s="30"/>
      <c r="LY238" s="30"/>
      <c r="LZ238" s="30"/>
      <c r="MA238" s="30"/>
      <c r="MB238" s="30"/>
      <c r="MC238" s="30"/>
      <c r="MD238" s="30"/>
      <c r="ME238" s="30"/>
      <c r="MF238" s="30"/>
      <c r="MG238" s="30"/>
      <c r="MH238" s="30"/>
      <c r="MI238" s="30"/>
      <c r="MJ238" s="30"/>
      <c r="MK238" s="30"/>
      <c r="ML238" s="30"/>
      <c r="MM238" s="30"/>
      <c r="MN238" s="30"/>
      <c r="MO238" s="30"/>
      <c r="MP238" s="30"/>
      <c r="MQ238" s="30"/>
      <c r="MR238" s="30"/>
      <c r="MS238" s="30"/>
      <c r="MT238" s="30"/>
      <c r="MU238" s="30"/>
      <c r="MV238" s="30"/>
      <c r="MW238" s="30"/>
      <c r="MX238" s="30"/>
      <c r="MY238" s="30"/>
      <c r="MZ238" s="30"/>
      <c r="NA238" s="30"/>
      <c r="NB238" s="30"/>
      <c r="NC238" s="30"/>
      <c r="ND238" s="30"/>
      <c r="NE238" s="30"/>
      <c r="NF238" s="30"/>
      <c r="NG238" s="30"/>
      <c r="NH238" s="30"/>
      <c r="NI238" s="30"/>
      <c r="NJ238" s="30"/>
      <c r="NK238" s="30"/>
      <c r="NL238" s="30"/>
      <c r="NM238" s="30"/>
      <c r="NN238" s="30"/>
      <c r="NO238" s="30"/>
      <c r="NP238" s="30"/>
      <c r="NQ238" s="30"/>
      <c r="NR238" s="30"/>
      <c r="NS238" s="30"/>
      <c r="NT238" s="30"/>
      <c r="NU238" s="30"/>
      <c r="NV238" s="30"/>
      <c r="NW238" s="30"/>
      <c r="NX238" s="30"/>
      <c r="NY238" s="30"/>
      <c r="NZ238" s="30"/>
      <c r="OA238" s="30"/>
      <c r="OB238" s="30"/>
      <c r="OC238" s="30"/>
      <c r="OD238" s="30"/>
      <c r="OE238" s="30"/>
      <c r="OF238" s="30"/>
      <c r="OG238" s="30"/>
      <c r="OH238" s="30"/>
      <c r="OI238" s="30"/>
      <c r="OJ238" s="30"/>
      <c r="OK238" s="30"/>
      <c r="OL238" s="30"/>
      <c r="OM238" s="30"/>
      <c r="ON238" s="30"/>
      <c r="OO238" s="30"/>
      <c r="OP238" s="30"/>
      <c r="OQ238" s="30"/>
      <c r="OR238" s="30"/>
      <c r="OS238" s="30"/>
      <c r="OT238" s="30"/>
      <c r="OU238" s="30"/>
      <c r="OV238" s="30"/>
      <c r="OW238" s="30"/>
      <c r="OX238" s="30"/>
      <c r="OY238" s="30"/>
      <c r="OZ238" s="30"/>
      <c r="PA238" s="30"/>
      <c r="PB238" s="30"/>
      <c r="PC238" s="30"/>
      <c r="PD238" s="30"/>
      <c r="PE238" s="30"/>
      <c r="PF238" s="30"/>
      <c r="PG238" s="30"/>
      <c r="PH238" s="30"/>
      <c r="PI238" s="30"/>
      <c r="PJ238" s="30"/>
      <c r="PK238" s="30"/>
      <c r="PL238" s="30"/>
      <c r="PM238" s="30"/>
      <c r="PN238" s="30"/>
      <c r="PO238" s="30"/>
      <c r="PP238" s="30"/>
      <c r="PQ238" s="30"/>
      <c r="PR238" s="30"/>
      <c r="PS238" s="30"/>
      <c r="PT238" s="30"/>
      <c r="PU238" s="30"/>
      <c r="PV238" s="30"/>
      <c r="PW238" s="30"/>
      <c r="PX238" s="30"/>
      <c r="PY238" s="30"/>
      <c r="PZ238" s="30"/>
      <c r="QA238" s="30"/>
      <c r="QB238" s="30"/>
      <c r="QC238" s="30"/>
      <c r="QD238" s="30"/>
      <c r="QE238" s="30"/>
      <c r="QF238" s="30"/>
      <c r="QG238" s="30"/>
      <c r="QH238" s="30"/>
      <c r="QI238" s="30"/>
      <c r="QJ238" s="30"/>
      <c r="QK238" s="30"/>
      <c r="QL238" s="30"/>
      <c r="QM238" s="30"/>
      <c r="QN238" s="30"/>
      <c r="QO238" s="30"/>
      <c r="QP238" s="30"/>
      <c r="QQ238" s="30"/>
      <c r="QR238" s="30"/>
      <c r="QS238" s="30"/>
      <c r="QT238" s="30"/>
      <c r="QU238" s="30"/>
      <c r="QV238" s="30"/>
      <c r="QW238" s="30"/>
      <c r="QX238" s="30"/>
      <c r="QY238" s="30"/>
      <c r="QZ238" s="30"/>
      <c r="RA238" s="30"/>
      <c r="RB238" s="30"/>
      <c r="RC238" s="30"/>
      <c r="RD238" s="30"/>
      <c r="RE238" s="30"/>
      <c r="RF238" s="30"/>
      <c r="RG238" s="30"/>
      <c r="RH238" s="30"/>
      <c r="RI238" s="30"/>
      <c r="RJ238" s="30"/>
      <c r="RK238" s="30"/>
      <c r="RL238" s="30"/>
      <c r="RM238" s="30"/>
      <c r="RN238" s="30"/>
      <c r="RO238" s="30"/>
      <c r="RP238" s="30"/>
      <c r="RQ238" s="30"/>
      <c r="RR238" s="30"/>
      <c r="RS238" s="30"/>
      <c r="RT238" s="30"/>
      <c r="RU238" s="30"/>
      <c r="RV238" s="30"/>
      <c r="RW238" s="30"/>
      <c r="RX238" s="30"/>
      <c r="RY238" s="30"/>
      <c r="RZ238" s="30"/>
      <c r="SA238" s="30"/>
      <c r="SB238" s="30"/>
      <c r="SC238" s="30"/>
      <c r="SD238" s="30"/>
      <c r="SE238" s="30"/>
      <c r="SF238" s="30"/>
      <c r="SG238" s="30"/>
      <c r="SH238" s="30"/>
      <c r="SI238" s="30"/>
      <c r="SJ238" s="30"/>
      <c r="SK238" s="30"/>
      <c r="SL238" s="30"/>
      <c r="SM238" s="30"/>
      <c r="SN238" s="30"/>
      <c r="SO238" s="30"/>
      <c r="SP238" s="30"/>
      <c r="SQ238" s="30"/>
      <c r="SR238" s="30"/>
      <c r="SS238" s="30"/>
      <c r="ST238" s="30"/>
      <c r="SU238" s="30"/>
      <c r="SV238" s="30"/>
      <c r="SW238" s="30"/>
      <c r="SX238" s="30"/>
      <c r="SY238" s="30"/>
      <c r="SZ238" s="30"/>
      <c r="TA238" s="30"/>
      <c r="TB238" s="30"/>
      <c r="TC238" s="30"/>
      <c r="TD238" s="30"/>
      <c r="TE238" s="30"/>
      <c r="TF238" s="30"/>
      <c r="TG238" s="30"/>
    </row>
    <row r="239" spans="1:527" s="22" customFormat="1" ht="47.25" x14ac:dyDescent="0.25">
      <c r="A239" s="60" t="s">
        <v>376</v>
      </c>
      <c r="B239" s="97">
        <f>'дод 5'!A192</f>
        <v>7462</v>
      </c>
      <c r="C239" s="60" t="s">
        <v>402</v>
      </c>
      <c r="D239" s="121" t="s">
        <v>401</v>
      </c>
      <c r="E239" s="103">
        <f t="shared" ref="E239:E242" si="111">F239+I239</f>
        <v>1527346</v>
      </c>
      <c r="F239" s="103">
        <v>1527346</v>
      </c>
      <c r="G239" s="103"/>
      <c r="H239" s="103"/>
      <c r="I239" s="103"/>
      <c r="J239" s="103">
        <f t="shared" ref="J239:J242" si="112">L239+O239</f>
        <v>0</v>
      </c>
      <c r="K239" s="103"/>
      <c r="L239" s="103"/>
      <c r="M239" s="103"/>
      <c r="N239" s="103"/>
      <c r="O239" s="103"/>
      <c r="P239" s="103">
        <f t="shared" ref="P239:P242" si="113">E239+J239</f>
        <v>1527346</v>
      </c>
      <c r="Q239" s="188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  <c r="TG239" s="23"/>
    </row>
    <row r="240" spans="1:527" s="24" customFormat="1" ht="110.25" hidden="1" customHeight="1" x14ac:dyDescent="0.25">
      <c r="A240" s="88"/>
      <c r="B240" s="115"/>
      <c r="C240" s="115"/>
      <c r="D240" s="91" t="s">
        <v>399</v>
      </c>
      <c r="E240" s="105">
        <f t="shared" si="111"/>
        <v>0</v>
      </c>
      <c r="F240" s="105"/>
      <c r="G240" s="105"/>
      <c r="H240" s="105"/>
      <c r="I240" s="105"/>
      <c r="J240" s="105">
        <f t="shared" si="112"/>
        <v>0</v>
      </c>
      <c r="K240" s="105"/>
      <c r="L240" s="105"/>
      <c r="M240" s="105"/>
      <c r="N240" s="105"/>
      <c r="O240" s="105"/>
      <c r="P240" s="105">
        <f t="shared" si="113"/>
        <v>0</v>
      </c>
      <c r="Q240" s="188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30"/>
      <c r="FY240" s="30"/>
      <c r="FZ240" s="30"/>
      <c r="GA240" s="30"/>
      <c r="GB240" s="30"/>
      <c r="GC240" s="30"/>
      <c r="GD240" s="30"/>
      <c r="GE240" s="30"/>
      <c r="GF240" s="30"/>
      <c r="GG240" s="30"/>
      <c r="GH240" s="30"/>
      <c r="GI240" s="30"/>
      <c r="GJ240" s="30"/>
      <c r="GK240" s="30"/>
      <c r="GL240" s="30"/>
      <c r="GM240" s="30"/>
      <c r="GN240" s="30"/>
      <c r="GO240" s="30"/>
      <c r="GP240" s="30"/>
      <c r="GQ240" s="30"/>
      <c r="GR240" s="30"/>
      <c r="GS240" s="30"/>
      <c r="GT240" s="30"/>
      <c r="GU240" s="30"/>
      <c r="GV240" s="30"/>
      <c r="GW240" s="30"/>
      <c r="GX240" s="30"/>
      <c r="GY240" s="30"/>
      <c r="GZ240" s="30"/>
      <c r="HA240" s="30"/>
      <c r="HB240" s="30"/>
      <c r="HC240" s="30"/>
      <c r="HD240" s="30"/>
      <c r="HE240" s="30"/>
      <c r="HF240" s="30"/>
      <c r="HG240" s="30"/>
      <c r="HH240" s="30"/>
      <c r="HI240" s="30"/>
      <c r="HJ240" s="30"/>
      <c r="HK240" s="30"/>
      <c r="HL240" s="30"/>
      <c r="HM240" s="30"/>
      <c r="HN240" s="30"/>
      <c r="HO240" s="30"/>
      <c r="HP240" s="30"/>
      <c r="HQ240" s="30"/>
      <c r="HR240" s="30"/>
      <c r="HS240" s="30"/>
      <c r="HT240" s="30"/>
      <c r="HU240" s="30"/>
      <c r="HV240" s="30"/>
      <c r="HW240" s="30"/>
      <c r="HX240" s="30"/>
      <c r="HY240" s="30"/>
      <c r="HZ240" s="30"/>
      <c r="IA240" s="30"/>
      <c r="IB240" s="30"/>
      <c r="IC240" s="30"/>
      <c r="ID240" s="30"/>
      <c r="IE240" s="30"/>
      <c r="IF240" s="30"/>
      <c r="IG240" s="30"/>
      <c r="IH240" s="30"/>
      <c r="II240" s="30"/>
      <c r="IJ240" s="30"/>
      <c r="IK240" s="30"/>
      <c r="IL240" s="30"/>
      <c r="IM240" s="30"/>
      <c r="IN240" s="30"/>
      <c r="IO240" s="30"/>
      <c r="IP240" s="30"/>
      <c r="IQ240" s="30"/>
      <c r="IR240" s="30"/>
      <c r="IS240" s="30"/>
      <c r="IT240" s="30"/>
      <c r="IU240" s="30"/>
      <c r="IV240" s="30"/>
      <c r="IW240" s="30"/>
      <c r="IX240" s="30"/>
      <c r="IY240" s="30"/>
      <c r="IZ240" s="30"/>
      <c r="JA240" s="30"/>
      <c r="JB240" s="30"/>
      <c r="JC240" s="30"/>
      <c r="JD240" s="30"/>
      <c r="JE240" s="30"/>
      <c r="JF240" s="30"/>
      <c r="JG240" s="30"/>
      <c r="JH240" s="30"/>
      <c r="JI240" s="30"/>
      <c r="JJ240" s="30"/>
      <c r="JK240" s="30"/>
      <c r="JL240" s="30"/>
      <c r="JM240" s="30"/>
      <c r="JN240" s="30"/>
      <c r="JO240" s="30"/>
      <c r="JP240" s="30"/>
      <c r="JQ240" s="30"/>
      <c r="JR240" s="30"/>
      <c r="JS240" s="30"/>
      <c r="JT240" s="30"/>
      <c r="JU240" s="30"/>
      <c r="JV240" s="30"/>
      <c r="JW240" s="30"/>
      <c r="JX240" s="30"/>
      <c r="JY240" s="30"/>
      <c r="JZ240" s="30"/>
      <c r="KA240" s="30"/>
      <c r="KB240" s="30"/>
      <c r="KC240" s="30"/>
      <c r="KD240" s="30"/>
      <c r="KE240" s="30"/>
      <c r="KF240" s="30"/>
      <c r="KG240" s="30"/>
      <c r="KH240" s="30"/>
      <c r="KI240" s="30"/>
      <c r="KJ240" s="30"/>
      <c r="KK240" s="30"/>
      <c r="KL240" s="30"/>
      <c r="KM240" s="30"/>
      <c r="KN240" s="30"/>
      <c r="KO240" s="30"/>
      <c r="KP240" s="30"/>
      <c r="KQ240" s="30"/>
      <c r="KR240" s="30"/>
      <c r="KS240" s="30"/>
      <c r="KT240" s="30"/>
      <c r="KU240" s="30"/>
      <c r="KV240" s="30"/>
      <c r="KW240" s="30"/>
      <c r="KX240" s="30"/>
      <c r="KY240" s="30"/>
      <c r="KZ240" s="30"/>
      <c r="LA240" s="30"/>
      <c r="LB240" s="30"/>
      <c r="LC240" s="30"/>
      <c r="LD240" s="30"/>
      <c r="LE240" s="30"/>
      <c r="LF240" s="30"/>
      <c r="LG240" s="30"/>
      <c r="LH240" s="30"/>
      <c r="LI240" s="30"/>
      <c r="LJ240" s="30"/>
      <c r="LK240" s="30"/>
      <c r="LL240" s="30"/>
      <c r="LM240" s="30"/>
      <c r="LN240" s="30"/>
      <c r="LO240" s="30"/>
      <c r="LP240" s="30"/>
      <c r="LQ240" s="30"/>
      <c r="LR240" s="30"/>
      <c r="LS240" s="30"/>
      <c r="LT240" s="30"/>
      <c r="LU240" s="30"/>
      <c r="LV240" s="30"/>
      <c r="LW240" s="30"/>
      <c r="LX240" s="30"/>
      <c r="LY240" s="30"/>
      <c r="LZ240" s="30"/>
      <c r="MA240" s="30"/>
      <c r="MB240" s="30"/>
      <c r="MC240" s="30"/>
      <c r="MD240" s="30"/>
      <c r="ME240" s="30"/>
      <c r="MF240" s="30"/>
      <c r="MG240" s="30"/>
      <c r="MH240" s="30"/>
      <c r="MI240" s="30"/>
      <c r="MJ240" s="30"/>
      <c r="MK240" s="30"/>
      <c r="ML240" s="30"/>
      <c r="MM240" s="30"/>
      <c r="MN240" s="30"/>
      <c r="MO240" s="30"/>
      <c r="MP240" s="30"/>
      <c r="MQ240" s="30"/>
      <c r="MR240" s="30"/>
      <c r="MS240" s="30"/>
      <c r="MT240" s="30"/>
      <c r="MU240" s="30"/>
      <c r="MV240" s="30"/>
      <c r="MW240" s="30"/>
      <c r="MX240" s="30"/>
      <c r="MY240" s="30"/>
      <c r="MZ240" s="30"/>
      <c r="NA240" s="30"/>
      <c r="NB240" s="30"/>
      <c r="NC240" s="30"/>
      <c r="ND240" s="30"/>
      <c r="NE240" s="30"/>
      <c r="NF240" s="30"/>
      <c r="NG240" s="30"/>
      <c r="NH240" s="30"/>
      <c r="NI240" s="30"/>
      <c r="NJ240" s="30"/>
      <c r="NK240" s="30"/>
      <c r="NL240" s="30"/>
      <c r="NM240" s="30"/>
      <c r="NN240" s="30"/>
      <c r="NO240" s="30"/>
      <c r="NP240" s="30"/>
      <c r="NQ240" s="30"/>
      <c r="NR240" s="30"/>
      <c r="NS240" s="30"/>
      <c r="NT240" s="30"/>
      <c r="NU240" s="30"/>
      <c r="NV240" s="30"/>
      <c r="NW240" s="30"/>
      <c r="NX240" s="30"/>
      <c r="NY240" s="30"/>
      <c r="NZ240" s="30"/>
      <c r="OA240" s="30"/>
      <c r="OB240" s="30"/>
      <c r="OC240" s="30"/>
      <c r="OD240" s="30"/>
      <c r="OE240" s="30"/>
      <c r="OF240" s="30"/>
      <c r="OG240" s="30"/>
      <c r="OH240" s="30"/>
      <c r="OI240" s="30"/>
      <c r="OJ240" s="30"/>
      <c r="OK240" s="30"/>
      <c r="OL240" s="30"/>
      <c r="OM240" s="30"/>
      <c r="ON240" s="30"/>
      <c r="OO240" s="30"/>
      <c r="OP240" s="30"/>
      <c r="OQ240" s="30"/>
      <c r="OR240" s="30"/>
      <c r="OS240" s="30"/>
      <c r="OT240" s="30"/>
      <c r="OU240" s="30"/>
      <c r="OV240" s="30"/>
      <c r="OW240" s="30"/>
      <c r="OX240" s="30"/>
      <c r="OY240" s="30"/>
      <c r="OZ240" s="30"/>
      <c r="PA240" s="30"/>
      <c r="PB240" s="30"/>
      <c r="PC240" s="30"/>
      <c r="PD240" s="30"/>
      <c r="PE240" s="30"/>
      <c r="PF240" s="30"/>
      <c r="PG240" s="30"/>
      <c r="PH240" s="30"/>
      <c r="PI240" s="30"/>
      <c r="PJ240" s="30"/>
      <c r="PK240" s="30"/>
      <c r="PL240" s="30"/>
      <c r="PM240" s="30"/>
      <c r="PN240" s="30"/>
      <c r="PO240" s="30"/>
      <c r="PP240" s="30"/>
      <c r="PQ240" s="30"/>
      <c r="PR240" s="30"/>
      <c r="PS240" s="30"/>
      <c r="PT240" s="30"/>
      <c r="PU240" s="30"/>
      <c r="PV240" s="30"/>
      <c r="PW240" s="30"/>
      <c r="PX240" s="30"/>
      <c r="PY240" s="30"/>
      <c r="PZ240" s="30"/>
      <c r="QA240" s="30"/>
      <c r="QB240" s="30"/>
      <c r="QC240" s="30"/>
      <c r="QD240" s="30"/>
      <c r="QE240" s="30"/>
      <c r="QF240" s="30"/>
      <c r="QG240" s="30"/>
      <c r="QH240" s="30"/>
      <c r="QI240" s="30"/>
      <c r="QJ240" s="30"/>
      <c r="QK240" s="30"/>
      <c r="QL240" s="30"/>
      <c r="QM240" s="30"/>
      <c r="QN240" s="30"/>
      <c r="QO240" s="30"/>
      <c r="QP240" s="30"/>
      <c r="QQ240" s="30"/>
      <c r="QR240" s="30"/>
      <c r="QS240" s="30"/>
      <c r="QT240" s="30"/>
      <c r="QU240" s="30"/>
      <c r="QV240" s="30"/>
      <c r="QW240" s="30"/>
      <c r="QX240" s="30"/>
      <c r="QY240" s="30"/>
      <c r="QZ240" s="30"/>
      <c r="RA240" s="30"/>
      <c r="RB240" s="30"/>
      <c r="RC240" s="30"/>
      <c r="RD240" s="30"/>
      <c r="RE240" s="30"/>
      <c r="RF240" s="30"/>
      <c r="RG240" s="30"/>
      <c r="RH240" s="30"/>
      <c r="RI240" s="30"/>
      <c r="RJ240" s="30"/>
      <c r="RK240" s="30"/>
      <c r="RL240" s="30"/>
      <c r="RM240" s="30"/>
      <c r="RN240" s="30"/>
      <c r="RO240" s="30"/>
      <c r="RP240" s="30"/>
      <c r="RQ240" s="30"/>
      <c r="RR240" s="30"/>
      <c r="RS240" s="30"/>
      <c r="RT240" s="30"/>
      <c r="RU240" s="30"/>
      <c r="RV240" s="30"/>
      <c r="RW240" s="30"/>
      <c r="RX240" s="30"/>
      <c r="RY240" s="30"/>
      <c r="RZ240" s="30"/>
      <c r="SA240" s="30"/>
      <c r="SB240" s="30"/>
      <c r="SC240" s="30"/>
      <c r="SD240" s="30"/>
      <c r="SE240" s="30"/>
      <c r="SF240" s="30"/>
      <c r="SG240" s="30"/>
      <c r="SH240" s="30"/>
      <c r="SI240" s="30"/>
      <c r="SJ240" s="30"/>
      <c r="SK240" s="30"/>
      <c r="SL240" s="30"/>
      <c r="SM240" s="30"/>
      <c r="SN240" s="30"/>
      <c r="SO240" s="30"/>
      <c r="SP240" s="30"/>
      <c r="SQ240" s="30"/>
      <c r="SR240" s="30"/>
      <c r="SS240" s="30"/>
      <c r="ST240" s="30"/>
      <c r="SU240" s="30"/>
      <c r="SV240" s="30"/>
      <c r="SW240" s="30"/>
      <c r="SX240" s="30"/>
      <c r="SY240" s="30"/>
      <c r="SZ240" s="30"/>
      <c r="TA240" s="30"/>
      <c r="TB240" s="30"/>
      <c r="TC240" s="30"/>
      <c r="TD240" s="30"/>
      <c r="TE240" s="30"/>
      <c r="TF240" s="30"/>
      <c r="TG240" s="30"/>
    </row>
    <row r="241" spans="1:527" s="24" customFormat="1" ht="78.75" x14ac:dyDescent="0.25">
      <c r="A241" s="88"/>
      <c r="B241" s="115"/>
      <c r="C241" s="115"/>
      <c r="D241" s="91" t="s">
        <v>554</v>
      </c>
      <c r="E241" s="105">
        <f t="shared" si="111"/>
        <v>1527346</v>
      </c>
      <c r="F241" s="105">
        <v>1527346</v>
      </c>
      <c r="G241" s="105"/>
      <c r="H241" s="105"/>
      <c r="I241" s="105"/>
      <c r="J241" s="105">
        <f t="shared" si="112"/>
        <v>0</v>
      </c>
      <c r="K241" s="105"/>
      <c r="L241" s="105"/>
      <c r="M241" s="105"/>
      <c r="N241" s="105"/>
      <c r="O241" s="105"/>
      <c r="P241" s="105">
        <f t="shared" si="113"/>
        <v>1527346</v>
      </c>
      <c r="Q241" s="188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30"/>
      <c r="FN241" s="30"/>
      <c r="FO241" s="30"/>
      <c r="FP241" s="30"/>
      <c r="FQ241" s="30"/>
      <c r="FR241" s="30"/>
      <c r="FS241" s="30"/>
      <c r="FT241" s="30"/>
      <c r="FU241" s="30"/>
      <c r="FV241" s="30"/>
      <c r="FW241" s="30"/>
      <c r="FX241" s="30"/>
      <c r="FY241" s="30"/>
      <c r="FZ241" s="30"/>
      <c r="GA241" s="30"/>
      <c r="GB241" s="30"/>
      <c r="GC241" s="30"/>
      <c r="GD241" s="30"/>
      <c r="GE241" s="30"/>
      <c r="GF241" s="30"/>
      <c r="GG241" s="30"/>
      <c r="GH241" s="30"/>
      <c r="GI241" s="30"/>
      <c r="GJ241" s="30"/>
      <c r="GK241" s="30"/>
      <c r="GL241" s="30"/>
      <c r="GM241" s="30"/>
      <c r="GN241" s="30"/>
      <c r="GO241" s="30"/>
      <c r="GP241" s="30"/>
      <c r="GQ241" s="30"/>
      <c r="GR241" s="30"/>
      <c r="GS241" s="30"/>
      <c r="GT241" s="30"/>
      <c r="GU241" s="30"/>
      <c r="GV241" s="30"/>
      <c r="GW241" s="30"/>
      <c r="GX241" s="30"/>
      <c r="GY241" s="30"/>
      <c r="GZ241" s="30"/>
      <c r="HA241" s="30"/>
      <c r="HB241" s="30"/>
      <c r="HC241" s="30"/>
      <c r="HD241" s="30"/>
      <c r="HE241" s="30"/>
      <c r="HF241" s="30"/>
      <c r="HG241" s="30"/>
      <c r="HH241" s="30"/>
      <c r="HI241" s="30"/>
      <c r="HJ241" s="30"/>
      <c r="HK241" s="30"/>
      <c r="HL241" s="30"/>
      <c r="HM241" s="30"/>
      <c r="HN241" s="30"/>
      <c r="HO241" s="30"/>
      <c r="HP241" s="30"/>
      <c r="HQ241" s="30"/>
      <c r="HR241" s="30"/>
      <c r="HS241" s="30"/>
      <c r="HT241" s="30"/>
      <c r="HU241" s="30"/>
      <c r="HV241" s="30"/>
      <c r="HW241" s="30"/>
      <c r="HX241" s="30"/>
      <c r="HY241" s="30"/>
      <c r="HZ241" s="30"/>
      <c r="IA241" s="30"/>
      <c r="IB241" s="30"/>
      <c r="IC241" s="30"/>
      <c r="ID241" s="30"/>
      <c r="IE241" s="30"/>
      <c r="IF241" s="30"/>
      <c r="IG241" s="30"/>
      <c r="IH241" s="30"/>
      <c r="II241" s="30"/>
      <c r="IJ241" s="30"/>
      <c r="IK241" s="30"/>
      <c r="IL241" s="30"/>
      <c r="IM241" s="30"/>
      <c r="IN241" s="30"/>
      <c r="IO241" s="30"/>
      <c r="IP241" s="30"/>
      <c r="IQ241" s="30"/>
      <c r="IR241" s="30"/>
      <c r="IS241" s="30"/>
      <c r="IT241" s="30"/>
      <c r="IU241" s="30"/>
      <c r="IV241" s="30"/>
      <c r="IW241" s="30"/>
      <c r="IX241" s="30"/>
      <c r="IY241" s="30"/>
      <c r="IZ241" s="30"/>
      <c r="JA241" s="30"/>
      <c r="JB241" s="30"/>
      <c r="JC241" s="30"/>
      <c r="JD241" s="30"/>
      <c r="JE241" s="30"/>
      <c r="JF241" s="30"/>
      <c r="JG241" s="30"/>
      <c r="JH241" s="30"/>
      <c r="JI241" s="30"/>
      <c r="JJ241" s="30"/>
      <c r="JK241" s="30"/>
      <c r="JL241" s="30"/>
      <c r="JM241" s="30"/>
      <c r="JN241" s="30"/>
      <c r="JO241" s="30"/>
      <c r="JP241" s="30"/>
      <c r="JQ241" s="30"/>
      <c r="JR241" s="30"/>
      <c r="JS241" s="30"/>
      <c r="JT241" s="30"/>
      <c r="JU241" s="30"/>
      <c r="JV241" s="30"/>
      <c r="JW241" s="30"/>
      <c r="JX241" s="30"/>
      <c r="JY241" s="30"/>
      <c r="JZ241" s="30"/>
      <c r="KA241" s="30"/>
      <c r="KB241" s="30"/>
      <c r="KC241" s="30"/>
      <c r="KD241" s="30"/>
      <c r="KE241" s="30"/>
      <c r="KF241" s="30"/>
      <c r="KG241" s="30"/>
      <c r="KH241" s="30"/>
      <c r="KI241" s="30"/>
      <c r="KJ241" s="30"/>
      <c r="KK241" s="30"/>
      <c r="KL241" s="30"/>
      <c r="KM241" s="30"/>
      <c r="KN241" s="30"/>
      <c r="KO241" s="30"/>
      <c r="KP241" s="30"/>
      <c r="KQ241" s="30"/>
      <c r="KR241" s="30"/>
      <c r="KS241" s="30"/>
      <c r="KT241" s="30"/>
      <c r="KU241" s="30"/>
      <c r="KV241" s="30"/>
      <c r="KW241" s="30"/>
      <c r="KX241" s="30"/>
      <c r="KY241" s="30"/>
      <c r="KZ241" s="30"/>
      <c r="LA241" s="30"/>
      <c r="LB241" s="30"/>
      <c r="LC241" s="30"/>
      <c r="LD241" s="30"/>
      <c r="LE241" s="30"/>
      <c r="LF241" s="30"/>
      <c r="LG241" s="30"/>
      <c r="LH241" s="30"/>
      <c r="LI241" s="30"/>
      <c r="LJ241" s="30"/>
      <c r="LK241" s="30"/>
      <c r="LL241" s="30"/>
      <c r="LM241" s="30"/>
      <c r="LN241" s="30"/>
      <c r="LO241" s="30"/>
      <c r="LP241" s="30"/>
      <c r="LQ241" s="30"/>
      <c r="LR241" s="30"/>
      <c r="LS241" s="30"/>
      <c r="LT241" s="30"/>
      <c r="LU241" s="30"/>
      <c r="LV241" s="30"/>
      <c r="LW241" s="30"/>
      <c r="LX241" s="30"/>
      <c r="LY241" s="30"/>
      <c r="LZ241" s="30"/>
      <c r="MA241" s="30"/>
      <c r="MB241" s="30"/>
      <c r="MC241" s="30"/>
      <c r="MD241" s="30"/>
      <c r="ME241" s="30"/>
      <c r="MF241" s="30"/>
      <c r="MG241" s="30"/>
      <c r="MH241" s="30"/>
      <c r="MI241" s="30"/>
      <c r="MJ241" s="30"/>
      <c r="MK241" s="30"/>
      <c r="ML241" s="30"/>
      <c r="MM241" s="30"/>
      <c r="MN241" s="30"/>
      <c r="MO241" s="30"/>
      <c r="MP241" s="30"/>
      <c r="MQ241" s="30"/>
      <c r="MR241" s="30"/>
      <c r="MS241" s="30"/>
      <c r="MT241" s="30"/>
      <c r="MU241" s="30"/>
      <c r="MV241" s="30"/>
      <c r="MW241" s="30"/>
      <c r="MX241" s="30"/>
      <c r="MY241" s="30"/>
      <c r="MZ241" s="30"/>
      <c r="NA241" s="30"/>
      <c r="NB241" s="30"/>
      <c r="NC241" s="30"/>
      <c r="ND241" s="30"/>
      <c r="NE241" s="30"/>
      <c r="NF241" s="30"/>
      <c r="NG241" s="30"/>
      <c r="NH241" s="30"/>
      <c r="NI241" s="30"/>
      <c r="NJ241" s="30"/>
      <c r="NK241" s="30"/>
      <c r="NL241" s="30"/>
      <c r="NM241" s="30"/>
      <c r="NN241" s="30"/>
      <c r="NO241" s="30"/>
      <c r="NP241" s="30"/>
      <c r="NQ241" s="30"/>
      <c r="NR241" s="30"/>
      <c r="NS241" s="30"/>
      <c r="NT241" s="30"/>
      <c r="NU241" s="30"/>
      <c r="NV241" s="30"/>
      <c r="NW241" s="30"/>
      <c r="NX241" s="30"/>
      <c r="NY241" s="30"/>
      <c r="NZ241" s="30"/>
      <c r="OA241" s="30"/>
      <c r="OB241" s="30"/>
      <c r="OC241" s="30"/>
      <c r="OD241" s="30"/>
      <c r="OE241" s="30"/>
      <c r="OF241" s="30"/>
      <c r="OG241" s="30"/>
      <c r="OH241" s="30"/>
      <c r="OI241" s="30"/>
      <c r="OJ241" s="30"/>
      <c r="OK241" s="30"/>
      <c r="OL241" s="30"/>
      <c r="OM241" s="30"/>
      <c r="ON241" s="30"/>
      <c r="OO241" s="30"/>
      <c r="OP241" s="30"/>
      <c r="OQ241" s="30"/>
      <c r="OR241" s="30"/>
      <c r="OS241" s="30"/>
      <c r="OT241" s="30"/>
      <c r="OU241" s="30"/>
      <c r="OV241" s="30"/>
      <c r="OW241" s="30"/>
      <c r="OX241" s="30"/>
      <c r="OY241" s="30"/>
      <c r="OZ241" s="30"/>
      <c r="PA241" s="30"/>
      <c r="PB241" s="30"/>
      <c r="PC241" s="30"/>
      <c r="PD241" s="30"/>
      <c r="PE241" s="30"/>
      <c r="PF241" s="30"/>
      <c r="PG241" s="30"/>
      <c r="PH241" s="30"/>
      <c r="PI241" s="30"/>
      <c r="PJ241" s="30"/>
      <c r="PK241" s="30"/>
      <c r="PL241" s="30"/>
      <c r="PM241" s="30"/>
      <c r="PN241" s="30"/>
      <c r="PO241" s="30"/>
      <c r="PP241" s="30"/>
      <c r="PQ241" s="30"/>
      <c r="PR241" s="30"/>
      <c r="PS241" s="30"/>
      <c r="PT241" s="30"/>
      <c r="PU241" s="30"/>
      <c r="PV241" s="30"/>
      <c r="PW241" s="30"/>
      <c r="PX241" s="30"/>
      <c r="PY241" s="30"/>
      <c r="PZ241" s="30"/>
      <c r="QA241" s="30"/>
      <c r="QB241" s="30"/>
      <c r="QC241" s="30"/>
      <c r="QD241" s="30"/>
      <c r="QE241" s="30"/>
      <c r="QF241" s="30"/>
      <c r="QG241" s="30"/>
      <c r="QH241" s="30"/>
      <c r="QI241" s="30"/>
      <c r="QJ241" s="30"/>
      <c r="QK241" s="30"/>
      <c r="QL241" s="30"/>
      <c r="QM241" s="30"/>
      <c r="QN241" s="30"/>
      <c r="QO241" s="30"/>
      <c r="QP241" s="30"/>
      <c r="QQ241" s="30"/>
      <c r="QR241" s="30"/>
      <c r="QS241" s="30"/>
      <c r="QT241" s="30"/>
      <c r="QU241" s="30"/>
      <c r="QV241" s="30"/>
      <c r="QW241" s="30"/>
      <c r="QX241" s="30"/>
      <c r="QY241" s="30"/>
      <c r="QZ241" s="30"/>
      <c r="RA241" s="30"/>
      <c r="RB241" s="30"/>
      <c r="RC241" s="30"/>
      <c r="RD241" s="30"/>
      <c r="RE241" s="30"/>
      <c r="RF241" s="30"/>
      <c r="RG241" s="30"/>
      <c r="RH241" s="30"/>
      <c r="RI241" s="30"/>
      <c r="RJ241" s="30"/>
      <c r="RK241" s="30"/>
      <c r="RL241" s="30"/>
      <c r="RM241" s="30"/>
      <c r="RN241" s="30"/>
      <c r="RO241" s="30"/>
      <c r="RP241" s="30"/>
      <c r="RQ241" s="30"/>
      <c r="RR241" s="30"/>
      <c r="RS241" s="30"/>
      <c r="RT241" s="30"/>
      <c r="RU241" s="30"/>
      <c r="RV241" s="30"/>
      <c r="RW241" s="30"/>
      <c r="RX241" s="30"/>
      <c r="RY241" s="30"/>
      <c r="RZ241" s="30"/>
      <c r="SA241" s="30"/>
      <c r="SB241" s="30"/>
      <c r="SC241" s="30"/>
      <c r="SD241" s="30"/>
      <c r="SE241" s="30"/>
      <c r="SF241" s="30"/>
      <c r="SG241" s="30"/>
      <c r="SH241" s="30"/>
      <c r="SI241" s="30"/>
      <c r="SJ241" s="30"/>
      <c r="SK241" s="30"/>
      <c r="SL241" s="30"/>
      <c r="SM241" s="30"/>
      <c r="SN241" s="30"/>
      <c r="SO241" s="30"/>
      <c r="SP241" s="30"/>
      <c r="SQ241" s="30"/>
      <c r="SR241" s="30"/>
      <c r="SS241" s="30"/>
      <c r="ST241" s="30"/>
      <c r="SU241" s="30"/>
      <c r="SV241" s="30"/>
      <c r="SW241" s="30"/>
      <c r="SX241" s="30"/>
      <c r="SY241" s="30"/>
      <c r="SZ241" s="30"/>
      <c r="TA241" s="30"/>
      <c r="TB241" s="30"/>
      <c r="TC241" s="30"/>
      <c r="TD241" s="30"/>
      <c r="TE241" s="30"/>
      <c r="TF241" s="30"/>
      <c r="TG241" s="30"/>
    </row>
    <row r="242" spans="1:527" s="24" customFormat="1" ht="31.5" hidden="1" customHeight="1" x14ac:dyDescent="0.25">
      <c r="A242" s="60" t="s">
        <v>431</v>
      </c>
      <c r="B242" s="97">
        <v>7530</v>
      </c>
      <c r="C242" s="60" t="s">
        <v>238</v>
      </c>
      <c r="D242" s="98" t="s">
        <v>236</v>
      </c>
      <c r="E242" s="103">
        <f t="shared" si="111"/>
        <v>0</v>
      </c>
      <c r="F242" s="103"/>
      <c r="G242" s="105"/>
      <c r="H242" s="105"/>
      <c r="I242" s="105"/>
      <c r="J242" s="103">
        <f t="shared" si="112"/>
        <v>0</v>
      </c>
      <c r="K242" s="103"/>
      <c r="L242" s="103"/>
      <c r="M242" s="103"/>
      <c r="N242" s="103"/>
      <c r="O242" s="103"/>
      <c r="P242" s="103">
        <f t="shared" si="113"/>
        <v>0</v>
      </c>
      <c r="Q242" s="188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  <c r="FJ242" s="30"/>
      <c r="FK242" s="30"/>
      <c r="FL242" s="30"/>
      <c r="FM242" s="30"/>
      <c r="FN242" s="30"/>
      <c r="FO242" s="30"/>
      <c r="FP242" s="30"/>
      <c r="FQ242" s="30"/>
      <c r="FR242" s="30"/>
      <c r="FS242" s="30"/>
      <c r="FT242" s="30"/>
      <c r="FU242" s="30"/>
      <c r="FV242" s="30"/>
      <c r="FW242" s="30"/>
      <c r="FX242" s="30"/>
      <c r="FY242" s="30"/>
      <c r="FZ242" s="30"/>
      <c r="GA242" s="30"/>
      <c r="GB242" s="30"/>
      <c r="GC242" s="30"/>
      <c r="GD242" s="30"/>
      <c r="GE242" s="30"/>
      <c r="GF242" s="30"/>
      <c r="GG242" s="30"/>
      <c r="GH242" s="30"/>
      <c r="GI242" s="30"/>
      <c r="GJ242" s="30"/>
      <c r="GK242" s="30"/>
      <c r="GL242" s="30"/>
      <c r="GM242" s="30"/>
      <c r="GN242" s="30"/>
      <c r="GO242" s="30"/>
      <c r="GP242" s="30"/>
      <c r="GQ242" s="30"/>
      <c r="GR242" s="30"/>
      <c r="GS242" s="30"/>
      <c r="GT242" s="30"/>
      <c r="GU242" s="30"/>
      <c r="GV242" s="30"/>
      <c r="GW242" s="30"/>
      <c r="GX242" s="30"/>
      <c r="GY242" s="30"/>
      <c r="GZ242" s="30"/>
      <c r="HA242" s="30"/>
      <c r="HB242" s="30"/>
      <c r="HC242" s="30"/>
      <c r="HD242" s="30"/>
      <c r="HE242" s="30"/>
      <c r="HF242" s="30"/>
      <c r="HG242" s="30"/>
      <c r="HH242" s="30"/>
      <c r="HI242" s="30"/>
      <c r="HJ242" s="30"/>
      <c r="HK242" s="30"/>
      <c r="HL242" s="30"/>
      <c r="HM242" s="30"/>
      <c r="HN242" s="30"/>
      <c r="HO242" s="30"/>
      <c r="HP242" s="30"/>
      <c r="HQ242" s="30"/>
      <c r="HR242" s="30"/>
      <c r="HS242" s="30"/>
      <c r="HT242" s="30"/>
      <c r="HU242" s="30"/>
      <c r="HV242" s="30"/>
      <c r="HW242" s="30"/>
      <c r="HX242" s="30"/>
      <c r="HY242" s="30"/>
      <c r="HZ242" s="30"/>
      <c r="IA242" s="30"/>
      <c r="IB242" s="30"/>
      <c r="IC242" s="30"/>
      <c r="ID242" s="30"/>
      <c r="IE242" s="30"/>
      <c r="IF242" s="30"/>
      <c r="IG242" s="30"/>
      <c r="IH242" s="30"/>
      <c r="II242" s="30"/>
      <c r="IJ242" s="30"/>
      <c r="IK242" s="30"/>
      <c r="IL242" s="30"/>
      <c r="IM242" s="30"/>
      <c r="IN242" s="30"/>
      <c r="IO242" s="30"/>
      <c r="IP242" s="30"/>
      <c r="IQ242" s="30"/>
      <c r="IR242" s="30"/>
      <c r="IS242" s="30"/>
      <c r="IT242" s="30"/>
      <c r="IU242" s="30"/>
      <c r="IV242" s="30"/>
      <c r="IW242" s="30"/>
      <c r="IX242" s="30"/>
      <c r="IY242" s="30"/>
      <c r="IZ242" s="30"/>
      <c r="JA242" s="30"/>
      <c r="JB242" s="30"/>
      <c r="JC242" s="30"/>
      <c r="JD242" s="30"/>
      <c r="JE242" s="30"/>
      <c r="JF242" s="30"/>
      <c r="JG242" s="30"/>
      <c r="JH242" s="30"/>
      <c r="JI242" s="30"/>
      <c r="JJ242" s="30"/>
      <c r="JK242" s="30"/>
      <c r="JL242" s="30"/>
      <c r="JM242" s="30"/>
      <c r="JN242" s="30"/>
      <c r="JO242" s="30"/>
      <c r="JP242" s="30"/>
      <c r="JQ242" s="30"/>
      <c r="JR242" s="30"/>
      <c r="JS242" s="30"/>
      <c r="JT242" s="30"/>
      <c r="JU242" s="30"/>
      <c r="JV242" s="30"/>
      <c r="JW242" s="30"/>
      <c r="JX242" s="30"/>
      <c r="JY242" s="30"/>
      <c r="JZ242" s="30"/>
      <c r="KA242" s="30"/>
      <c r="KB242" s="30"/>
      <c r="KC242" s="30"/>
      <c r="KD242" s="30"/>
      <c r="KE242" s="30"/>
      <c r="KF242" s="30"/>
      <c r="KG242" s="30"/>
      <c r="KH242" s="30"/>
      <c r="KI242" s="30"/>
      <c r="KJ242" s="30"/>
      <c r="KK242" s="30"/>
      <c r="KL242" s="30"/>
      <c r="KM242" s="30"/>
      <c r="KN242" s="30"/>
      <c r="KO242" s="30"/>
      <c r="KP242" s="30"/>
      <c r="KQ242" s="30"/>
      <c r="KR242" s="30"/>
      <c r="KS242" s="30"/>
      <c r="KT242" s="30"/>
      <c r="KU242" s="30"/>
      <c r="KV242" s="30"/>
      <c r="KW242" s="30"/>
      <c r="KX242" s="30"/>
      <c r="KY242" s="30"/>
      <c r="KZ242" s="30"/>
      <c r="LA242" s="30"/>
      <c r="LB242" s="30"/>
      <c r="LC242" s="30"/>
      <c r="LD242" s="30"/>
      <c r="LE242" s="30"/>
      <c r="LF242" s="30"/>
      <c r="LG242" s="30"/>
      <c r="LH242" s="30"/>
      <c r="LI242" s="30"/>
      <c r="LJ242" s="30"/>
      <c r="LK242" s="30"/>
      <c r="LL242" s="30"/>
      <c r="LM242" s="30"/>
      <c r="LN242" s="30"/>
      <c r="LO242" s="30"/>
      <c r="LP242" s="30"/>
      <c r="LQ242" s="30"/>
      <c r="LR242" s="30"/>
      <c r="LS242" s="30"/>
      <c r="LT242" s="30"/>
      <c r="LU242" s="30"/>
      <c r="LV242" s="30"/>
      <c r="LW242" s="30"/>
      <c r="LX242" s="30"/>
      <c r="LY242" s="30"/>
      <c r="LZ242" s="30"/>
      <c r="MA242" s="30"/>
      <c r="MB242" s="30"/>
      <c r="MC242" s="30"/>
      <c r="MD242" s="30"/>
      <c r="ME242" s="30"/>
      <c r="MF242" s="30"/>
      <c r="MG242" s="30"/>
      <c r="MH242" s="30"/>
      <c r="MI242" s="30"/>
      <c r="MJ242" s="30"/>
      <c r="MK242" s="30"/>
      <c r="ML242" s="30"/>
      <c r="MM242" s="30"/>
      <c r="MN242" s="30"/>
      <c r="MO242" s="30"/>
      <c r="MP242" s="30"/>
      <c r="MQ242" s="30"/>
      <c r="MR242" s="30"/>
      <c r="MS242" s="30"/>
      <c r="MT242" s="30"/>
      <c r="MU242" s="30"/>
      <c r="MV242" s="30"/>
      <c r="MW242" s="30"/>
      <c r="MX242" s="30"/>
      <c r="MY242" s="30"/>
      <c r="MZ242" s="30"/>
      <c r="NA242" s="30"/>
      <c r="NB242" s="30"/>
      <c r="NC242" s="30"/>
      <c r="ND242" s="30"/>
      <c r="NE242" s="30"/>
      <c r="NF242" s="30"/>
      <c r="NG242" s="30"/>
      <c r="NH242" s="30"/>
      <c r="NI242" s="30"/>
      <c r="NJ242" s="30"/>
      <c r="NK242" s="30"/>
      <c r="NL242" s="30"/>
      <c r="NM242" s="30"/>
      <c r="NN242" s="30"/>
      <c r="NO242" s="30"/>
      <c r="NP242" s="30"/>
      <c r="NQ242" s="30"/>
      <c r="NR242" s="30"/>
      <c r="NS242" s="30"/>
      <c r="NT242" s="30"/>
      <c r="NU242" s="30"/>
      <c r="NV242" s="30"/>
      <c r="NW242" s="30"/>
      <c r="NX242" s="30"/>
      <c r="NY242" s="30"/>
      <c r="NZ242" s="30"/>
      <c r="OA242" s="30"/>
      <c r="OB242" s="30"/>
      <c r="OC242" s="30"/>
      <c r="OD242" s="30"/>
      <c r="OE242" s="30"/>
      <c r="OF242" s="30"/>
      <c r="OG242" s="30"/>
      <c r="OH242" s="30"/>
      <c r="OI242" s="30"/>
      <c r="OJ242" s="30"/>
      <c r="OK242" s="30"/>
      <c r="OL242" s="30"/>
      <c r="OM242" s="30"/>
      <c r="ON242" s="30"/>
      <c r="OO242" s="30"/>
      <c r="OP242" s="30"/>
      <c r="OQ242" s="30"/>
      <c r="OR242" s="30"/>
      <c r="OS242" s="30"/>
      <c r="OT242" s="30"/>
      <c r="OU242" s="30"/>
      <c r="OV242" s="30"/>
      <c r="OW242" s="30"/>
      <c r="OX242" s="30"/>
      <c r="OY242" s="30"/>
      <c r="OZ242" s="30"/>
      <c r="PA242" s="30"/>
      <c r="PB242" s="30"/>
      <c r="PC242" s="30"/>
      <c r="PD242" s="30"/>
      <c r="PE242" s="30"/>
      <c r="PF242" s="30"/>
      <c r="PG242" s="30"/>
      <c r="PH242" s="30"/>
      <c r="PI242" s="30"/>
      <c r="PJ242" s="30"/>
      <c r="PK242" s="30"/>
      <c r="PL242" s="30"/>
      <c r="PM242" s="30"/>
      <c r="PN242" s="30"/>
      <c r="PO242" s="30"/>
      <c r="PP242" s="30"/>
      <c r="PQ242" s="30"/>
      <c r="PR242" s="30"/>
      <c r="PS242" s="30"/>
      <c r="PT242" s="30"/>
      <c r="PU242" s="30"/>
      <c r="PV242" s="30"/>
      <c r="PW242" s="30"/>
      <c r="PX242" s="30"/>
      <c r="PY242" s="30"/>
      <c r="PZ242" s="30"/>
      <c r="QA242" s="30"/>
      <c r="QB242" s="30"/>
      <c r="QC242" s="30"/>
      <c r="QD242" s="30"/>
      <c r="QE242" s="30"/>
      <c r="QF242" s="30"/>
      <c r="QG242" s="30"/>
      <c r="QH242" s="30"/>
      <c r="QI242" s="30"/>
      <c r="QJ242" s="30"/>
      <c r="QK242" s="30"/>
      <c r="QL242" s="30"/>
      <c r="QM242" s="30"/>
      <c r="QN242" s="30"/>
      <c r="QO242" s="30"/>
      <c r="QP242" s="30"/>
      <c r="QQ242" s="30"/>
      <c r="QR242" s="30"/>
      <c r="QS242" s="30"/>
      <c r="QT242" s="30"/>
      <c r="QU242" s="30"/>
      <c r="QV242" s="30"/>
      <c r="QW242" s="30"/>
      <c r="QX242" s="30"/>
      <c r="QY242" s="30"/>
      <c r="QZ242" s="30"/>
      <c r="RA242" s="30"/>
      <c r="RB242" s="30"/>
      <c r="RC242" s="30"/>
      <c r="RD242" s="30"/>
      <c r="RE242" s="30"/>
      <c r="RF242" s="30"/>
      <c r="RG242" s="30"/>
      <c r="RH242" s="30"/>
      <c r="RI242" s="30"/>
      <c r="RJ242" s="30"/>
      <c r="RK242" s="30"/>
      <c r="RL242" s="30"/>
      <c r="RM242" s="30"/>
      <c r="RN242" s="30"/>
      <c r="RO242" s="30"/>
      <c r="RP242" s="30"/>
      <c r="RQ242" s="30"/>
      <c r="RR242" s="30"/>
      <c r="RS242" s="30"/>
      <c r="RT242" s="30"/>
      <c r="RU242" s="30"/>
      <c r="RV242" s="30"/>
      <c r="RW242" s="30"/>
      <c r="RX242" s="30"/>
      <c r="RY242" s="30"/>
      <c r="RZ242" s="30"/>
      <c r="SA242" s="30"/>
      <c r="SB242" s="30"/>
      <c r="SC242" s="30"/>
      <c r="SD242" s="30"/>
      <c r="SE242" s="30"/>
      <c r="SF242" s="30"/>
      <c r="SG242" s="30"/>
      <c r="SH242" s="30"/>
      <c r="SI242" s="30"/>
      <c r="SJ242" s="30"/>
      <c r="SK242" s="30"/>
      <c r="SL242" s="30"/>
      <c r="SM242" s="30"/>
      <c r="SN242" s="30"/>
      <c r="SO242" s="30"/>
      <c r="SP242" s="30"/>
      <c r="SQ242" s="30"/>
      <c r="SR242" s="30"/>
      <c r="SS242" s="30"/>
      <c r="ST242" s="30"/>
      <c r="SU242" s="30"/>
      <c r="SV242" s="30"/>
      <c r="SW242" s="30"/>
      <c r="SX242" s="30"/>
      <c r="SY242" s="30"/>
      <c r="SZ242" s="30"/>
      <c r="TA242" s="30"/>
      <c r="TB242" s="30"/>
      <c r="TC242" s="30"/>
      <c r="TD242" s="30"/>
      <c r="TE242" s="30"/>
      <c r="TF242" s="30"/>
      <c r="TG242" s="30"/>
    </row>
    <row r="243" spans="1:527" s="22" customFormat="1" ht="20.25" customHeight="1" x14ac:dyDescent="0.25">
      <c r="A243" s="60" t="s">
        <v>204</v>
      </c>
      <c r="B243" s="97" t="str">
        <f>'дод 5'!A203</f>
        <v>7640</v>
      </c>
      <c r="C243" s="97" t="str">
        <f>'дод 5'!B203</f>
        <v>0470</v>
      </c>
      <c r="D243" s="61" t="s">
        <v>424</v>
      </c>
      <c r="E243" s="103">
        <f t="shared" si="105"/>
        <v>2700000</v>
      </c>
      <c r="F243" s="103">
        <v>700000</v>
      </c>
      <c r="G243" s="103"/>
      <c r="H243" s="103"/>
      <c r="I243" s="103">
        <f>1500000+500000</f>
        <v>2000000</v>
      </c>
      <c r="J243" s="103">
        <f t="shared" si="107"/>
        <v>0</v>
      </c>
      <c r="K243" s="103"/>
      <c r="L243" s="103"/>
      <c r="M243" s="103"/>
      <c r="N243" s="103"/>
      <c r="O243" s="103"/>
      <c r="P243" s="103">
        <f t="shared" si="106"/>
        <v>2700000</v>
      </c>
      <c r="Q243" s="188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  <c r="TF243" s="23"/>
      <c r="TG243" s="23"/>
    </row>
    <row r="244" spans="1:527" s="22" customFormat="1" ht="30" customHeight="1" x14ac:dyDescent="0.25">
      <c r="A244" s="60" t="s">
        <v>333</v>
      </c>
      <c r="B244" s="97" t="str">
        <f>'дод 5'!A207</f>
        <v>7670</v>
      </c>
      <c r="C244" s="97" t="str">
        <f>'дод 5'!B207</f>
        <v>0490</v>
      </c>
      <c r="D244" s="61" t="str">
        <f>'дод 5'!C207</f>
        <v>Внески до статутного капіталу суб’єктів господарювання, у т. ч. за рахунок:</v>
      </c>
      <c r="E244" s="103">
        <f t="shared" si="105"/>
        <v>0</v>
      </c>
      <c r="F244" s="103"/>
      <c r="G244" s="103"/>
      <c r="H244" s="103"/>
      <c r="I244" s="103"/>
      <c r="J244" s="103">
        <f t="shared" si="107"/>
        <v>26790000</v>
      </c>
      <c r="K244" s="103">
        <f>46790000-20000000</f>
        <v>26790000</v>
      </c>
      <c r="L244" s="103"/>
      <c r="M244" s="103"/>
      <c r="N244" s="103"/>
      <c r="O244" s="103">
        <f>46790000-20000000</f>
        <v>26790000</v>
      </c>
      <c r="P244" s="103">
        <f t="shared" si="106"/>
        <v>26790000</v>
      </c>
      <c r="Q244" s="188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</row>
    <row r="245" spans="1:527" s="24" customFormat="1" ht="18.75" customHeight="1" x14ac:dyDescent="0.25">
      <c r="A245" s="88"/>
      <c r="B245" s="115"/>
      <c r="C245" s="115"/>
      <c r="D245" s="89" t="s">
        <v>421</v>
      </c>
      <c r="E245" s="105">
        <f t="shared" si="105"/>
        <v>0</v>
      </c>
      <c r="F245" s="105"/>
      <c r="G245" s="105"/>
      <c r="H245" s="105"/>
      <c r="I245" s="105"/>
      <c r="J245" s="105">
        <f t="shared" si="107"/>
        <v>26250000</v>
      </c>
      <c r="K245" s="105">
        <v>26250000</v>
      </c>
      <c r="L245" s="105"/>
      <c r="M245" s="105"/>
      <c r="N245" s="105"/>
      <c r="O245" s="105">
        <v>26250000</v>
      </c>
      <c r="P245" s="105">
        <f t="shared" si="106"/>
        <v>26250000</v>
      </c>
      <c r="Q245" s="188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30"/>
      <c r="GK245" s="30"/>
      <c r="GL245" s="30"/>
      <c r="GM245" s="30"/>
      <c r="GN245" s="30"/>
      <c r="GO245" s="30"/>
      <c r="GP245" s="30"/>
      <c r="GQ245" s="30"/>
      <c r="GR245" s="30"/>
      <c r="GS245" s="30"/>
      <c r="GT245" s="30"/>
      <c r="GU245" s="30"/>
      <c r="GV245" s="30"/>
      <c r="GW245" s="30"/>
      <c r="GX245" s="30"/>
      <c r="GY245" s="30"/>
      <c r="GZ245" s="30"/>
      <c r="HA245" s="30"/>
      <c r="HB245" s="30"/>
      <c r="HC245" s="30"/>
      <c r="HD245" s="30"/>
      <c r="HE245" s="30"/>
      <c r="HF245" s="30"/>
      <c r="HG245" s="30"/>
      <c r="HH245" s="30"/>
      <c r="HI245" s="30"/>
      <c r="HJ245" s="30"/>
      <c r="HK245" s="30"/>
      <c r="HL245" s="30"/>
      <c r="HM245" s="30"/>
      <c r="HN245" s="30"/>
      <c r="HO245" s="30"/>
      <c r="HP245" s="30"/>
      <c r="HQ245" s="30"/>
      <c r="HR245" s="30"/>
      <c r="HS245" s="30"/>
      <c r="HT245" s="30"/>
      <c r="HU245" s="30"/>
      <c r="HV245" s="30"/>
      <c r="HW245" s="30"/>
      <c r="HX245" s="30"/>
      <c r="HY245" s="30"/>
      <c r="HZ245" s="30"/>
      <c r="IA245" s="30"/>
      <c r="IB245" s="30"/>
      <c r="IC245" s="30"/>
      <c r="ID245" s="30"/>
      <c r="IE245" s="30"/>
      <c r="IF245" s="30"/>
      <c r="IG245" s="30"/>
      <c r="IH245" s="30"/>
      <c r="II245" s="30"/>
      <c r="IJ245" s="30"/>
      <c r="IK245" s="30"/>
      <c r="IL245" s="30"/>
      <c r="IM245" s="30"/>
      <c r="IN245" s="30"/>
      <c r="IO245" s="30"/>
      <c r="IP245" s="30"/>
      <c r="IQ245" s="30"/>
      <c r="IR245" s="30"/>
      <c r="IS245" s="30"/>
      <c r="IT245" s="30"/>
      <c r="IU245" s="30"/>
      <c r="IV245" s="30"/>
      <c r="IW245" s="30"/>
      <c r="IX245" s="30"/>
      <c r="IY245" s="30"/>
      <c r="IZ245" s="30"/>
      <c r="JA245" s="30"/>
      <c r="JB245" s="30"/>
      <c r="JC245" s="30"/>
      <c r="JD245" s="30"/>
      <c r="JE245" s="30"/>
      <c r="JF245" s="30"/>
      <c r="JG245" s="30"/>
      <c r="JH245" s="30"/>
      <c r="JI245" s="30"/>
      <c r="JJ245" s="30"/>
      <c r="JK245" s="30"/>
      <c r="JL245" s="30"/>
      <c r="JM245" s="30"/>
      <c r="JN245" s="30"/>
      <c r="JO245" s="30"/>
      <c r="JP245" s="30"/>
      <c r="JQ245" s="30"/>
      <c r="JR245" s="30"/>
      <c r="JS245" s="30"/>
      <c r="JT245" s="30"/>
      <c r="JU245" s="30"/>
      <c r="JV245" s="30"/>
      <c r="JW245" s="30"/>
      <c r="JX245" s="30"/>
      <c r="JY245" s="30"/>
      <c r="JZ245" s="30"/>
      <c r="KA245" s="30"/>
      <c r="KB245" s="30"/>
      <c r="KC245" s="30"/>
      <c r="KD245" s="30"/>
      <c r="KE245" s="30"/>
      <c r="KF245" s="30"/>
      <c r="KG245" s="30"/>
      <c r="KH245" s="30"/>
      <c r="KI245" s="30"/>
      <c r="KJ245" s="30"/>
      <c r="KK245" s="30"/>
      <c r="KL245" s="30"/>
      <c r="KM245" s="30"/>
      <c r="KN245" s="30"/>
      <c r="KO245" s="30"/>
      <c r="KP245" s="30"/>
      <c r="KQ245" s="30"/>
      <c r="KR245" s="30"/>
      <c r="KS245" s="30"/>
      <c r="KT245" s="30"/>
      <c r="KU245" s="30"/>
      <c r="KV245" s="30"/>
      <c r="KW245" s="30"/>
      <c r="KX245" s="30"/>
      <c r="KY245" s="30"/>
      <c r="KZ245" s="30"/>
      <c r="LA245" s="30"/>
      <c r="LB245" s="30"/>
      <c r="LC245" s="30"/>
      <c r="LD245" s="30"/>
      <c r="LE245" s="30"/>
      <c r="LF245" s="30"/>
      <c r="LG245" s="30"/>
      <c r="LH245" s="30"/>
      <c r="LI245" s="30"/>
      <c r="LJ245" s="30"/>
      <c r="LK245" s="30"/>
      <c r="LL245" s="30"/>
      <c r="LM245" s="30"/>
      <c r="LN245" s="30"/>
      <c r="LO245" s="30"/>
      <c r="LP245" s="30"/>
      <c r="LQ245" s="30"/>
      <c r="LR245" s="30"/>
      <c r="LS245" s="30"/>
      <c r="LT245" s="30"/>
      <c r="LU245" s="30"/>
      <c r="LV245" s="30"/>
      <c r="LW245" s="30"/>
      <c r="LX245" s="30"/>
      <c r="LY245" s="30"/>
      <c r="LZ245" s="30"/>
      <c r="MA245" s="30"/>
      <c r="MB245" s="30"/>
      <c r="MC245" s="30"/>
      <c r="MD245" s="30"/>
      <c r="ME245" s="30"/>
      <c r="MF245" s="30"/>
      <c r="MG245" s="30"/>
      <c r="MH245" s="30"/>
      <c r="MI245" s="30"/>
      <c r="MJ245" s="30"/>
      <c r="MK245" s="30"/>
      <c r="ML245" s="30"/>
      <c r="MM245" s="30"/>
      <c r="MN245" s="30"/>
      <c r="MO245" s="30"/>
      <c r="MP245" s="30"/>
      <c r="MQ245" s="30"/>
      <c r="MR245" s="30"/>
      <c r="MS245" s="30"/>
      <c r="MT245" s="30"/>
      <c r="MU245" s="30"/>
      <c r="MV245" s="30"/>
      <c r="MW245" s="30"/>
      <c r="MX245" s="30"/>
      <c r="MY245" s="30"/>
      <c r="MZ245" s="30"/>
      <c r="NA245" s="30"/>
      <c r="NB245" s="30"/>
      <c r="NC245" s="30"/>
      <c r="ND245" s="30"/>
      <c r="NE245" s="30"/>
      <c r="NF245" s="30"/>
      <c r="NG245" s="30"/>
      <c r="NH245" s="30"/>
      <c r="NI245" s="30"/>
      <c r="NJ245" s="30"/>
      <c r="NK245" s="30"/>
      <c r="NL245" s="30"/>
      <c r="NM245" s="30"/>
      <c r="NN245" s="30"/>
      <c r="NO245" s="30"/>
      <c r="NP245" s="30"/>
      <c r="NQ245" s="30"/>
      <c r="NR245" s="30"/>
      <c r="NS245" s="30"/>
      <c r="NT245" s="30"/>
      <c r="NU245" s="30"/>
      <c r="NV245" s="30"/>
      <c r="NW245" s="30"/>
      <c r="NX245" s="30"/>
      <c r="NY245" s="30"/>
      <c r="NZ245" s="30"/>
      <c r="OA245" s="30"/>
      <c r="OB245" s="30"/>
      <c r="OC245" s="30"/>
      <c r="OD245" s="30"/>
      <c r="OE245" s="30"/>
      <c r="OF245" s="30"/>
      <c r="OG245" s="30"/>
      <c r="OH245" s="30"/>
      <c r="OI245" s="30"/>
      <c r="OJ245" s="30"/>
      <c r="OK245" s="30"/>
      <c r="OL245" s="30"/>
      <c r="OM245" s="30"/>
      <c r="ON245" s="30"/>
      <c r="OO245" s="30"/>
      <c r="OP245" s="30"/>
      <c r="OQ245" s="30"/>
      <c r="OR245" s="30"/>
      <c r="OS245" s="30"/>
      <c r="OT245" s="30"/>
      <c r="OU245" s="30"/>
      <c r="OV245" s="30"/>
      <c r="OW245" s="30"/>
      <c r="OX245" s="30"/>
      <c r="OY245" s="30"/>
      <c r="OZ245" s="30"/>
      <c r="PA245" s="30"/>
      <c r="PB245" s="30"/>
      <c r="PC245" s="30"/>
      <c r="PD245" s="30"/>
      <c r="PE245" s="30"/>
      <c r="PF245" s="30"/>
      <c r="PG245" s="30"/>
      <c r="PH245" s="30"/>
      <c r="PI245" s="30"/>
      <c r="PJ245" s="30"/>
      <c r="PK245" s="30"/>
      <c r="PL245" s="30"/>
      <c r="PM245" s="30"/>
      <c r="PN245" s="30"/>
      <c r="PO245" s="30"/>
      <c r="PP245" s="30"/>
      <c r="PQ245" s="30"/>
      <c r="PR245" s="30"/>
      <c r="PS245" s="30"/>
      <c r="PT245" s="30"/>
      <c r="PU245" s="30"/>
      <c r="PV245" s="30"/>
      <c r="PW245" s="30"/>
      <c r="PX245" s="30"/>
      <c r="PY245" s="30"/>
      <c r="PZ245" s="30"/>
      <c r="QA245" s="30"/>
      <c r="QB245" s="30"/>
      <c r="QC245" s="30"/>
      <c r="QD245" s="30"/>
      <c r="QE245" s="30"/>
      <c r="QF245" s="30"/>
      <c r="QG245" s="30"/>
      <c r="QH245" s="30"/>
      <c r="QI245" s="30"/>
      <c r="QJ245" s="30"/>
      <c r="QK245" s="30"/>
      <c r="QL245" s="30"/>
      <c r="QM245" s="30"/>
      <c r="QN245" s="30"/>
      <c r="QO245" s="30"/>
      <c r="QP245" s="30"/>
      <c r="QQ245" s="30"/>
      <c r="QR245" s="30"/>
      <c r="QS245" s="30"/>
      <c r="QT245" s="30"/>
      <c r="QU245" s="30"/>
      <c r="QV245" s="30"/>
      <c r="QW245" s="30"/>
      <c r="QX245" s="30"/>
      <c r="QY245" s="30"/>
      <c r="QZ245" s="30"/>
      <c r="RA245" s="30"/>
      <c r="RB245" s="30"/>
      <c r="RC245" s="30"/>
      <c r="RD245" s="30"/>
      <c r="RE245" s="30"/>
      <c r="RF245" s="30"/>
      <c r="RG245" s="30"/>
      <c r="RH245" s="30"/>
      <c r="RI245" s="30"/>
      <c r="RJ245" s="30"/>
      <c r="RK245" s="30"/>
      <c r="RL245" s="30"/>
      <c r="RM245" s="30"/>
      <c r="RN245" s="30"/>
      <c r="RO245" s="30"/>
      <c r="RP245" s="30"/>
      <c r="RQ245" s="30"/>
      <c r="RR245" s="30"/>
      <c r="RS245" s="30"/>
      <c r="RT245" s="30"/>
      <c r="RU245" s="30"/>
      <c r="RV245" s="30"/>
      <c r="RW245" s="30"/>
      <c r="RX245" s="30"/>
      <c r="RY245" s="30"/>
      <c r="RZ245" s="30"/>
      <c r="SA245" s="30"/>
      <c r="SB245" s="30"/>
      <c r="SC245" s="30"/>
      <c r="SD245" s="30"/>
      <c r="SE245" s="30"/>
      <c r="SF245" s="30"/>
      <c r="SG245" s="30"/>
      <c r="SH245" s="30"/>
      <c r="SI245" s="30"/>
      <c r="SJ245" s="30"/>
      <c r="SK245" s="30"/>
      <c r="SL245" s="30"/>
      <c r="SM245" s="30"/>
      <c r="SN245" s="30"/>
      <c r="SO245" s="30"/>
      <c r="SP245" s="30"/>
      <c r="SQ245" s="30"/>
      <c r="SR245" s="30"/>
      <c r="SS245" s="30"/>
      <c r="ST245" s="30"/>
      <c r="SU245" s="30"/>
      <c r="SV245" s="30"/>
      <c r="SW245" s="30"/>
      <c r="SX245" s="30"/>
      <c r="SY245" s="30"/>
      <c r="SZ245" s="30"/>
      <c r="TA245" s="30"/>
      <c r="TB245" s="30"/>
      <c r="TC245" s="30"/>
      <c r="TD245" s="30"/>
      <c r="TE245" s="30"/>
      <c r="TF245" s="30"/>
      <c r="TG245" s="30"/>
    </row>
    <row r="246" spans="1:527" s="22" customFormat="1" ht="126" x14ac:dyDescent="0.25">
      <c r="A246" s="107" t="s">
        <v>302</v>
      </c>
      <c r="B246" s="42">
        <v>7691</v>
      </c>
      <c r="C246" s="42" t="s">
        <v>84</v>
      </c>
      <c r="D246" s="36" t="str">
        <f>'дод 5'!C210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46" s="103">
        <f t="shared" si="105"/>
        <v>0</v>
      </c>
      <c r="F246" s="103"/>
      <c r="G246" s="103"/>
      <c r="H246" s="103"/>
      <c r="I246" s="103"/>
      <c r="J246" s="103">
        <f t="shared" si="107"/>
        <v>2205686.5699999998</v>
      </c>
      <c r="K246" s="103"/>
      <c r="L246" s="103">
        <f>169598+128488.57</f>
        <v>298086.57</v>
      </c>
      <c r="M246" s="103"/>
      <c r="N246" s="103"/>
      <c r="O246" s="103">
        <f>1900000+7600</f>
        <v>1907600</v>
      </c>
      <c r="P246" s="103">
        <f t="shared" si="106"/>
        <v>2205686.5699999998</v>
      </c>
      <c r="Q246" s="188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  <c r="TF246" s="23"/>
      <c r="TG246" s="23"/>
    </row>
    <row r="247" spans="1:527" s="22" customFormat="1" ht="31.5" x14ac:dyDescent="0.25">
      <c r="A247" s="107" t="s">
        <v>382</v>
      </c>
      <c r="B247" s="42" t="str">
        <f>'дод 5'!A218</f>
        <v>8110</v>
      </c>
      <c r="C247" s="42" t="str">
        <f>'дод 5'!B218</f>
        <v>0320</v>
      </c>
      <c r="D247" s="108" t="str">
        <f>'дод 5'!C218</f>
        <v>Заходи із запобігання та ліквідації надзвичайних ситуацій та наслідків стихійного лиха</v>
      </c>
      <c r="E247" s="103">
        <f t="shared" ref="E247" si="114">F247+I247</f>
        <v>677493.87</v>
      </c>
      <c r="F247" s="103">
        <v>677493.87</v>
      </c>
      <c r="G247" s="103"/>
      <c r="H247" s="103"/>
      <c r="I247" s="103"/>
      <c r="J247" s="103">
        <f t="shared" ref="J247" si="115">L247+O247</f>
        <v>0</v>
      </c>
      <c r="K247" s="103"/>
      <c r="L247" s="103"/>
      <c r="M247" s="103"/>
      <c r="N247" s="103"/>
      <c r="O247" s="103"/>
      <c r="P247" s="103">
        <f t="shared" ref="P247" si="116">E247+J247</f>
        <v>677493.87</v>
      </c>
      <c r="Q247" s="188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</row>
    <row r="248" spans="1:527" s="22" customFormat="1" ht="15.75" hidden="1" customHeight="1" x14ac:dyDescent="0.25">
      <c r="A248" s="107" t="s">
        <v>381</v>
      </c>
      <c r="B248" s="42" t="str">
        <f>'дод 5'!A222</f>
        <v>8230</v>
      </c>
      <c r="C248" s="42" t="str">
        <f>'дод 5'!B222</f>
        <v>0380</v>
      </c>
      <c r="D248" s="108" t="str">
        <f>'дод 5'!C222</f>
        <v>Інші заходи громадського порядку та безпеки</v>
      </c>
      <c r="E248" s="103">
        <f t="shared" ref="E248" si="117">F248+I248</f>
        <v>0</v>
      </c>
      <c r="F248" s="103"/>
      <c r="G248" s="103"/>
      <c r="H248" s="103"/>
      <c r="I248" s="103"/>
      <c r="J248" s="103">
        <f t="shared" ref="J248" si="118">L248+O248</f>
        <v>0</v>
      </c>
      <c r="K248" s="103"/>
      <c r="L248" s="103"/>
      <c r="M248" s="103"/>
      <c r="N248" s="103"/>
      <c r="O248" s="103"/>
      <c r="P248" s="103">
        <f t="shared" ref="P248" si="119">E248+J248</f>
        <v>0</v>
      </c>
      <c r="Q248" s="188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</row>
    <row r="249" spans="1:527" s="22" customFormat="1" ht="35.25" customHeight="1" x14ac:dyDescent="0.25">
      <c r="A249" s="60" t="s">
        <v>205</v>
      </c>
      <c r="B249" s="97" t="str">
        <f>'дод 5'!A225</f>
        <v>8340</v>
      </c>
      <c r="C249" s="97" t="str">
        <f>'дод 5'!B225</f>
        <v>0540</v>
      </c>
      <c r="D249" s="61" t="str">
        <f>'дод 5'!C225</f>
        <v>Природоохоронні заходи за рахунок цільових фондів</v>
      </c>
      <c r="E249" s="103">
        <f t="shared" si="105"/>
        <v>0</v>
      </c>
      <c r="F249" s="103"/>
      <c r="G249" s="103"/>
      <c r="H249" s="103"/>
      <c r="I249" s="103"/>
      <c r="J249" s="103">
        <f t="shared" si="107"/>
        <v>2928000</v>
      </c>
      <c r="K249" s="103"/>
      <c r="L249" s="103">
        <f>1442000+186000</f>
        <v>1628000</v>
      </c>
      <c r="M249" s="103"/>
      <c r="N249" s="103"/>
      <c r="O249" s="103">
        <v>1300000</v>
      </c>
      <c r="P249" s="103">
        <f t="shared" si="106"/>
        <v>2928000</v>
      </c>
      <c r="Q249" s="188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  <c r="TG249" s="23"/>
    </row>
    <row r="250" spans="1:527" s="22" customFormat="1" ht="78.75" x14ac:dyDescent="0.25">
      <c r="A250" s="60" t="s">
        <v>591</v>
      </c>
      <c r="B250" s="97">
        <v>9730</v>
      </c>
      <c r="C250" s="60" t="s">
        <v>46</v>
      </c>
      <c r="D250" s="61" t="s">
        <v>592</v>
      </c>
      <c r="E250" s="103">
        <f t="shared" si="105"/>
        <v>25000000</v>
      </c>
      <c r="F250" s="103">
        <v>25000000</v>
      </c>
      <c r="G250" s="103"/>
      <c r="H250" s="103"/>
      <c r="I250" s="103"/>
      <c r="J250" s="103">
        <f t="shared" si="107"/>
        <v>0</v>
      </c>
      <c r="K250" s="103"/>
      <c r="L250" s="103"/>
      <c r="M250" s="103"/>
      <c r="N250" s="103"/>
      <c r="O250" s="103"/>
      <c r="P250" s="103">
        <f t="shared" si="106"/>
        <v>25000000</v>
      </c>
      <c r="Q250" s="188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</row>
    <row r="251" spans="1:527" s="22" customFormat="1" ht="20.25" customHeight="1" x14ac:dyDescent="0.25">
      <c r="A251" s="60" t="s">
        <v>206</v>
      </c>
      <c r="B251" s="97" t="str">
        <f>'дод 5'!A241</f>
        <v>9770</v>
      </c>
      <c r="C251" s="97" t="str">
        <f>'дод 5'!B241</f>
        <v>0180</v>
      </c>
      <c r="D251" s="61" t="str">
        <f>'дод 5'!C241</f>
        <v>Інші субвенції з місцевого бюджету</v>
      </c>
      <c r="E251" s="103">
        <f t="shared" si="105"/>
        <v>8550000</v>
      </c>
      <c r="F251" s="103">
        <f>4000000+4550000</f>
        <v>8550000</v>
      </c>
      <c r="G251" s="103"/>
      <c r="H251" s="103"/>
      <c r="I251" s="103"/>
      <c r="J251" s="103">
        <f t="shared" si="107"/>
        <v>6450000</v>
      </c>
      <c r="K251" s="103">
        <f>7000000-4000000+3450000</f>
        <v>6450000</v>
      </c>
      <c r="L251" s="103"/>
      <c r="M251" s="103"/>
      <c r="N251" s="103"/>
      <c r="O251" s="103">
        <f>7000000-4000000+3450000</f>
        <v>6450000</v>
      </c>
      <c r="P251" s="103">
        <f t="shared" si="106"/>
        <v>15000000</v>
      </c>
      <c r="Q251" s="188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  <c r="TF251" s="23"/>
      <c r="TG251" s="23"/>
    </row>
    <row r="252" spans="1:527" s="27" customFormat="1" ht="33.75" customHeight="1" x14ac:dyDescent="0.25">
      <c r="A252" s="114" t="s">
        <v>28</v>
      </c>
      <c r="B252" s="116"/>
      <c r="C252" s="116"/>
      <c r="D252" s="111" t="s">
        <v>35</v>
      </c>
      <c r="E252" s="99">
        <f>E253</f>
        <v>6412819</v>
      </c>
      <c r="F252" s="99">
        <f t="shared" ref="F252:J253" si="120">F253</f>
        <v>6412819</v>
      </c>
      <c r="G252" s="99">
        <f t="shared" si="120"/>
        <v>5019800</v>
      </c>
      <c r="H252" s="99">
        <f t="shared" si="120"/>
        <v>102319</v>
      </c>
      <c r="I252" s="99">
        <f t="shared" si="120"/>
        <v>0</v>
      </c>
      <c r="J252" s="99">
        <f t="shared" si="120"/>
        <v>0</v>
      </c>
      <c r="K252" s="99">
        <f t="shared" ref="K252:K253" si="121">K253</f>
        <v>0</v>
      </c>
      <c r="L252" s="99">
        <f t="shared" ref="L252:L253" si="122">L253</f>
        <v>0</v>
      </c>
      <c r="M252" s="99">
        <f t="shared" ref="M252:M253" si="123">M253</f>
        <v>0</v>
      </c>
      <c r="N252" s="99">
        <f t="shared" ref="N252:N253" si="124">N253</f>
        <v>0</v>
      </c>
      <c r="O252" s="99">
        <f t="shared" ref="O252:P253" si="125">O253</f>
        <v>0</v>
      </c>
      <c r="P252" s="99">
        <f t="shared" si="125"/>
        <v>6412819</v>
      </c>
      <c r="Q252" s="188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  <c r="DA252" s="32"/>
      <c r="DB252" s="32"/>
      <c r="DC252" s="32"/>
      <c r="DD252" s="32"/>
      <c r="DE252" s="32"/>
      <c r="DF252" s="32"/>
      <c r="DG252" s="32"/>
      <c r="DH252" s="32"/>
      <c r="DI252" s="32"/>
      <c r="DJ252" s="32"/>
      <c r="DK252" s="32"/>
      <c r="DL252" s="32"/>
      <c r="DM252" s="32"/>
      <c r="DN252" s="32"/>
      <c r="DO252" s="32"/>
      <c r="DP252" s="32"/>
      <c r="DQ252" s="32"/>
      <c r="DR252" s="32"/>
      <c r="DS252" s="32"/>
      <c r="DT252" s="32"/>
      <c r="DU252" s="32"/>
      <c r="DV252" s="32"/>
      <c r="DW252" s="32"/>
      <c r="DX252" s="32"/>
      <c r="DY252" s="32"/>
      <c r="DZ252" s="32"/>
      <c r="EA252" s="32"/>
      <c r="EB252" s="32"/>
      <c r="EC252" s="32"/>
      <c r="ED252" s="32"/>
      <c r="EE252" s="32"/>
      <c r="EF252" s="32"/>
      <c r="EG252" s="32"/>
      <c r="EH252" s="32"/>
      <c r="EI252" s="32"/>
      <c r="EJ252" s="32"/>
      <c r="EK252" s="32"/>
      <c r="EL252" s="32"/>
      <c r="EM252" s="32"/>
      <c r="EN252" s="32"/>
      <c r="EO252" s="32"/>
      <c r="EP252" s="32"/>
      <c r="EQ252" s="32"/>
      <c r="ER252" s="32"/>
      <c r="ES252" s="32"/>
      <c r="ET252" s="32"/>
      <c r="EU252" s="32"/>
      <c r="EV252" s="32"/>
      <c r="EW252" s="32"/>
      <c r="EX252" s="32"/>
      <c r="EY252" s="32"/>
      <c r="EZ252" s="32"/>
      <c r="FA252" s="32"/>
      <c r="FB252" s="32"/>
      <c r="FC252" s="32"/>
      <c r="FD252" s="32"/>
      <c r="FE252" s="32"/>
      <c r="FF252" s="32"/>
      <c r="FG252" s="32"/>
      <c r="FH252" s="32"/>
      <c r="FI252" s="32"/>
      <c r="FJ252" s="32"/>
      <c r="FK252" s="32"/>
      <c r="FL252" s="32"/>
      <c r="FM252" s="32"/>
      <c r="FN252" s="32"/>
      <c r="FO252" s="32"/>
      <c r="FP252" s="32"/>
      <c r="FQ252" s="32"/>
      <c r="FR252" s="32"/>
      <c r="FS252" s="32"/>
      <c r="FT252" s="32"/>
      <c r="FU252" s="32"/>
      <c r="FV252" s="32"/>
      <c r="FW252" s="32"/>
      <c r="FX252" s="32"/>
      <c r="FY252" s="32"/>
      <c r="FZ252" s="32"/>
      <c r="GA252" s="32"/>
      <c r="GB252" s="32"/>
      <c r="GC252" s="32"/>
      <c r="GD252" s="32"/>
      <c r="GE252" s="32"/>
      <c r="GF252" s="32"/>
      <c r="GG252" s="32"/>
      <c r="GH252" s="32"/>
      <c r="GI252" s="32"/>
      <c r="GJ252" s="32"/>
      <c r="GK252" s="32"/>
      <c r="GL252" s="32"/>
      <c r="GM252" s="32"/>
      <c r="GN252" s="32"/>
      <c r="GO252" s="32"/>
      <c r="GP252" s="32"/>
      <c r="GQ252" s="32"/>
      <c r="GR252" s="32"/>
      <c r="GS252" s="32"/>
      <c r="GT252" s="32"/>
      <c r="GU252" s="32"/>
      <c r="GV252" s="32"/>
      <c r="GW252" s="32"/>
      <c r="GX252" s="32"/>
      <c r="GY252" s="32"/>
      <c r="GZ252" s="32"/>
      <c r="HA252" s="32"/>
      <c r="HB252" s="32"/>
      <c r="HC252" s="32"/>
      <c r="HD252" s="32"/>
      <c r="HE252" s="32"/>
      <c r="HF252" s="32"/>
      <c r="HG252" s="32"/>
      <c r="HH252" s="32"/>
      <c r="HI252" s="32"/>
      <c r="HJ252" s="32"/>
      <c r="HK252" s="32"/>
      <c r="HL252" s="32"/>
      <c r="HM252" s="32"/>
      <c r="HN252" s="32"/>
      <c r="HO252" s="32"/>
      <c r="HP252" s="32"/>
      <c r="HQ252" s="32"/>
      <c r="HR252" s="32"/>
      <c r="HS252" s="32"/>
      <c r="HT252" s="32"/>
      <c r="HU252" s="32"/>
      <c r="HV252" s="32"/>
      <c r="HW252" s="32"/>
      <c r="HX252" s="32"/>
      <c r="HY252" s="32"/>
      <c r="HZ252" s="32"/>
      <c r="IA252" s="32"/>
      <c r="IB252" s="32"/>
      <c r="IC252" s="32"/>
      <c r="ID252" s="32"/>
      <c r="IE252" s="32"/>
      <c r="IF252" s="32"/>
      <c r="IG252" s="32"/>
      <c r="IH252" s="32"/>
      <c r="II252" s="32"/>
      <c r="IJ252" s="32"/>
      <c r="IK252" s="32"/>
      <c r="IL252" s="32"/>
      <c r="IM252" s="32"/>
      <c r="IN252" s="32"/>
      <c r="IO252" s="32"/>
      <c r="IP252" s="32"/>
      <c r="IQ252" s="32"/>
      <c r="IR252" s="32"/>
      <c r="IS252" s="32"/>
      <c r="IT252" s="32"/>
      <c r="IU252" s="32"/>
      <c r="IV252" s="32"/>
      <c r="IW252" s="32"/>
      <c r="IX252" s="32"/>
      <c r="IY252" s="32"/>
      <c r="IZ252" s="32"/>
      <c r="JA252" s="32"/>
      <c r="JB252" s="32"/>
      <c r="JC252" s="32"/>
      <c r="JD252" s="32"/>
      <c r="JE252" s="32"/>
      <c r="JF252" s="32"/>
      <c r="JG252" s="32"/>
      <c r="JH252" s="32"/>
      <c r="JI252" s="32"/>
      <c r="JJ252" s="32"/>
      <c r="JK252" s="32"/>
      <c r="JL252" s="32"/>
      <c r="JM252" s="32"/>
      <c r="JN252" s="32"/>
      <c r="JO252" s="32"/>
      <c r="JP252" s="32"/>
      <c r="JQ252" s="32"/>
      <c r="JR252" s="32"/>
      <c r="JS252" s="32"/>
      <c r="JT252" s="32"/>
      <c r="JU252" s="32"/>
      <c r="JV252" s="32"/>
      <c r="JW252" s="32"/>
      <c r="JX252" s="32"/>
      <c r="JY252" s="32"/>
      <c r="JZ252" s="32"/>
      <c r="KA252" s="32"/>
      <c r="KB252" s="32"/>
      <c r="KC252" s="32"/>
      <c r="KD252" s="32"/>
      <c r="KE252" s="32"/>
      <c r="KF252" s="32"/>
      <c r="KG252" s="32"/>
      <c r="KH252" s="32"/>
      <c r="KI252" s="32"/>
      <c r="KJ252" s="32"/>
      <c r="KK252" s="32"/>
      <c r="KL252" s="32"/>
      <c r="KM252" s="32"/>
      <c r="KN252" s="32"/>
      <c r="KO252" s="32"/>
      <c r="KP252" s="32"/>
      <c r="KQ252" s="32"/>
      <c r="KR252" s="32"/>
      <c r="KS252" s="32"/>
      <c r="KT252" s="32"/>
      <c r="KU252" s="32"/>
      <c r="KV252" s="32"/>
      <c r="KW252" s="32"/>
      <c r="KX252" s="32"/>
      <c r="KY252" s="32"/>
      <c r="KZ252" s="32"/>
      <c r="LA252" s="32"/>
      <c r="LB252" s="32"/>
      <c r="LC252" s="32"/>
      <c r="LD252" s="32"/>
      <c r="LE252" s="32"/>
      <c r="LF252" s="32"/>
      <c r="LG252" s="32"/>
      <c r="LH252" s="32"/>
      <c r="LI252" s="32"/>
      <c r="LJ252" s="32"/>
      <c r="LK252" s="32"/>
      <c r="LL252" s="32"/>
      <c r="LM252" s="32"/>
      <c r="LN252" s="32"/>
      <c r="LO252" s="32"/>
      <c r="LP252" s="32"/>
      <c r="LQ252" s="32"/>
      <c r="LR252" s="32"/>
      <c r="LS252" s="32"/>
      <c r="LT252" s="32"/>
      <c r="LU252" s="32"/>
      <c r="LV252" s="32"/>
      <c r="LW252" s="32"/>
      <c r="LX252" s="32"/>
      <c r="LY252" s="32"/>
      <c r="LZ252" s="32"/>
      <c r="MA252" s="32"/>
      <c r="MB252" s="32"/>
      <c r="MC252" s="32"/>
      <c r="MD252" s="32"/>
      <c r="ME252" s="32"/>
      <c r="MF252" s="32"/>
      <c r="MG252" s="32"/>
      <c r="MH252" s="32"/>
      <c r="MI252" s="32"/>
      <c r="MJ252" s="32"/>
      <c r="MK252" s="32"/>
      <c r="ML252" s="32"/>
      <c r="MM252" s="32"/>
      <c r="MN252" s="32"/>
      <c r="MO252" s="32"/>
      <c r="MP252" s="32"/>
      <c r="MQ252" s="32"/>
      <c r="MR252" s="32"/>
      <c r="MS252" s="32"/>
      <c r="MT252" s="32"/>
      <c r="MU252" s="32"/>
      <c r="MV252" s="32"/>
      <c r="MW252" s="32"/>
      <c r="MX252" s="32"/>
      <c r="MY252" s="32"/>
      <c r="MZ252" s="32"/>
      <c r="NA252" s="32"/>
      <c r="NB252" s="32"/>
      <c r="NC252" s="32"/>
      <c r="ND252" s="32"/>
      <c r="NE252" s="32"/>
      <c r="NF252" s="32"/>
      <c r="NG252" s="32"/>
      <c r="NH252" s="32"/>
      <c r="NI252" s="32"/>
      <c r="NJ252" s="32"/>
      <c r="NK252" s="32"/>
      <c r="NL252" s="32"/>
      <c r="NM252" s="32"/>
      <c r="NN252" s="32"/>
      <c r="NO252" s="32"/>
      <c r="NP252" s="32"/>
      <c r="NQ252" s="32"/>
      <c r="NR252" s="32"/>
      <c r="NS252" s="32"/>
      <c r="NT252" s="32"/>
      <c r="NU252" s="32"/>
      <c r="NV252" s="32"/>
      <c r="NW252" s="32"/>
      <c r="NX252" s="32"/>
      <c r="NY252" s="32"/>
      <c r="NZ252" s="32"/>
      <c r="OA252" s="32"/>
      <c r="OB252" s="32"/>
      <c r="OC252" s="32"/>
      <c r="OD252" s="32"/>
      <c r="OE252" s="32"/>
      <c r="OF252" s="32"/>
      <c r="OG252" s="32"/>
      <c r="OH252" s="32"/>
      <c r="OI252" s="32"/>
      <c r="OJ252" s="32"/>
      <c r="OK252" s="32"/>
      <c r="OL252" s="32"/>
      <c r="OM252" s="32"/>
      <c r="ON252" s="32"/>
      <c r="OO252" s="32"/>
      <c r="OP252" s="32"/>
      <c r="OQ252" s="32"/>
      <c r="OR252" s="32"/>
      <c r="OS252" s="32"/>
      <c r="OT252" s="32"/>
      <c r="OU252" s="32"/>
      <c r="OV252" s="32"/>
      <c r="OW252" s="32"/>
      <c r="OX252" s="32"/>
      <c r="OY252" s="32"/>
      <c r="OZ252" s="32"/>
      <c r="PA252" s="32"/>
      <c r="PB252" s="32"/>
      <c r="PC252" s="32"/>
      <c r="PD252" s="32"/>
      <c r="PE252" s="32"/>
      <c r="PF252" s="32"/>
      <c r="PG252" s="32"/>
      <c r="PH252" s="32"/>
      <c r="PI252" s="32"/>
      <c r="PJ252" s="32"/>
      <c r="PK252" s="32"/>
      <c r="PL252" s="32"/>
      <c r="PM252" s="32"/>
      <c r="PN252" s="32"/>
      <c r="PO252" s="32"/>
      <c r="PP252" s="32"/>
      <c r="PQ252" s="32"/>
      <c r="PR252" s="32"/>
      <c r="PS252" s="32"/>
      <c r="PT252" s="32"/>
      <c r="PU252" s="32"/>
      <c r="PV252" s="32"/>
      <c r="PW252" s="32"/>
      <c r="PX252" s="32"/>
      <c r="PY252" s="32"/>
      <c r="PZ252" s="32"/>
      <c r="QA252" s="32"/>
      <c r="QB252" s="32"/>
      <c r="QC252" s="32"/>
      <c r="QD252" s="32"/>
      <c r="QE252" s="32"/>
      <c r="QF252" s="32"/>
      <c r="QG252" s="32"/>
      <c r="QH252" s="32"/>
      <c r="QI252" s="32"/>
      <c r="QJ252" s="32"/>
      <c r="QK252" s="32"/>
      <c r="QL252" s="32"/>
      <c r="QM252" s="32"/>
      <c r="QN252" s="32"/>
      <c r="QO252" s="32"/>
      <c r="QP252" s="32"/>
      <c r="QQ252" s="32"/>
      <c r="QR252" s="32"/>
      <c r="QS252" s="32"/>
      <c r="QT252" s="32"/>
      <c r="QU252" s="32"/>
      <c r="QV252" s="32"/>
      <c r="QW252" s="32"/>
      <c r="QX252" s="32"/>
      <c r="QY252" s="32"/>
      <c r="QZ252" s="32"/>
      <c r="RA252" s="32"/>
      <c r="RB252" s="32"/>
      <c r="RC252" s="32"/>
      <c r="RD252" s="32"/>
      <c r="RE252" s="32"/>
      <c r="RF252" s="32"/>
      <c r="RG252" s="32"/>
      <c r="RH252" s="32"/>
      <c r="RI252" s="32"/>
      <c r="RJ252" s="32"/>
      <c r="RK252" s="32"/>
      <c r="RL252" s="32"/>
      <c r="RM252" s="32"/>
      <c r="RN252" s="32"/>
      <c r="RO252" s="32"/>
      <c r="RP252" s="32"/>
      <c r="RQ252" s="32"/>
      <c r="RR252" s="32"/>
      <c r="RS252" s="32"/>
      <c r="RT252" s="32"/>
      <c r="RU252" s="32"/>
      <c r="RV252" s="32"/>
      <c r="RW252" s="32"/>
      <c r="RX252" s="32"/>
      <c r="RY252" s="32"/>
      <c r="RZ252" s="32"/>
      <c r="SA252" s="32"/>
      <c r="SB252" s="32"/>
      <c r="SC252" s="32"/>
      <c r="SD252" s="32"/>
      <c r="SE252" s="32"/>
      <c r="SF252" s="32"/>
      <c r="SG252" s="32"/>
      <c r="SH252" s="32"/>
      <c r="SI252" s="32"/>
      <c r="SJ252" s="32"/>
      <c r="SK252" s="32"/>
      <c r="SL252" s="32"/>
      <c r="SM252" s="32"/>
      <c r="SN252" s="32"/>
      <c r="SO252" s="32"/>
      <c r="SP252" s="32"/>
      <c r="SQ252" s="32"/>
      <c r="SR252" s="32"/>
      <c r="SS252" s="32"/>
      <c r="ST252" s="32"/>
      <c r="SU252" s="32"/>
      <c r="SV252" s="32"/>
      <c r="SW252" s="32"/>
      <c r="SX252" s="32"/>
      <c r="SY252" s="32"/>
      <c r="SZ252" s="32"/>
      <c r="TA252" s="32"/>
      <c r="TB252" s="32"/>
      <c r="TC252" s="32"/>
      <c r="TD252" s="32"/>
      <c r="TE252" s="32"/>
      <c r="TF252" s="32"/>
      <c r="TG252" s="32"/>
    </row>
    <row r="253" spans="1:527" s="34" customFormat="1" ht="36.75" customHeight="1" x14ac:dyDescent="0.25">
      <c r="A253" s="100" t="s">
        <v>120</v>
      </c>
      <c r="B253" s="113"/>
      <c r="C253" s="113"/>
      <c r="D253" s="81" t="s">
        <v>35</v>
      </c>
      <c r="E253" s="102">
        <f>E254</f>
        <v>6412819</v>
      </c>
      <c r="F253" s="102">
        <f t="shared" si="120"/>
        <v>6412819</v>
      </c>
      <c r="G253" s="102">
        <f t="shared" si="120"/>
        <v>5019800</v>
      </c>
      <c r="H253" s="102">
        <f t="shared" si="120"/>
        <v>102319</v>
      </c>
      <c r="I253" s="102">
        <f t="shared" si="120"/>
        <v>0</v>
      </c>
      <c r="J253" s="102">
        <f t="shared" si="120"/>
        <v>0</v>
      </c>
      <c r="K253" s="102">
        <f t="shared" si="121"/>
        <v>0</v>
      </c>
      <c r="L253" s="102">
        <f t="shared" si="122"/>
        <v>0</v>
      </c>
      <c r="M253" s="102">
        <f t="shared" si="123"/>
        <v>0</v>
      </c>
      <c r="N253" s="102">
        <f t="shared" si="124"/>
        <v>0</v>
      </c>
      <c r="O253" s="102">
        <f t="shared" si="125"/>
        <v>0</v>
      </c>
      <c r="P253" s="102">
        <f t="shared" si="125"/>
        <v>6412819</v>
      </c>
      <c r="Q253" s="188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  <c r="DB253" s="33"/>
      <c r="DC253" s="33"/>
      <c r="DD253" s="33"/>
      <c r="DE253" s="33"/>
      <c r="DF253" s="33"/>
      <c r="DG253" s="33"/>
      <c r="DH253" s="33"/>
      <c r="DI253" s="33"/>
      <c r="DJ253" s="33"/>
      <c r="DK253" s="33"/>
      <c r="DL253" s="33"/>
      <c r="DM253" s="33"/>
      <c r="DN253" s="33"/>
      <c r="DO253" s="33"/>
      <c r="DP253" s="33"/>
      <c r="DQ253" s="33"/>
      <c r="DR253" s="33"/>
      <c r="DS253" s="33"/>
      <c r="DT253" s="33"/>
      <c r="DU253" s="33"/>
      <c r="DV253" s="33"/>
      <c r="DW253" s="33"/>
      <c r="DX253" s="33"/>
      <c r="DY253" s="33"/>
      <c r="DZ253" s="33"/>
      <c r="EA253" s="33"/>
      <c r="EB253" s="33"/>
      <c r="EC253" s="33"/>
      <c r="ED253" s="33"/>
      <c r="EE253" s="33"/>
      <c r="EF253" s="33"/>
      <c r="EG253" s="33"/>
      <c r="EH253" s="33"/>
      <c r="EI253" s="33"/>
      <c r="EJ253" s="33"/>
      <c r="EK253" s="33"/>
      <c r="EL253" s="33"/>
      <c r="EM253" s="33"/>
      <c r="EN253" s="33"/>
      <c r="EO253" s="33"/>
      <c r="EP253" s="33"/>
      <c r="EQ253" s="33"/>
      <c r="ER253" s="33"/>
      <c r="ES253" s="33"/>
      <c r="ET253" s="33"/>
      <c r="EU253" s="33"/>
      <c r="EV253" s="33"/>
      <c r="EW253" s="33"/>
      <c r="EX253" s="33"/>
      <c r="EY253" s="33"/>
      <c r="EZ253" s="33"/>
      <c r="FA253" s="33"/>
      <c r="FB253" s="33"/>
      <c r="FC253" s="33"/>
      <c r="FD253" s="33"/>
      <c r="FE253" s="33"/>
      <c r="FF253" s="33"/>
      <c r="FG253" s="33"/>
      <c r="FH253" s="33"/>
      <c r="FI253" s="33"/>
      <c r="FJ253" s="33"/>
      <c r="FK253" s="33"/>
      <c r="FL253" s="33"/>
      <c r="FM253" s="33"/>
      <c r="FN253" s="33"/>
      <c r="FO253" s="33"/>
      <c r="FP253" s="33"/>
      <c r="FQ253" s="33"/>
      <c r="FR253" s="33"/>
      <c r="FS253" s="33"/>
      <c r="FT253" s="33"/>
      <c r="FU253" s="33"/>
      <c r="FV253" s="33"/>
      <c r="FW253" s="33"/>
      <c r="FX253" s="33"/>
      <c r="FY253" s="33"/>
      <c r="FZ253" s="33"/>
      <c r="GA253" s="33"/>
      <c r="GB253" s="33"/>
      <c r="GC253" s="33"/>
      <c r="GD253" s="33"/>
      <c r="GE253" s="33"/>
      <c r="GF253" s="33"/>
      <c r="GG253" s="33"/>
      <c r="GH253" s="33"/>
      <c r="GI253" s="33"/>
      <c r="GJ253" s="33"/>
      <c r="GK253" s="33"/>
      <c r="GL253" s="33"/>
      <c r="GM253" s="33"/>
      <c r="GN253" s="33"/>
      <c r="GO253" s="33"/>
      <c r="GP253" s="33"/>
      <c r="GQ253" s="33"/>
      <c r="GR253" s="33"/>
      <c r="GS253" s="33"/>
      <c r="GT253" s="33"/>
      <c r="GU253" s="33"/>
      <c r="GV253" s="33"/>
      <c r="GW253" s="33"/>
      <c r="GX253" s="33"/>
      <c r="GY253" s="33"/>
      <c r="GZ253" s="33"/>
      <c r="HA253" s="33"/>
      <c r="HB253" s="33"/>
      <c r="HC253" s="33"/>
      <c r="HD253" s="33"/>
      <c r="HE253" s="33"/>
      <c r="HF253" s="33"/>
      <c r="HG253" s="33"/>
      <c r="HH253" s="33"/>
      <c r="HI253" s="33"/>
      <c r="HJ253" s="33"/>
      <c r="HK253" s="33"/>
      <c r="HL253" s="33"/>
      <c r="HM253" s="33"/>
      <c r="HN253" s="33"/>
      <c r="HO253" s="33"/>
      <c r="HP253" s="33"/>
      <c r="HQ253" s="33"/>
      <c r="HR253" s="33"/>
      <c r="HS253" s="33"/>
      <c r="HT253" s="33"/>
      <c r="HU253" s="33"/>
      <c r="HV253" s="33"/>
      <c r="HW253" s="33"/>
      <c r="HX253" s="33"/>
      <c r="HY253" s="33"/>
      <c r="HZ253" s="33"/>
      <c r="IA253" s="33"/>
      <c r="IB253" s="33"/>
      <c r="IC253" s="33"/>
      <c r="ID253" s="33"/>
      <c r="IE253" s="33"/>
      <c r="IF253" s="33"/>
      <c r="IG253" s="33"/>
      <c r="IH253" s="33"/>
      <c r="II253" s="33"/>
      <c r="IJ253" s="33"/>
      <c r="IK253" s="33"/>
      <c r="IL253" s="33"/>
      <c r="IM253" s="33"/>
      <c r="IN253" s="33"/>
      <c r="IO253" s="33"/>
      <c r="IP253" s="33"/>
      <c r="IQ253" s="33"/>
      <c r="IR253" s="33"/>
      <c r="IS253" s="33"/>
      <c r="IT253" s="33"/>
      <c r="IU253" s="33"/>
      <c r="IV253" s="33"/>
      <c r="IW253" s="33"/>
      <c r="IX253" s="33"/>
      <c r="IY253" s="33"/>
      <c r="IZ253" s="33"/>
      <c r="JA253" s="33"/>
      <c r="JB253" s="33"/>
      <c r="JC253" s="33"/>
      <c r="JD253" s="33"/>
      <c r="JE253" s="33"/>
      <c r="JF253" s="33"/>
      <c r="JG253" s="33"/>
      <c r="JH253" s="33"/>
      <c r="JI253" s="33"/>
      <c r="JJ253" s="33"/>
      <c r="JK253" s="33"/>
      <c r="JL253" s="33"/>
      <c r="JM253" s="33"/>
      <c r="JN253" s="33"/>
      <c r="JO253" s="33"/>
      <c r="JP253" s="33"/>
      <c r="JQ253" s="33"/>
      <c r="JR253" s="33"/>
      <c r="JS253" s="33"/>
      <c r="JT253" s="33"/>
      <c r="JU253" s="33"/>
      <c r="JV253" s="33"/>
      <c r="JW253" s="33"/>
      <c r="JX253" s="33"/>
      <c r="JY253" s="33"/>
      <c r="JZ253" s="33"/>
      <c r="KA253" s="33"/>
      <c r="KB253" s="33"/>
      <c r="KC253" s="33"/>
      <c r="KD253" s="33"/>
      <c r="KE253" s="33"/>
      <c r="KF253" s="33"/>
      <c r="KG253" s="33"/>
      <c r="KH253" s="33"/>
      <c r="KI253" s="33"/>
      <c r="KJ253" s="33"/>
      <c r="KK253" s="33"/>
      <c r="KL253" s="33"/>
      <c r="KM253" s="33"/>
      <c r="KN253" s="33"/>
      <c r="KO253" s="33"/>
      <c r="KP253" s="33"/>
      <c r="KQ253" s="33"/>
      <c r="KR253" s="33"/>
      <c r="KS253" s="33"/>
      <c r="KT253" s="33"/>
      <c r="KU253" s="33"/>
      <c r="KV253" s="33"/>
      <c r="KW253" s="33"/>
      <c r="KX253" s="33"/>
      <c r="KY253" s="33"/>
      <c r="KZ253" s="33"/>
      <c r="LA253" s="33"/>
      <c r="LB253" s="33"/>
      <c r="LC253" s="33"/>
      <c r="LD253" s="33"/>
      <c r="LE253" s="33"/>
      <c r="LF253" s="33"/>
      <c r="LG253" s="33"/>
      <c r="LH253" s="33"/>
      <c r="LI253" s="33"/>
      <c r="LJ253" s="33"/>
      <c r="LK253" s="33"/>
      <c r="LL253" s="33"/>
      <c r="LM253" s="33"/>
      <c r="LN253" s="33"/>
      <c r="LO253" s="33"/>
      <c r="LP253" s="33"/>
      <c r="LQ253" s="33"/>
      <c r="LR253" s="33"/>
      <c r="LS253" s="33"/>
      <c r="LT253" s="33"/>
      <c r="LU253" s="33"/>
      <c r="LV253" s="33"/>
      <c r="LW253" s="33"/>
      <c r="LX253" s="33"/>
      <c r="LY253" s="33"/>
      <c r="LZ253" s="33"/>
      <c r="MA253" s="33"/>
      <c r="MB253" s="33"/>
      <c r="MC253" s="33"/>
      <c r="MD253" s="33"/>
      <c r="ME253" s="33"/>
      <c r="MF253" s="33"/>
      <c r="MG253" s="33"/>
      <c r="MH253" s="33"/>
      <c r="MI253" s="33"/>
      <c r="MJ253" s="33"/>
      <c r="MK253" s="33"/>
      <c r="ML253" s="33"/>
      <c r="MM253" s="33"/>
      <c r="MN253" s="33"/>
      <c r="MO253" s="33"/>
      <c r="MP253" s="33"/>
      <c r="MQ253" s="33"/>
      <c r="MR253" s="33"/>
      <c r="MS253" s="33"/>
      <c r="MT253" s="33"/>
      <c r="MU253" s="33"/>
      <c r="MV253" s="33"/>
      <c r="MW253" s="33"/>
      <c r="MX253" s="33"/>
      <c r="MY253" s="33"/>
      <c r="MZ253" s="33"/>
      <c r="NA253" s="33"/>
      <c r="NB253" s="33"/>
      <c r="NC253" s="33"/>
      <c r="ND253" s="33"/>
      <c r="NE253" s="33"/>
      <c r="NF253" s="33"/>
      <c r="NG253" s="33"/>
      <c r="NH253" s="33"/>
      <c r="NI253" s="33"/>
      <c r="NJ253" s="33"/>
      <c r="NK253" s="33"/>
      <c r="NL253" s="33"/>
      <c r="NM253" s="33"/>
      <c r="NN253" s="33"/>
      <c r="NO253" s="33"/>
      <c r="NP253" s="33"/>
      <c r="NQ253" s="33"/>
      <c r="NR253" s="33"/>
      <c r="NS253" s="33"/>
      <c r="NT253" s="33"/>
      <c r="NU253" s="33"/>
      <c r="NV253" s="33"/>
      <c r="NW253" s="33"/>
      <c r="NX253" s="33"/>
      <c r="NY253" s="33"/>
      <c r="NZ253" s="33"/>
      <c r="OA253" s="33"/>
      <c r="OB253" s="33"/>
      <c r="OC253" s="33"/>
      <c r="OD253" s="33"/>
      <c r="OE253" s="33"/>
      <c r="OF253" s="33"/>
      <c r="OG253" s="33"/>
      <c r="OH253" s="33"/>
      <c r="OI253" s="33"/>
      <c r="OJ253" s="33"/>
      <c r="OK253" s="33"/>
      <c r="OL253" s="33"/>
      <c r="OM253" s="33"/>
      <c r="ON253" s="33"/>
      <c r="OO253" s="33"/>
      <c r="OP253" s="33"/>
      <c r="OQ253" s="33"/>
      <c r="OR253" s="33"/>
      <c r="OS253" s="33"/>
      <c r="OT253" s="33"/>
      <c r="OU253" s="33"/>
      <c r="OV253" s="33"/>
      <c r="OW253" s="33"/>
      <c r="OX253" s="33"/>
      <c r="OY253" s="33"/>
      <c r="OZ253" s="33"/>
      <c r="PA253" s="33"/>
      <c r="PB253" s="33"/>
      <c r="PC253" s="33"/>
      <c r="PD253" s="33"/>
      <c r="PE253" s="33"/>
      <c r="PF253" s="33"/>
      <c r="PG253" s="33"/>
      <c r="PH253" s="33"/>
      <c r="PI253" s="33"/>
      <c r="PJ253" s="33"/>
      <c r="PK253" s="33"/>
      <c r="PL253" s="33"/>
      <c r="PM253" s="33"/>
      <c r="PN253" s="33"/>
      <c r="PO253" s="33"/>
      <c r="PP253" s="33"/>
      <c r="PQ253" s="33"/>
      <c r="PR253" s="33"/>
      <c r="PS253" s="33"/>
      <c r="PT253" s="33"/>
      <c r="PU253" s="33"/>
      <c r="PV253" s="33"/>
      <c r="PW253" s="33"/>
      <c r="PX253" s="33"/>
      <c r="PY253" s="33"/>
      <c r="PZ253" s="33"/>
      <c r="QA253" s="33"/>
      <c r="QB253" s="33"/>
      <c r="QC253" s="33"/>
      <c r="QD253" s="33"/>
      <c r="QE253" s="33"/>
      <c r="QF253" s="33"/>
      <c r="QG253" s="33"/>
      <c r="QH253" s="33"/>
      <c r="QI253" s="33"/>
      <c r="QJ253" s="33"/>
      <c r="QK253" s="33"/>
      <c r="QL253" s="33"/>
      <c r="QM253" s="33"/>
      <c r="QN253" s="33"/>
      <c r="QO253" s="33"/>
      <c r="QP253" s="33"/>
      <c r="QQ253" s="33"/>
      <c r="QR253" s="33"/>
      <c r="QS253" s="33"/>
      <c r="QT253" s="33"/>
      <c r="QU253" s="33"/>
      <c r="QV253" s="33"/>
      <c r="QW253" s="33"/>
      <c r="QX253" s="33"/>
      <c r="QY253" s="33"/>
      <c r="QZ253" s="33"/>
      <c r="RA253" s="33"/>
      <c r="RB253" s="33"/>
      <c r="RC253" s="33"/>
      <c r="RD253" s="33"/>
      <c r="RE253" s="33"/>
      <c r="RF253" s="33"/>
      <c r="RG253" s="33"/>
      <c r="RH253" s="33"/>
      <c r="RI253" s="33"/>
      <c r="RJ253" s="33"/>
      <c r="RK253" s="33"/>
      <c r="RL253" s="33"/>
      <c r="RM253" s="33"/>
      <c r="RN253" s="33"/>
      <c r="RO253" s="33"/>
      <c r="RP253" s="33"/>
      <c r="RQ253" s="33"/>
      <c r="RR253" s="33"/>
      <c r="RS253" s="33"/>
      <c r="RT253" s="33"/>
      <c r="RU253" s="33"/>
      <c r="RV253" s="33"/>
      <c r="RW253" s="33"/>
      <c r="RX253" s="33"/>
      <c r="RY253" s="33"/>
      <c r="RZ253" s="33"/>
      <c r="SA253" s="33"/>
      <c r="SB253" s="33"/>
      <c r="SC253" s="33"/>
      <c r="SD253" s="33"/>
      <c r="SE253" s="33"/>
      <c r="SF253" s="33"/>
      <c r="SG253" s="33"/>
      <c r="SH253" s="33"/>
      <c r="SI253" s="33"/>
      <c r="SJ253" s="33"/>
      <c r="SK253" s="33"/>
      <c r="SL253" s="33"/>
      <c r="SM253" s="33"/>
      <c r="SN253" s="33"/>
      <c r="SO253" s="33"/>
      <c r="SP253" s="33"/>
      <c r="SQ253" s="33"/>
      <c r="SR253" s="33"/>
      <c r="SS253" s="33"/>
      <c r="ST253" s="33"/>
      <c r="SU253" s="33"/>
      <c r="SV253" s="33"/>
      <c r="SW253" s="33"/>
      <c r="SX253" s="33"/>
      <c r="SY253" s="33"/>
      <c r="SZ253" s="33"/>
      <c r="TA253" s="33"/>
      <c r="TB253" s="33"/>
      <c r="TC253" s="33"/>
      <c r="TD253" s="33"/>
      <c r="TE253" s="33"/>
      <c r="TF253" s="33"/>
      <c r="TG253" s="33"/>
    </row>
    <row r="254" spans="1:527" s="22" customFormat="1" ht="47.25" x14ac:dyDescent="0.25">
      <c r="A254" s="60" t="s">
        <v>0</v>
      </c>
      <c r="B254" s="97" t="str">
        <f>'дод 5'!A20</f>
        <v>0160</v>
      </c>
      <c r="C254" s="97" t="str">
        <f>'дод 5'!B20</f>
        <v>0111</v>
      </c>
      <c r="D254" s="36" t="s">
        <v>503</v>
      </c>
      <c r="E254" s="103">
        <f>F254+I254</f>
        <v>6412819</v>
      </c>
      <c r="F254" s="103">
        <f>6378200+8000+26619</f>
        <v>6412819</v>
      </c>
      <c r="G254" s="103">
        <v>5019800</v>
      </c>
      <c r="H254" s="103">
        <f>75700+26619</f>
        <v>102319</v>
      </c>
      <c r="I254" s="103"/>
      <c r="J254" s="103">
        <f>L254+O254</f>
        <v>0</v>
      </c>
      <c r="K254" s="103">
        <f>8000-8000</f>
        <v>0</v>
      </c>
      <c r="L254" s="103"/>
      <c r="M254" s="103"/>
      <c r="N254" s="103"/>
      <c r="O254" s="103">
        <f>8000-8000</f>
        <v>0</v>
      </c>
      <c r="P254" s="103">
        <f>E254+J254</f>
        <v>6412819</v>
      </c>
      <c r="Q254" s="188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  <c r="TF254" s="23"/>
      <c r="TG254" s="23"/>
    </row>
    <row r="255" spans="1:527" s="27" customFormat="1" ht="52.5" customHeight="1" x14ac:dyDescent="0.25">
      <c r="A255" s="114" t="s">
        <v>29</v>
      </c>
      <c r="B255" s="116"/>
      <c r="C255" s="116"/>
      <c r="D255" s="111" t="s">
        <v>34</v>
      </c>
      <c r="E255" s="99">
        <f>E256</f>
        <v>3729104.55</v>
      </c>
      <c r="F255" s="99">
        <f t="shared" ref="F255:J255" si="126">F256</f>
        <v>3729104.55</v>
      </c>
      <c r="G255" s="99">
        <f t="shared" si="126"/>
        <v>2146200</v>
      </c>
      <c r="H255" s="99">
        <f t="shared" si="126"/>
        <v>0</v>
      </c>
      <c r="I255" s="99">
        <f t="shared" si="126"/>
        <v>0</v>
      </c>
      <c r="J255" s="99">
        <f t="shared" si="126"/>
        <v>270865851.10000002</v>
      </c>
      <c r="K255" s="99">
        <f t="shared" ref="K255" si="127">K256</f>
        <v>257420568.44999999</v>
      </c>
      <c r="L255" s="99">
        <f t="shared" ref="L255" si="128">L256</f>
        <v>1900000</v>
      </c>
      <c r="M255" s="99">
        <f t="shared" ref="M255" si="129">M256</f>
        <v>1332000</v>
      </c>
      <c r="N255" s="99">
        <f t="shared" ref="N255" si="130">N256</f>
        <v>71500</v>
      </c>
      <c r="O255" s="99">
        <f t="shared" ref="O255:P255" si="131">O256</f>
        <v>268965851.10000002</v>
      </c>
      <c r="P255" s="99">
        <f t="shared" si="131"/>
        <v>274594955.64999998</v>
      </c>
      <c r="Q255" s="188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2"/>
      <c r="FK255" s="32"/>
      <c r="FL255" s="32"/>
      <c r="FM255" s="32"/>
      <c r="FN255" s="32"/>
      <c r="FO255" s="32"/>
      <c r="FP255" s="32"/>
      <c r="FQ255" s="32"/>
      <c r="FR255" s="32"/>
      <c r="FS255" s="32"/>
      <c r="FT255" s="32"/>
      <c r="FU255" s="32"/>
      <c r="FV255" s="32"/>
      <c r="FW255" s="32"/>
      <c r="FX255" s="32"/>
      <c r="FY255" s="32"/>
      <c r="FZ255" s="32"/>
      <c r="GA255" s="32"/>
      <c r="GB255" s="32"/>
      <c r="GC255" s="32"/>
      <c r="GD255" s="32"/>
      <c r="GE255" s="32"/>
      <c r="GF255" s="32"/>
      <c r="GG255" s="32"/>
      <c r="GH255" s="32"/>
      <c r="GI255" s="32"/>
      <c r="GJ255" s="32"/>
      <c r="GK255" s="32"/>
      <c r="GL255" s="32"/>
      <c r="GM255" s="32"/>
      <c r="GN255" s="32"/>
      <c r="GO255" s="32"/>
      <c r="GP255" s="32"/>
      <c r="GQ255" s="32"/>
      <c r="GR255" s="32"/>
      <c r="GS255" s="32"/>
      <c r="GT255" s="32"/>
      <c r="GU255" s="32"/>
      <c r="GV255" s="32"/>
      <c r="GW255" s="32"/>
      <c r="GX255" s="32"/>
      <c r="GY255" s="32"/>
      <c r="GZ255" s="32"/>
      <c r="HA255" s="32"/>
      <c r="HB255" s="32"/>
      <c r="HC255" s="32"/>
      <c r="HD255" s="32"/>
      <c r="HE255" s="32"/>
      <c r="HF255" s="32"/>
      <c r="HG255" s="32"/>
      <c r="HH255" s="32"/>
      <c r="HI255" s="32"/>
      <c r="HJ255" s="32"/>
      <c r="HK255" s="32"/>
      <c r="HL255" s="32"/>
      <c r="HM255" s="32"/>
      <c r="HN255" s="32"/>
      <c r="HO255" s="32"/>
      <c r="HP255" s="32"/>
      <c r="HQ255" s="32"/>
      <c r="HR255" s="32"/>
      <c r="HS255" s="32"/>
      <c r="HT255" s="32"/>
      <c r="HU255" s="32"/>
      <c r="HV255" s="32"/>
      <c r="HW255" s="32"/>
      <c r="HX255" s="32"/>
      <c r="HY255" s="32"/>
      <c r="HZ255" s="32"/>
      <c r="IA255" s="32"/>
      <c r="IB255" s="32"/>
      <c r="IC255" s="32"/>
      <c r="ID255" s="32"/>
      <c r="IE255" s="32"/>
      <c r="IF255" s="32"/>
      <c r="IG255" s="32"/>
      <c r="IH255" s="32"/>
      <c r="II255" s="32"/>
      <c r="IJ255" s="32"/>
      <c r="IK255" s="32"/>
      <c r="IL255" s="32"/>
      <c r="IM255" s="32"/>
      <c r="IN255" s="32"/>
      <c r="IO255" s="32"/>
      <c r="IP255" s="32"/>
      <c r="IQ255" s="32"/>
      <c r="IR255" s="32"/>
      <c r="IS255" s="32"/>
      <c r="IT255" s="32"/>
      <c r="IU255" s="32"/>
      <c r="IV255" s="32"/>
      <c r="IW255" s="32"/>
      <c r="IX255" s="32"/>
      <c r="IY255" s="32"/>
      <c r="IZ255" s="32"/>
      <c r="JA255" s="32"/>
      <c r="JB255" s="32"/>
      <c r="JC255" s="32"/>
      <c r="JD255" s="32"/>
      <c r="JE255" s="32"/>
      <c r="JF255" s="32"/>
      <c r="JG255" s="32"/>
      <c r="JH255" s="32"/>
      <c r="JI255" s="32"/>
      <c r="JJ255" s="32"/>
      <c r="JK255" s="32"/>
      <c r="JL255" s="32"/>
      <c r="JM255" s="32"/>
      <c r="JN255" s="32"/>
      <c r="JO255" s="32"/>
      <c r="JP255" s="32"/>
      <c r="JQ255" s="32"/>
      <c r="JR255" s="32"/>
      <c r="JS255" s="32"/>
      <c r="JT255" s="32"/>
      <c r="JU255" s="32"/>
      <c r="JV255" s="32"/>
      <c r="JW255" s="32"/>
      <c r="JX255" s="32"/>
      <c r="JY255" s="32"/>
      <c r="JZ255" s="32"/>
      <c r="KA255" s="32"/>
      <c r="KB255" s="32"/>
      <c r="KC255" s="32"/>
      <c r="KD255" s="32"/>
      <c r="KE255" s="32"/>
      <c r="KF255" s="32"/>
      <c r="KG255" s="32"/>
      <c r="KH255" s="32"/>
      <c r="KI255" s="32"/>
      <c r="KJ255" s="32"/>
      <c r="KK255" s="32"/>
      <c r="KL255" s="32"/>
      <c r="KM255" s="32"/>
      <c r="KN255" s="32"/>
      <c r="KO255" s="32"/>
      <c r="KP255" s="32"/>
      <c r="KQ255" s="32"/>
      <c r="KR255" s="32"/>
      <c r="KS255" s="32"/>
      <c r="KT255" s="32"/>
      <c r="KU255" s="32"/>
      <c r="KV255" s="32"/>
      <c r="KW255" s="32"/>
      <c r="KX255" s="32"/>
      <c r="KY255" s="32"/>
      <c r="KZ255" s="32"/>
      <c r="LA255" s="32"/>
      <c r="LB255" s="32"/>
      <c r="LC255" s="32"/>
      <c r="LD255" s="32"/>
      <c r="LE255" s="32"/>
      <c r="LF255" s="32"/>
      <c r="LG255" s="32"/>
      <c r="LH255" s="32"/>
      <c r="LI255" s="32"/>
      <c r="LJ255" s="32"/>
      <c r="LK255" s="32"/>
      <c r="LL255" s="32"/>
      <c r="LM255" s="32"/>
      <c r="LN255" s="32"/>
      <c r="LO255" s="32"/>
      <c r="LP255" s="32"/>
      <c r="LQ255" s="32"/>
      <c r="LR255" s="32"/>
      <c r="LS255" s="32"/>
      <c r="LT255" s="32"/>
      <c r="LU255" s="32"/>
      <c r="LV255" s="32"/>
      <c r="LW255" s="32"/>
      <c r="LX255" s="32"/>
      <c r="LY255" s="32"/>
      <c r="LZ255" s="32"/>
      <c r="MA255" s="32"/>
      <c r="MB255" s="32"/>
      <c r="MC255" s="32"/>
      <c r="MD255" s="32"/>
      <c r="ME255" s="32"/>
      <c r="MF255" s="32"/>
      <c r="MG255" s="32"/>
      <c r="MH255" s="32"/>
      <c r="MI255" s="32"/>
      <c r="MJ255" s="32"/>
      <c r="MK255" s="32"/>
      <c r="ML255" s="32"/>
      <c r="MM255" s="32"/>
      <c r="MN255" s="32"/>
      <c r="MO255" s="32"/>
      <c r="MP255" s="32"/>
      <c r="MQ255" s="32"/>
      <c r="MR255" s="32"/>
      <c r="MS255" s="32"/>
      <c r="MT255" s="32"/>
      <c r="MU255" s="32"/>
      <c r="MV255" s="32"/>
      <c r="MW255" s="32"/>
      <c r="MX255" s="32"/>
      <c r="MY255" s="32"/>
      <c r="MZ255" s="32"/>
      <c r="NA255" s="32"/>
      <c r="NB255" s="32"/>
      <c r="NC255" s="32"/>
      <c r="ND255" s="32"/>
      <c r="NE255" s="32"/>
      <c r="NF255" s="32"/>
      <c r="NG255" s="32"/>
      <c r="NH255" s="32"/>
      <c r="NI255" s="32"/>
      <c r="NJ255" s="32"/>
      <c r="NK255" s="32"/>
      <c r="NL255" s="32"/>
      <c r="NM255" s="32"/>
      <c r="NN255" s="32"/>
      <c r="NO255" s="32"/>
      <c r="NP255" s="32"/>
      <c r="NQ255" s="32"/>
      <c r="NR255" s="32"/>
      <c r="NS255" s="32"/>
      <c r="NT255" s="32"/>
      <c r="NU255" s="32"/>
      <c r="NV255" s="32"/>
      <c r="NW255" s="32"/>
      <c r="NX255" s="32"/>
      <c r="NY255" s="32"/>
      <c r="NZ255" s="32"/>
      <c r="OA255" s="32"/>
      <c r="OB255" s="32"/>
      <c r="OC255" s="32"/>
      <c r="OD255" s="32"/>
      <c r="OE255" s="32"/>
      <c r="OF255" s="32"/>
      <c r="OG255" s="32"/>
      <c r="OH255" s="32"/>
      <c r="OI255" s="32"/>
      <c r="OJ255" s="32"/>
      <c r="OK255" s="32"/>
      <c r="OL255" s="32"/>
      <c r="OM255" s="32"/>
      <c r="ON255" s="32"/>
      <c r="OO255" s="32"/>
      <c r="OP255" s="32"/>
      <c r="OQ255" s="32"/>
      <c r="OR255" s="32"/>
      <c r="OS255" s="32"/>
      <c r="OT255" s="32"/>
      <c r="OU255" s="32"/>
      <c r="OV255" s="32"/>
      <c r="OW255" s="32"/>
      <c r="OX255" s="32"/>
      <c r="OY255" s="32"/>
      <c r="OZ255" s="32"/>
      <c r="PA255" s="32"/>
      <c r="PB255" s="32"/>
      <c r="PC255" s="32"/>
      <c r="PD255" s="32"/>
      <c r="PE255" s="32"/>
      <c r="PF255" s="32"/>
      <c r="PG255" s="32"/>
      <c r="PH255" s="32"/>
      <c r="PI255" s="32"/>
      <c r="PJ255" s="32"/>
      <c r="PK255" s="32"/>
      <c r="PL255" s="32"/>
      <c r="PM255" s="32"/>
      <c r="PN255" s="32"/>
      <c r="PO255" s="32"/>
      <c r="PP255" s="32"/>
      <c r="PQ255" s="32"/>
      <c r="PR255" s="32"/>
      <c r="PS255" s="32"/>
      <c r="PT255" s="32"/>
      <c r="PU255" s="32"/>
      <c r="PV255" s="32"/>
      <c r="PW255" s="32"/>
      <c r="PX255" s="32"/>
      <c r="PY255" s="32"/>
      <c r="PZ255" s="32"/>
      <c r="QA255" s="32"/>
      <c r="QB255" s="32"/>
      <c r="QC255" s="32"/>
      <c r="QD255" s="32"/>
      <c r="QE255" s="32"/>
      <c r="QF255" s="32"/>
      <c r="QG255" s="32"/>
      <c r="QH255" s="32"/>
      <c r="QI255" s="32"/>
      <c r="QJ255" s="32"/>
      <c r="QK255" s="32"/>
      <c r="QL255" s="32"/>
      <c r="QM255" s="32"/>
      <c r="QN255" s="32"/>
      <c r="QO255" s="32"/>
      <c r="QP255" s="32"/>
      <c r="QQ255" s="32"/>
      <c r="QR255" s="32"/>
      <c r="QS255" s="32"/>
      <c r="QT255" s="32"/>
      <c r="QU255" s="32"/>
      <c r="QV255" s="32"/>
      <c r="QW255" s="32"/>
      <c r="QX255" s="32"/>
      <c r="QY255" s="32"/>
      <c r="QZ255" s="32"/>
      <c r="RA255" s="32"/>
      <c r="RB255" s="32"/>
      <c r="RC255" s="32"/>
      <c r="RD255" s="32"/>
      <c r="RE255" s="32"/>
      <c r="RF255" s="32"/>
      <c r="RG255" s="32"/>
      <c r="RH255" s="32"/>
      <c r="RI255" s="32"/>
      <c r="RJ255" s="32"/>
      <c r="RK255" s="32"/>
      <c r="RL255" s="32"/>
      <c r="RM255" s="32"/>
      <c r="RN255" s="32"/>
      <c r="RO255" s="32"/>
      <c r="RP255" s="32"/>
      <c r="RQ255" s="32"/>
      <c r="RR255" s="32"/>
      <c r="RS255" s="32"/>
      <c r="RT255" s="32"/>
      <c r="RU255" s="32"/>
      <c r="RV255" s="32"/>
      <c r="RW255" s="32"/>
      <c r="RX255" s="32"/>
      <c r="RY255" s="32"/>
      <c r="RZ255" s="32"/>
      <c r="SA255" s="32"/>
      <c r="SB255" s="32"/>
      <c r="SC255" s="32"/>
      <c r="SD255" s="32"/>
      <c r="SE255" s="32"/>
      <c r="SF255" s="32"/>
      <c r="SG255" s="32"/>
      <c r="SH255" s="32"/>
      <c r="SI255" s="32"/>
      <c r="SJ255" s="32"/>
      <c r="SK255" s="32"/>
      <c r="SL255" s="32"/>
      <c r="SM255" s="32"/>
      <c r="SN255" s="32"/>
      <c r="SO255" s="32"/>
      <c r="SP255" s="32"/>
      <c r="SQ255" s="32"/>
      <c r="SR255" s="32"/>
      <c r="SS255" s="32"/>
      <c r="ST255" s="32"/>
      <c r="SU255" s="32"/>
      <c r="SV255" s="32"/>
      <c r="SW255" s="32"/>
      <c r="SX255" s="32"/>
      <c r="SY255" s="32"/>
      <c r="SZ255" s="32"/>
      <c r="TA255" s="32"/>
      <c r="TB255" s="32"/>
      <c r="TC255" s="32"/>
      <c r="TD255" s="32"/>
      <c r="TE255" s="32"/>
      <c r="TF255" s="32"/>
      <c r="TG255" s="32"/>
    </row>
    <row r="256" spans="1:527" s="34" customFormat="1" ht="47.25" x14ac:dyDescent="0.25">
      <c r="A256" s="100" t="s">
        <v>30</v>
      </c>
      <c r="B256" s="113"/>
      <c r="C256" s="113"/>
      <c r="D256" s="81" t="s">
        <v>422</v>
      </c>
      <c r="E256" s="102">
        <f>SUM(E258+E259+E260+E261+E262+E263+E264+E266+E267+E268+E269+E270+E271+E265+E273+E274)</f>
        <v>3729104.55</v>
      </c>
      <c r="F256" s="102">
        <f t="shared" ref="F256:P256" si="132">SUM(F258+F259+F260+F261+F262+F263+F264+F266+F267+F268+F269+F270+F271+F265+F273+F274)</f>
        <v>3729104.55</v>
      </c>
      <c r="G256" s="102">
        <f t="shared" si="132"/>
        <v>2146200</v>
      </c>
      <c r="H256" s="102">
        <f t="shared" si="132"/>
        <v>0</v>
      </c>
      <c r="I256" s="102">
        <f t="shared" si="132"/>
        <v>0</v>
      </c>
      <c r="J256" s="102">
        <f t="shared" si="132"/>
        <v>270865851.10000002</v>
      </c>
      <c r="K256" s="102">
        <f t="shared" si="132"/>
        <v>257420568.44999999</v>
      </c>
      <c r="L256" s="102">
        <f t="shared" si="132"/>
        <v>1900000</v>
      </c>
      <c r="M256" s="102">
        <f t="shared" si="132"/>
        <v>1332000</v>
      </c>
      <c r="N256" s="102">
        <f t="shared" si="132"/>
        <v>71500</v>
      </c>
      <c r="O256" s="102">
        <f t="shared" si="132"/>
        <v>268965851.10000002</v>
      </c>
      <c r="P256" s="102">
        <f t="shared" si="132"/>
        <v>274594955.64999998</v>
      </c>
      <c r="Q256" s="188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  <c r="GE256" s="33"/>
      <c r="GF256" s="33"/>
      <c r="GG256" s="33"/>
      <c r="GH256" s="33"/>
      <c r="GI256" s="33"/>
      <c r="GJ256" s="33"/>
      <c r="GK256" s="33"/>
      <c r="GL256" s="33"/>
      <c r="GM256" s="33"/>
      <c r="GN256" s="33"/>
      <c r="GO256" s="33"/>
      <c r="GP256" s="33"/>
      <c r="GQ256" s="33"/>
      <c r="GR256" s="33"/>
      <c r="GS256" s="33"/>
      <c r="GT256" s="33"/>
      <c r="GU256" s="33"/>
      <c r="GV256" s="33"/>
      <c r="GW256" s="33"/>
      <c r="GX256" s="33"/>
      <c r="GY256" s="33"/>
      <c r="GZ256" s="33"/>
      <c r="HA256" s="33"/>
      <c r="HB256" s="33"/>
      <c r="HC256" s="33"/>
      <c r="HD256" s="33"/>
      <c r="HE256" s="33"/>
      <c r="HF256" s="33"/>
      <c r="HG256" s="33"/>
      <c r="HH256" s="33"/>
      <c r="HI256" s="33"/>
      <c r="HJ256" s="33"/>
      <c r="HK256" s="33"/>
      <c r="HL256" s="33"/>
      <c r="HM256" s="33"/>
      <c r="HN256" s="33"/>
      <c r="HO256" s="33"/>
      <c r="HP256" s="33"/>
      <c r="HQ256" s="33"/>
      <c r="HR256" s="33"/>
      <c r="HS256" s="33"/>
      <c r="HT256" s="33"/>
      <c r="HU256" s="33"/>
      <c r="HV256" s="33"/>
      <c r="HW256" s="33"/>
      <c r="HX256" s="33"/>
      <c r="HY256" s="33"/>
      <c r="HZ256" s="33"/>
      <c r="IA256" s="33"/>
      <c r="IB256" s="33"/>
      <c r="IC256" s="33"/>
      <c r="ID256" s="33"/>
      <c r="IE256" s="33"/>
      <c r="IF256" s="33"/>
      <c r="IG256" s="33"/>
      <c r="IH256" s="33"/>
      <c r="II256" s="33"/>
      <c r="IJ256" s="33"/>
      <c r="IK256" s="33"/>
      <c r="IL256" s="33"/>
      <c r="IM256" s="33"/>
      <c r="IN256" s="33"/>
      <c r="IO256" s="33"/>
      <c r="IP256" s="33"/>
      <c r="IQ256" s="33"/>
      <c r="IR256" s="33"/>
      <c r="IS256" s="33"/>
      <c r="IT256" s="33"/>
      <c r="IU256" s="33"/>
      <c r="IV256" s="33"/>
      <c r="IW256" s="33"/>
      <c r="IX256" s="33"/>
      <c r="IY256" s="33"/>
      <c r="IZ256" s="33"/>
      <c r="JA256" s="33"/>
      <c r="JB256" s="33"/>
      <c r="JC256" s="33"/>
      <c r="JD256" s="33"/>
      <c r="JE256" s="33"/>
      <c r="JF256" s="33"/>
      <c r="JG256" s="33"/>
      <c r="JH256" s="33"/>
      <c r="JI256" s="33"/>
      <c r="JJ256" s="33"/>
      <c r="JK256" s="33"/>
      <c r="JL256" s="33"/>
      <c r="JM256" s="33"/>
      <c r="JN256" s="33"/>
      <c r="JO256" s="33"/>
      <c r="JP256" s="33"/>
      <c r="JQ256" s="33"/>
      <c r="JR256" s="33"/>
      <c r="JS256" s="33"/>
      <c r="JT256" s="33"/>
      <c r="JU256" s="33"/>
      <c r="JV256" s="33"/>
      <c r="JW256" s="33"/>
      <c r="JX256" s="33"/>
      <c r="JY256" s="33"/>
      <c r="JZ256" s="33"/>
      <c r="KA256" s="33"/>
      <c r="KB256" s="33"/>
      <c r="KC256" s="33"/>
      <c r="KD256" s="33"/>
      <c r="KE256" s="33"/>
      <c r="KF256" s="33"/>
      <c r="KG256" s="33"/>
      <c r="KH256" s="33"/>
      <c r="KI256" s="33"/>
      <c r="KJ256" s="33"/>
      <c r="KK256" s="33"/>
      <c r="KL256" s="33"/>
      <c r="KM256" s="33"/>
      <c r="KN256" s="33"/>
      <c r="KO256" s="33"/>
      <c r="KP256" s="33"/>
      <c r="KQ256" s="33"/>
      <c r="KR256" s="33"/>
      <c r="KS256" s="33"/>
      <c r="KT256" s="33"/>
      <c r="KU256" s="33"/>
      <c r="KV256" s="33"/>
      <c r="KW256" s="33"/>
      <c r="KX256" s="33"/>
      <c r="KY256" s="33"/>
      <c r="KZ256" s="33"/>
      <c r="LA256" s="33"/>
      <c r="LB256" s="33"/>
      <c r="LC256" s="33"/>
      <c r="LD256" s="33"/>
      <c r="LE256" s="33"/>
      <c r="LF256" s="33"/>
      <c r="LG256" s="33"/>
      <c r="LH256" s="33"/>
      <c r="LI256" s="33"/>
      <c r="LJ256" s="33"/>
      <c r="LK256" s="33"/>
      <c r="LL256" s="33"/>
      <c r="LM256" s="33"/>
      <c r="LN256" s="33"/>
      <c r="LO256" s="33"/>
      <c r="LP256" s="33"/>
      <c r="LQ256" s="33"/>
      <c r="LR256" s="33"/>
      <c r="LS256" s="33"/>
      <c r="LT256" s="33"/>
      <c r="LU256" s="33"/>
      <c r="LV256" s="33"/>
      <c r="LW256" s="33"/>
      <c r="LX256" s="33"/>
      <c r="LY256" s="33"/>
      <c r="LZ256" s="33"/>
      <c r="MA256" s="33"/>
      <c r="MB256" s="33"/>
      <c r="MC256" s="33"/>
      <c r="MD256" s="33"/>
      <c r="ME256" s="33"/>
      <c r="MF256" s="33"/>
      <c r="MG256" s="33"/>
      <c r="MH256" s="33"/>
      <c r="MI256" s="33"/>
      <c r="MJ256" s="33"/>
      <c r="MK256" s="33"/>
      <c r="ML256" s="33"/>
      <c r="MM256" s="33"/>
      <c r="MN256" s="33"/>
      <c r="MO256" s="33"/>
      <c r="MP256" s="33"/>
      <c r="MQ256" s="33"/>
      <c r="MR256" s="33"/>
      <c r="MS256" s="33"/>
      <c r="MT256" s="33"/>
      <c r="MU256" s="33"/>
      <c r="MV256" s="33"/>
      <c r="MW256" s="33"/>
      <c r="MX256" s="33"/>
      <c r="MY256" s="33"/>
      <c r="MZ256" s="33"/>
      <c r="NA256" s="33"/>
      <c r="NB256" s="33"/>
      <c r="NC256" s="33"/>
      <c r="ND256" s="33"/>
      <c r="NE256" s="33"/>
      <c r="NF256" s="33"/>
      <c r="NG256" s="33"/>
      <c r="NH256" s="33"/>
      <c r="NI256" s="33"/>
      <c r="NJ256" s="33"/>
      <c r="NK256" s="33"/>
      <c r="NL256" s="33"/>
      <c r="NM256" s="33"/>
      <c r="NN256" s="33"/>
      <c r="NO256" s="33"/>
      <c r="NP256" s="33"/>
      <c r="NQ256" s="33"/>
      <c r="NR256" s="33"/>
      <c r="NS256" s="33"/>
      <c r="NT256" s="33"/>
      <c r="NU256" s="33"/>
      <c r="NV256" s="33"/>
      <c r="NW256" s="33"/>
      <c r="NX256" s="33"/>
      <c r="NY256" s="33"/>
      <c r="NZ256" s="33"/>
      <c r="OA256" s="33"/>
      <c r="OB256" s="33"/>
      <c r="OC256" s="33"/>
      <c r="OD256" s="33"/>
      <c r="OE256" s="33"/>
      <c r="OF256" s="33"/>
      <c r="OG256" s="33"/>
      <c r="OH256" s="33"/>
      <c r="OI256" s="33"/>
      <c r="OJ256" s="33"/>
      <c r="OK256" s="33"/>
      <c r="OL256" s="33"/>
      <c r="OM256" s="33"/>
      <c r="ON256" s="33"/>
      <c r="OO256" s="33"/>
      <c r="OP256" s="33"/>
      <c r="OQ256" s="33"/>
      <c r="OR256" s="33"/>
      <c r="OS256" s="33"/>
      <c r="OT256" s="33"/>
      <c r="OU256" s="33"/>
      <c r="OV256" s="33"/>
      <c r="OW256" s="33"/>
      <c r="OX256" s="33"/>
      <c r="OY256" s="33"/>
      <c r="OZ256" s="33"/>
      <c r="PA256" s="33"/>
      <c r="PB256" s="33"/>
      <c r="PC256" s="33"/>
      <c r="PD256" s="33"/>
      <c r="PE256" s="33"/>
      <c r="PF256" s="33"/>
      <c r="PG256" s="33"/>
      <c r="PH256" s="33"/>
      <c r="PI256" s="33"/>
      <c r="PJ256" s="33"/>
      <c r="PK256" s="33"/>
      <c r="PL256" s="33"/>
      <c r="PM256" s="33"/>
      <c r="PN256" s="33"/>
      <c r="PO256" s="33"/>
      <c r="PP256" s="33"/>
      <c r="PQ256" s="33"/>
      <c r="PR256" s="33"/>
      <c r="PS256" s="33"/>
      <c r="PT256" s="33"/>
      <c r="PU256" s="33"/>
      <c r="PV256" s="33"/>
      <c r="PW256" s="33"/>
      <c r="PX256" s="33"/>
      <c r="PY256" s="33"/>
      <c r="PZ256" s="33"/>
      <c r="QA256" s="33"/>
      <c r="QB256" s="33"/>
      <c r="QC256" s="33"/>
      <c r="QD256" s="33"/>
      <c r="QE256" s="33"/>
      <c r="QF256" s="33"/>
      <c r="QG256" s="33"/>
      <c r="QH256" s="33"/>
      <c r="QI256" s="33"/>
      <c r="QJ256" s="33"/>
      <c r="QK256" s="33"/>
      <c r="QL256" s="33"/>
      <c r="QM256" s="33"/>
      <c r="QN256" s="33"/>
      <c r="QO256" s="33"/>
      <c r="QP256" s="33"/>
      <c r="QQ256" s="33"/>
      <c r="QR256" s="33"/>
      <c r="QS256" s="33"/>
      <c r="QT256" s="33"/>
      <c r="QU256" s="33"/>
      <c r="QV256" s="33"/>
      <c r="QW256" s="33"/>
      <c r="QX256" s="33"/>
      <c r="QY256" s="33"/>
      <c r="QZ256" s="33"/>
      <c r="RA256" s="33"/>
      <c r="RB256" s="33"/>
      <c r="RC256" s="33"/>
      <c r="RD256" s="33"/>
      <c r="RE256" s="33"/>
      <c r="RF256" s="33"/>
      <c r="RG256" s="33"/>
      <c r="RH256" s="33"/>
      <c r="RI256" s="33"/>
      <c r="RJ256" s="33"/>
      <c r="RK256" s="33"/>
      <c r="RL256" s="33"/>
      <c r="RM256" s="33"/>
      <c r="RN256" s="33"/>
      <c r="RO256" s="33"/>
      <c r="RP256" s="33"/>
      <c r="RQ256" s="33"/>
      <c r="RR256" s="33"/>
      <c r="RS256" s="33"/>
      <c r="RT256" s="33"/>
      <c r="RU256" s="33"/>
      <c r="RV256" s="33"/>
      <c r="RW256" s="33"/>
      <c r="RX256" s="33"/>
      <c r="RY256" s="33"/>
      <c r="RZ256" s="33"/>
      <c r="SA256" s="33"/>
      <c r="SB256" s="33"/>
      <c r="SC256" s="33"/>
      <c r="SD256" s="33"/>
      <c r="SE256" s="33"/>
      <c r="SF256" s="33"/>
      <c r="SG256" s="33"/>
      <c r="SH256" s="33"/>
      <c r="SI256" s="33"/>
      <c r="SJ256" s="33"/>
      <c r="SK256" s="33"/>
      <c r="SL256" s="33"/>
      <c r="SM256" s="33"/>
      <c r="SN256" s="33"/>
      <c r="SO256" s="33"/>
      <c r="SP256" s="33"/>
      <c r="SQ256" s="33"/>
      <c r="SR256" s="33"/>
      <c r="SS256" s="33"/>
      <c r="ST256" s="33"/>
      <c r="SU256" s="33"/>
      <c r="SV256" s="33"/>
      <c r="SW256" s="33"/>
      <c r="SX256" s="33"/>
      <c r="SY256" s="33"/>
      <c r="SZ256" s="33"/>
      <c r="TA256" s="33"/>
      <c r="TB256" s="33"/>
      <c r="TC256" s="33"/>
      <c r="TD256" s="33"/>
      <c r="TE256" s="33"/>
      <c r="TF256" s="33"/>
      <c r="TG256" s="33"/>
    </row>
    <row r="257" spans="1:527" s="34" customFormat="1" ht="17.25" customHeight="1" x14ac:dyDescent="0.25">
      <c r="A257" s="100"/>
      <c r="B257" s="113"/>
      <c r="C257" s="113"/>
      <c r="D257" s="87" t="s">
        <v>421</v>
      </c>
      <c r="E257" s="102">
        <f>E272</f>
        <v>0</v>
      </c>
      <c r="F257" s="102">
        <f t="shared" ref="F257:P257" si="133">F272</f>
        <v>0</v>
      </c>
      <c r="G257" s="102">
        <f t="shared" si="133"/>
        <v>0</v>
      </c>
      <c r="H257" s="102">
        <f t="shared" si="133"/>
        <v>0</v>
      </c>
      <c r="I257" s="102">
        <f t="shared" si="133"/>
        <v>0</v>
      </c>
      <c r="J257" s="102">
        <f t="shared" si="133"/>
        <v>96859595</v>
      </c>
      <c r="K257" s="102">
        <f t="shared" si="133"/>
        <v>96859595</v>
      </c>
      <c r="L257" s="102">
        <f t="shared" si="133"/>
        <v>0</v>
      </c>
      <c r="M257" s="102">
        <f t="shared" si="133"/>
        <v>0</v>
      </c>
      <c r="N257" s="102">
        <f t="shared" si="133"/>
        <v>0</v>
      </c>
      <c r="O257" s="102">
        <f t="shared" si="133"/>
        <v>96859595</v>
      </c>
      <c r="P257" s="102">
        <f t="shared" si="133"/>
        <v>96859595</v>
      </c>
      <c r="Q257" s="188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  <c r="GE257" s="33"/>
      <c r="GF257" s="33"/>
      <c r="GG257" s="33"/>
      <c r="GH257" s="33"/>
      <c r="GI257" s="33"/>
      <c r="GJ257" s="33"/>
      <c r="GK257" s="33"/>
      <c r="GL257" s="33"/>
      <c r="GM257" s="33"/>
      <c r="GN257" s="33"/>
      <c r="GO257" s="33"/>
      <c r="GP257" s="33"/>
      <c r="GQ257" s="33"/>
      <c r="GR257" s="33"/>
      <c r="GS257" s="33"/>
      <c r="GT257" s="33"/>
      <c r="GU257" s="33"/>
      <c r="GV257" s="33"/>
      <c r="GW257" s="33"/>
      <c r="GX257" s="33"/>
      <c r="GY257" s="33"/>
      <c r="GZ257" s="33"/>
      <c r="HA257" s="33"/>
      <c r="HB257" s="33"/>
      <c r="HC257" s="33"/>
      <c r="HD257" s="33"/>
      <c r="HE257" s="33"/>
      <c r="HF257" s="33"/>
      <c r="HG257" s="33"/>
      <c r="HH257" s="33"/>
      <c r="HI257" s="33"/>
      <c r="HJ257" s="33"/>
      <c r="HK257" s="33"/>
      <c r="HL257" s="33"/>
      <c r="HM257" s="33"/>
      <c r="HN257" s="33"/>
      <c r="HO257" s="33"/>
      <c r="HP257" s="33"/>
      <c r="HQ257" s="33"/>
      <c r="HR257" s="33"/>
      <c r="HS257" s="33"/>
      <c r="HT257" s="33"/>
      <c r="HU257" s="33"/>
      <c r="HV257" s="33"/>
      <c r="HW257" s="33"/>
      <c r="HX257" s="33"/>
      <c r="HY257" s="33"/>
      <c r="HZ257" s="33"/>
      <c r="IA257" s="33"/>
      <c r="IB257" s="33"/>
      <c r="IC257" s="33"/>
      <c r="ID257" s="33"/>
      <c r="IE257" s="33"/>
      <c r="IF257" s="33"/>
      <c r="IG257" s="33"/>
      <c r="IH257" s="33"/>
      <c r="II257" s="33"/>
      <c r="IJ257" s="33"/>
      <c r="IK257" s="33"/>
      <c r="IL257" s="33"/>
      <c r="IM257" s="33"/>
      <c r="IN257" s="33"/>
      <c r="IO257" s="33"/>
      <c r="IP257" s="33"/>
      <c r="IQ257" s="33"/>
      <c r="IR257" s="33"/>
      <c r="IS257" s="33"/>
      <c r="IT257" s="33"/>
      <c r="IU257" s="33"/>
      <c r="IV257" s="33"/>
      <c r="IW257" s="33"/>
      <c r="IX257" s="33"/>
      <c r="IY257" s="33"/>
      <c r="IZ257" s="33"/>
      <c r="JA257" s="33"/>
      <c r="JB257" s="33"/>
      <c r="JC257" s="33"/>
      <c r="JD257" s="33"/>
      <c r="JE257" s="33"/>
      <c r="JF257" s="33"/>
      <c r="JG257" s="33"/>
      <c r="JH257" s="33"/>
      <c r="JI257" s="33"/>
      <c r="JJ257" s="33"/>
      <c r="JK257" s="33"/>
      <c r="JL257" s="33"/>
      <c r="JM257" s="33"/>
      <c r="JN257" s="33"/>
      <c r="JO257" s="33"/>
      <c r="JP257" s="33"/>
      <c r="JQ257" s="33"/>
      <c r="JR257" s="33"/>
      <c r="JS257" s="33"/>
      <c r="JT257" s="33"/>
      <c r="JU257" s="33"/>
      <c r="JV257" s="33"/>
      <c r="JW257" s="33"/>
      <c r="JX257" s="33"/>
      <c r="JY257" s="33"/>
      <c r="JZ257" s="33"/>
      <c r="KA257" s="33"/>
      <c r="KB257" s="33"/>
      <c r="KC257" s="33"/>
      <c r="KD257" s="33"/>
      <c r="KE257" s="33"/>
      <c r="KF257" s="33"/>
      <c r="KG257" s="33"/>
      <c r="KH257" s="33"/>
      <c r="KI257" s="33"/>
      <c r="KJ257" s="33"/>
      <c r="KK257" s="33"/>
      <c r="KL257" s="33"/>
      <c r="KM257" s="33"/>
      <c r="KN257" s="33"/>
      <c r="KO257" s="33"/>
      <c r="KP257" s="33"/>
      <c r="KQ257" s="33"/>
      <c r="KR257" s="33"/>
      <c r="KS257" s="33"/>
      <c r="KT257" s="33"/>
      <c r="KU257" s="33"/>
      <c r="KV257" s="33"/>
      <c r="KW257" s="33"/>
      <c r="KX257" s="33"/>
      <c r="KY257" s="33"/>
      <c r="KZ257" s="33"/>
      <c r="LA257" s="33"/>
      <c r="LB257" s="33"/>
      <c r="LC257" s="33"/>
      <c r="LD257" s="33"/>
      <c r="LE257" s="33"/>
      <c r="LF257" s="33"/>
      <c r="LG257" s="33"/>
      <c r="LH257" s="33"/>
      <c r="LI257" s="33"/>
      <c r="LJ257" s="33"/>
      <c r="LK257" s="33"/>
      <c r="LL257" s="33"/>
      <c r="LM257" s="33"/>
      <c r="LN257" s="33"/>
      <c r="LO257" s="33"/>
      <c r="LP257" s="33"/>
      <c r="LQ257" s="33"/>
      <c r="LR257" s="33"/>
      <c r="LS257" s="33"/>
      <c r="LT257" s="33"/>
      <c r="LU257" s="33"/>
      <c r="LV257" s="33"/>
      <c r="LW257" s="33"/>
      <c r="LX257" s="33"/>
      <c r="LY257" s="33"/>
      <c r="LZ257" s="33"/>
      <c r="MA257" s="33"/>
      <c r="MB257" s="33"/>
      <c r="MC257" s="33"/>
      <c r="MD257" s="33"/>
      <c r="ME257" s="33"/>
      <c r="MF257" s="33"/>
      <c r="MG257" s="33"/>
      <c r="MH257" s="33"/>
      <c r="MI257" s="33"/>
      <c r="MJ257" s="33"/>
      <c r="MK257" s="33"/>
      <c r="ML257" s="33"/>
      <c r="MM257" s="33"/>
      <c r="MN257" s="33"/>
      <c r="MO257" s="33"/>
      <c r="MP257" s="33"/>
      <c r="MQ257" s="33"/>
      <c r="MR257" s="33"/>
      <c r="MS257" s="33"/>
      <c r="MT257" s="33"/>
      <c r="MU257" s="33"/>
      <c r="MV257" s="33"/>
      <c r="MW257" s="33"/>
      <c r="MX257" s="33"/>
      <c r="MY257" s="33"/>
      <c r="MZ257" s="33"/>
      <c r="NA257" s="33"/>
      <c r="NB257" s="33"/>
      <c r="NC257" s="33"/>
      <c r="ND257" s="33"/>
      <c r="NE257" s="33"/>
      <c r="NF257" s="33"/>
      <c r="NG257" s="33"/>
      <c r="NH257" s="33"/>
      <c r="NI257" s="33"/>
      <c r="NJ257" s="33"/>
      <c r="NK257" s="33"/>
      <c r="NL257" s="33"/>
      <c r="NM257" s="33"/>
      <c r="NN257" s="33"/>
      <c r="NO257" s="33"/>
      <c r="NP257" s="33"/>
      <c r="NQ257" s="33"/>
      <c r="NR257" s="33"/>
      <c r="NS257" s="33"/>
      <c r="NT257" s="33"/>
      <c r="NU257" s="33"/>
      <c r="NV257" s="33"/>
      <c r="NW257" s="33"/>
      <c r="NX257" s="33"/>
      <c r="NY257" s="33"/>
      <c r="NZ257" s="33"/>
      <c r="OA257" s="33"/>
      <c r="OB257" s="33"/>
      <c r="OC257" s="33"/>
      <c r="OD257" s="33"/>
      <c r="OE257" s="33"/>
      <c r="OF257" s="33"/>
      <c r="OG257" s="33"/>
      <c r="OH257" s="33"/>
      <c r="OI257" s="33"/>
      <c r="OJ257" s="33"/>
      <c r="OK257" s="33"/>
      <c r="OL257" s="33"/>
      <c r="OM257" s="33"/>
      <c r="ON257" s="33"/>
      <c r="OO257" s="33"/>
      <c r="OP257" s="33"/>
      <c r="OQ257" s="33"/>
      <c r="OR257" s="33"/>
      <c r="OS257" s="33"/>
      <c r="OT257" s="33"/>
      <c r="OU257" s="33"/>
      <c r="OV257" s="33"/>
      <c r="OW257" s="33"/>
      <c r="OX257" s="33"/>
      <c r="OY257" s="33"/>
      <c r="OZ257" s="33"/>
      <c r="PA257" s="33"/>
      <c r="PB257" s="33"/>
      <c r="PC257" s="33"/>
      <c r="PD257" s="33"/>
      <c r="PE257" s="33"/>
      <c r="PF257" s="33"/>
      <c r="PG257" s="33"/>
      <c r="PH257" s="33"/>
      <c r="PI257" s="33"/>
      <c r="PJ257" s="33"/>
      <c r="PK257" s="33"/>
      <c r="PL257" s="33"/>
      <c r="PM257" s="33"/>
      <c r="PN257" s="33"/>
      <c r="PO257" s="33"/>
      <c r="PP257" s="33"/>
      <c r="PQ257" s="33"/>
      <c r="PR257" s="33"/>
      <c r="PS257" s="33"/>
      <c r="PT257" s="33"/>
      <c r="PU257" s="33"/>
      <c r="PV257" s="33"/>
      <c r="PW257" s="33"/>
      <c r="PX257" s="33"/>
      <c r="PY257" s="33"/>
      <c r="PZ257" s="33"/>
      <c r="QA257" s="33"/>
      <c r="QB257" s="33"/>
      <c r="QC257" s="33"/>
      <c r="QD257" s="33"/>
      <c r="QE257" s="33"/>
      <c r="QF257" s="33"/>
      <c r="QG257" s="33"/>
      <c r="QH257" s="33"/>
      <c r="QI257" s="33"/>
      <c r="QJ257" s="33"/>
      <c r="QK257" s="33"/>
      <c r="QL257" s="33"/>
      <c r="QM257" s="33"/>
      <c r="QN257" s="33"/>
      <c r="QO257" s="33"/>
      <c r="QP257" s="33"/>
      <c r="QQ257" s="33"/>
      <c r="QR257" s="33"/>
      <c r="QS257" s="33"/>
      <c r="QT257" s="33"/>
      <c r="QU257" s="33"/>
      <c r="QV257" s="33"/>
      <c r="QW257" s="33"/>
      <c r="QX257" s="33"/>
      <c r="QY257" s="33"/>
      <c r="QZ257" s="33"/>
      <c r="RA257" s="33"/>
      <c r="RB257" s="33"/>
      <c r="RC257" s="33"/>
      <c r="RD257" s="33"/>
      <c r="RE257" s="33"/>
      <c r="RF257" s="33"/>
      <c r="RG257" s="33"/>
      <c r="RH257" s="33"/>
      <c r="RI257" s="33"/>
      <c r="RJ257" s="33"/>
      <c r="RK257" s="33"/>
      <c r="RL257" s="33"/>
      <c r="RM257" s="33"/>
      <c r="RN257" s="33"/>
      <c r="RO257" s="33"/>
      <c r="RP257" s="33"/>
      <c r="RQ257" s="33"/>
      <c r="RR257" s="33"/>
      <c r="RS257" s="33"/>
      <c r="RT257" s="33"/>
      <c r="RU257" s="33"/>
      <c r="RV257" s="33"/>
      <c r="RW257" s="33"/>
      <c r="RX257" s="33"/>
      <c r="RY257" s="33"/>
      <c r="RZ257" s="33"/>
      <c r="SA257" s="33"/>
      <c r="SB257" s="33"/>
      <c r="SC257" s="33"/>
      <c r="SD257" s="33"/>
      <c r="SE257" s="33"/>
      <c r="SF257" s="33"/>
      <c r="SG257" s="33"/>
      <c r="SH257" s="33"/>
      <c r="SI257" s="33"/>
      <c r="SJ257" s="33"/>
      <c r="SK257" s="33"/>
      <c r="SL257" s="33"/>
      <c r="SM257" s="33"/>
      <c r="SN257" s="33"/>
      <c r="SO257" s="33"/>
      <c r="SP257" s="33"/>
      <c r="SQ257" s="33"/>
      <c r="SR257" s="33"/>
      <c r="SS257" s="33"/>
      <c r="ST257" s="33"/>
      <c r="SU257" s="33"/>
      <c r="SV257" s="33"/>
      <c r="SW257" s="33"/>
      <c r="SX257" s="33"/>
      <c r="SY257" s="33"/>
      <c r="SZ257" s="33"/>
      <c r="TA257" s="33"/>
      <c r="TB257" s="33"/>
      <c r="TC257" s="33"/>
      <c r="TD257" s="33"/>
      <c r="TE257" s="33"/>
      <c r="TF257" s="33"/>
      <c r="TG257" s="33"/>
    </row>
    <row r="258" spans="1:527" s="22" customFormat="1" ht="47.25" x14ac:dyDescent="0.25">
      <c r="A258" s="60" t="s">
        <v>142</v>
      </c>
      <c r="B258" s="97" t="str">
        <f>'дод 5'!A20</f>
        <v>0160</v>
      </c>
      <c r="C258" s="97" t="str">
        <f>'дод 5'!B20</f>
        <v>0111</v>
      </c>
      <c r="D258" s="36" t="s">
        <v>503</v>
      </c>
      <c r="E258" s="103">
        <f t="shared" ref="E258:E273" si="134">F258+I258</f>
        <v>2609000</v>
      </c>
      <c r="F258" s="103">
        <f>3609000-1000000</f>
        <v>2609000</v>
      </c>
      <c r="G258" s="103">
        <f>2958200-812000</f>
        <v>2146200</v>
      </c>
      <c r="H258" s="103"/>
      <c r="I258" s="103"/>
      <c r="J258" s="103">
        <f>L258+O258</f>
        <v>1900000</v>
      </c>
      <c r="K258" s="103"/>
      <c r="L258" s="103">
        <v>1900000</v>
      </c>
      <c r="M258" s="103">
        <v>1332000</v>
      </c>
      <c r="N258" s="103">
        <v>71500</v>
      </c>
      <c r="O258" s="103"/>
      <c r="P258" s="103">
        <f t="shared" ref="P258:P273" si="135">E258+J258</f>
        <v>4509000</v>
      </c>
      <c r="Q258" s="188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  <c r="TF258" s="23"/>
      <c r="TG258" s="23"/>
    </row>
    <row r="259" spans="1:527" s="22" customFormat="1" ht="18" customHeight="1" x14ac:dyDescent="0.25">
      <c r="A259" s="60" t="s">
        <v>207</v>
      </c>
      <c r="B259" s="97" t="str">
        <f>'дод 5'!A158</f>
        <v>6030</v>
      </c>
      <c r="C259" s="97" t="str">
        <f>'дод 5'!B158</f>
        <v>0620</v>
      </c>
      <c r="D259" s="61" t="str">
        <f>'дод 5'!C158</f>
        <v>Організація благоустрою населених пунктів</v>
      </c>
      <c r="E259" s="103">
        <f t="shared" si="134"/>
        <v>0</v>
      </c>
      <c r="F259" s="103"/>
      <c r="G259" s="103"/>
      <c r="H259" s="103"/>
      <c r="I259" s="103"/>
      <c r="J259" s="103">
        <f t="shared" ref="J259:J281" si="136">L259+O259</f>
        <v>52213511</v>
      </c>
      <c r="K259" s="103">
        <f>50000000+200000+100000+49000+50000+1764511+50000</f>
        <v>52213511</v>
      </c>
      <c r="L259" s="103"/>
      <c r="M259" s="103"/>
      <c r="N259" s="103"/>
      <c r="O259" s="103">
        <f>50000000+200000+100000+49000+50000+1764511+50000</f>
        <v>52213511</v>
      </c>
      <c r="P259" s="103">
        <f t="shared" si="135"/>
        <v>52213511</v>
      </c>
      <c r="Q259" s="188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</row>
    <row r="260" spans="1:527" s="22" customFormat="1" ht="65.25" customHeight="1" x14ac:dyDescent="0.25">
      <c r="A260" s="60" t="s">
        <v>208</v>
      </c>
      <c r="B260" s="97" t="str">
        <f>'дод 5'!A161</f>
        <v>6084</v>
      </c>
      <c r="C260" s="97" t="str">
        <f>'дод 5'!B161</f>
        <v>0610</v>
      </c>
      <c r="D260" s="61" t="s">
        <v>544</v>
      </c>
      <c r="E260" s="103">
        <f t="shared" si="134"/>
        <v>0</v>
      </c>
      <c r="F260" s="103"/>
      <c r="G260" s="103"/>
      <c r="H260" s="103"/>
      <c r="I260" s="103"/>
      <c r="J260" s="103">
        <f t="shared" si="136"/>
        <v>71348.649999999994</v>
      </c>
      <c r="K260" s="103"/>
      <c r="L260" s="117"/>
      <c r="M260" s="103"/>
      <c r="N260" s="103"/>
      <c r="O260" s="103">
        <f>70060+1288.65</f>
        <v>71348.649999999994</v>
      </c>
      <c r="P260" s="103">
        <f t="shared" si="135"/>
        <v>71348.649999999994</v>
      </c>
      <c r="Q260" s="188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</row>
    <row r="261" spans="1:527" s="22" customFormat="1" ht="18.75" hidden="1" customHeight="1" x14ac:dyDescent="0.25">
      <c r="A261" s="60" t="s">
        <v>277</v>
      </c>
      <c r="B261" s="97" t="str">
        <f>'дод 5'!A171</f>
        <v>7310</v>
      </c>
      <c r="C261" s="97" t="str">
        <f>'дод 5'!B171</f>
        <v>0443</v>
      </c>
      <c r="D261" s="61" t="str">
        <f>'дод 5'!C171</f>
        <v>Будівництво1 об'єктів житлово-комунального господарства</v>
      </c>
      <c r="E261" s="103">
        <f t="shared" si="134"/>
        <v>0</v>
      </c>
      <c r="F261" s="103"/>
      <c r="G261" s="103"/>
      <c r="H261" s="103"/>
      <c r="I261" s="103"/>
      <c r="J261" s="103">
        <f t="shared" si="136"/>
        <v>0</v>
      </c>
      <c r="K261" s="103"/>
      <c r="L261" s="103"/>
      <c r="M261" s="103"/>
      <c r="N261" s="103"/>
      <c r="O261" s="103"/>
      <c r="P261" s="103">
        <f t="shared" si="135"/>
        <v>0</v>
      </c>
      <c r="Q261" s="188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  <c r="IW261" s="23"/>
      <c r="IX261" s="23"/>
      <c r="IY261" s="23"/>
      <c r="IZ261" s="23"/>
      <c r="JA261" s="23"/>
      <c r="JB261" s="23"/>
      <c r="JC261" s="23"/>
      <c r="JD261" s="23"/>
      <c r="JE261" s="23"/>
      <c r="JF261" s="23"/>
      <c r="JG261" s="23"/>
      <c r="JH261" s="23"/>
      <c r="JI261" s="23"/>
      <c r="JJ261" s="23"/>
      <c r="JK261" s="23"/>
      <c r="JL261" s="23"/>
      <c r="JM261" s="23"/>
      <c r="JN261" s="23"/>
      <c r="JO261" s="23"/>
      <c r="JP261" s="23"/>
      <c r="JQ261" s="23"/>
      <c r="JR261" s="23"/>
      <c r="JS261" s="23"/>
      <c r="JT261" s="23"/>
      <c r="JU261" s="23"/>
      <c r="JV261" s="23"/>
      <c r="JW261" s="23"/>
      <c r="JX261" s="23"/>
      <c r="JY261" s="23"/>
      <c r="JZ261" s="23"/>
      <c r="KA261" s="23"/>
      <c r="KB261" s="23"/>
      <c r="KC261" s="23"/>
      <c r="KD261" s="23"/>
      <c r="KE261" s="23"/>
      <c r="KF261" s="23"/>
      <c r="KG261" s="23"/>
      <c r="KH261" s="23"/>
      <c r="KI261" s="23"/>
      <c r="KJ261" s="23"/>
      <c r="KK261" s="23"/>
      <c r="KL261" s="23"/>
      <c r="KM261" s="23"/>
      <c r="KN261" s="23"/>
      <c r="KO261" s="23"/>
      <c r="KP261" s="23"/>
      <c r="KQ261" s="23"/>
      <c r="KR261" s="23"/>
      <c r="KS261" s="23"/>
      <c r="KT261" s="23"/>
      <c r="KU261" s="23"/>
      <c r="KV261" s="23"/>
      <c r="KW261" s="23"/>
      <c r="KX261" s="23"/>
      <c r="KY261" s="23"/>
      <c r="KZ261" s="23"/>
      <c r="LA261" s="23"/>
      <c r="LB261" s="23"/>
      <c r="LC261" s="23"/>
      <c r="LD261" s="23"/>
      <c r="LE261" s="23"/>
      <c r="LF261" s="23"/>
      <c r="LG261" s="23"/>
      <c r="LH261" s="23"/>
      <c r="LI261" s="23"/>
      <c r="LJ261" s="23"/>
      <c r="LK261" s="23"/>
      <c r="LL261" s="23"/>
      <c r="LM261" s="23"/>
      <c r="LN261" s="23"/>
      <c r="LO261" s="23"/>
      <c r="LP261" s="23"/>
      <c r="LQ261" s="23"/>
      <c r="LR261" s="23"/>
      <c r="LS261" s="23"/>
      <c r="LT261" s="23"/>
      <c r="LU261" s="23"/>
      <c r="LV261" s="23"/>
      <c r="LW261" s="23"/>
      <c r="LX261" s="23"/>
      <c r="LY261" s="23"/>
      <c r="LZ261" s="23"/>
      <c r="MA261" s="23"/>
      <c r="MB261" s="23"/>
      <c r="MC261" s="23"/>
      <c r="MD261" s="23"/>
      <c r="ME261" s="23"/>
      <c r="MF261" s="23"/>
      <c r="MG261" s="23"/>
      <c r="MH261" s="23"/>
      <c r="MI261" s="23"/>
      <c r="MJ261" s="23"/>
      <c r="MK261" s="23"/>
      <c r="ML261" s="23"/>
      <c r="MM261" s="23"/>
      <c r="MN261" s="23"/>
      <c r="MO261" s="23"/>
      <c r="MP261" s="23"/>
      <c r="MQ261" s="23"/>
      <c r="MR261" s="23"/>
      <c r="MS261" s="23"/>
      <c r="MT261" s="23"/>
      <c r="MU261" s="23"/>
      <c r="MV261" s="23"/>
      <c r="MW261" s="23"/>
      <c r="MX261" s="23"/>
      <c r="MY261" s="23"/>
      <c r="MZ261" s="23"/>
      <c r="NA261" s="23"/>
      <c r="NB261" s="23"/>
      <c r="NC261" s="23"/>
      <c r="ND261" s="23"/>
      <c r="NE261" s="23"/>
      <c r="NF261" s="23"/>
      <c r="NG261" s="23"/>
      <c r="NH261" s="23"/>
      <c r="NI261" s="23"/>
      <c r="NJ261" s="23"/>
      <c r="NK261" s="23"/>
      <c r="NL261" s="23"/>
      <c r="NM261" s="23"/>
      <c r="NN261" s="23"/>
      <c r="NO261" s="23"/>
      <c r="NP261" s="23"/>
      <c r="NQ261" s="23"/>
      <c r="NR261" s="23"/>
      <c r="NS261" s="23"/>
      <c r="NT261" s="23"/>
      <c r="NU261" s="23"/>
      <c r="NV261" s="23"/>
      <c r="NW261" s="23"/>
      <c r="NX261" s="23"/>
      <c r="NY261" s="23"/>
      <c r="NZ261" s="23"/>
      <c r="OA261" s="23"/>
      <c r="OB261" s="23"/>
      <c r="OC261" s="23"/>
      <c r="OD261" s="23"/>
      <c r="OE261" s="23"/>
      <c r="OF261" s="23"/>
      <c r="OG261" s="23"/>
      <c r="OH261" s="23"/>
      <c r="OI261" s="23"/>
      <c r="OJ261" s="23"/>
      <c r="OK261" s="23"/>
      <c r="OL261" s="23"/>
      <c r="OM261" s="23"/>
      <c r="ON261" s="23"/>
      <c r="OO261" s="23"/>
      <c r="OP261" s="23"/>
      <c r="OQ261" s="23"/>
      <c r="OR261" s="23"/>
      <c r="OS261" s="23"/>
      <c r="OT261" s="23"/>
      <c r="OU261" s="23"/>
      <c r="OV261" s="23"/>
      <c r="OW261" s="23"/>
      <c r="OX261" s="23"/>
      <c r="OY261" s="23"/>
      <c r="OZ261" s="23"/>
      <c r="PA261" s="23"/>
      <c r="PB261" s="23"/>
      <c r="PC261" s="23"/>
      <c r="PD261" s="23"/>
      <c r="PE261" s="23"/>
      <c r="PF261" s="23"/>
      <c r="PG261" s="23"/>
      <c r="PH261" s="23"/>
      <c r="PI261" s="23"/>
      <c r="PJ261" s="23"/>
      <c r="PK261" s="23"/>
      <c r="PL261" s="23"/>
      <c r="PM261" s="23"/>
      <c r="PN261" s="23"/>
      <c r="PO261" s="23"/>
      <c r="PP261" s="23"/>
      <c r="PQ261" s="23"/>
      <c r="PR261" s="23"/>
      <c r="PS261" s="23"/>
      <c r="PT261" s="23"/>
      <c r="PU261" s="23"/>
      <c r="PV261" s="23"/>
      <c r="PW261" s="23"/>
      <c r="PX261" s="23"/>
      <c r="PY261" s="23"/>
      <c r="PZ261" s="23"/>
      <c r="QA261" s="23"/>
      <c r="QB261" s="23"/>
      <c r="QC261" s="23"/>
      <c r="QD261" s="23"/>
      <c r="QE261" s="23"/>
      <c r="QF261" s="23"/>
      <c r="QG261" s="23"/>
      <c r="QH261" s="23"/>
      <c r="QI261" s="23"/>
      <c r="QJ261" s="23"/>
      <c r="QK261" s="23"/>
      <c r="QL261" s="23"/>
      <c r="QM261" s="23"/>
      <c r="QN261" s="23"/>
      <c r="QO261" s="23"/>
      <c r="QP261" s="23"/>
      <c r="QQ261" s="23"/>
      <c r="QR261" s="23"/>
      <c r="QS261" s="23"/>
      <c r="QT261" s="23"/>
      <c r="QU261" s="23"/>
      <c r="QV261" s="23"/>
      <c r="QW261" s="23"/>
      <c r="QX261" s="23"/>
      <c r="QY261" s="23"/>
      <c r="QZ261" s="23"/>
      <c r="RA261" s="23"/>
      <c r="RB261" s="23"/>
      <c r="RC261" s="23"/>
      <c r="RD261" s="23"/>
      <c r="RE261" s="23"/>
      <c r="RF261" s="23"/>
      <c r="RG261" s="23"/>
      <c r="RH261" s="23"/>
      <c r="RI261" s="23"/>
      <c r="RJ261" s="23"/>
      <c r="RK261" s="23"/>
      <c r="RL261" s="23"/>
      <c r="RM261" s="23"/>
      <c r="RN261" s="23"/>
      <c r="RO261" s="23"/>
      <c r="RP261" s="23"/>
      <c r="RQ261" s="23"/>
      <c r="RR261" s="23"/>
      <c r="RS261" s="23"/>
      <c r="RT261" s="23"/>
      <c r="RU261" s="23"/>
      <c r="RV261" s="23"/>
      <c r="RW261" s="23"/>
      <c r="RX261" s="23"/>
      <c r="RY261" s="23"/>
      <c r="RZ261" s="23"/>
      <c r="SA261" s="23"/>
      <c r="SB261" s="23"/>
      <c r="SC261" s="23"/>
      <c r="SD261" s="23"/>
      <c r="SE261" s="23"/>
      <c r="SF261" s="23"/>
      <c r="SG261" s="23"/>
      <c r="SH261" s="23"/>
      <c r="SI261" s="23"/>
      <c r="SJ261" s="23"/>
      <c r="SK261" s="23"/>
      <c r="SL261" s="23"/>
      <c r="SM261" s="23"/>
      <c r="SN261" s="23"/>
      <c r="SO261" s="23"/>
      <c r="SP261" s="23"/>
      <c r="SQ261" s="23"/>
      <c r="SR261" s="23"/>
      <c r="SS261" s="23"/>
      <c r="ST261" s="23"/>
      <c r="SU261" s="23"/>
      <c r="SV261" s="23"/>
      <c r="SW261" s="23"/>
      <c r="SX261" s="23"/>
      <c r="SY261" s="23"/>
      <c r="SZ261" s="23"/>
      <c r="TA261" s="23"/>
      <c r="TB261" s="23"/>
      <c r="TC261" s="23"/>
      <c r="TD261" s="23"/>
      <c r="TE261" s="23"/>
      <c r="TF261" s="23"/>
      <c r="TG261" s="23"/>
    </row>
    <row r="262" spans="1:527" s="22" customFormat="1" ht="18.75" x14ac:dyDescent="0.25">
      <c r="A262" s="60" t="s">
        <v>278</v>
      </c>
      <c r="B262" s="97" t="str">
        <f>'дод 5'!A172</f>
        <v>7321</v>
      </c>
      <c r="C262" s="97" t="str">
        <f>'дод 5'!B172</f>
        <v>0443</v>
      </c>
      <c r="D262" s="6" t="s">
        <v>562</v>
      </c>
      <c r="E262" s="103">
        <f t="shared" si="134"/>
        <v>0</v>
      </c>
      <c r="F262" s="103"/>
      <c r="G262" s="103"/>
      <c r="H262" s="103"/>
      <c r="I262" s="103"/>
      <c r="J262" s="103">
        <f t="shared" si="136"/>
        <v>120560</v>
      </c>
      <c r="K262" s="103">
        <f>42471+46089+10000+22000</f>
        <v>120560</v>
      </c>
      <c r="L262" s="103"/>
      <c r="M262" s="103"/>
      <c r="N262" s="103"/>
      <c r="O262" s="103">
        <f>42471+46089+10000+22000</f>
        <v>120560</v>
      </c>
      <c r="P262" s="103">
        <f t="shared" si="135"/>
        <v>120560</v>
      </c>
      <c r="Q262" s="188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  <c r="TG262" s="23"/>
    </row>
    <row r="263" spans="1:527" s="22" customFormat="1" ht="18.75" x14ac:dyDescent="0.25">
      <c r="A263" s="60" t="s">
        <v>280</v>
      </c>
      <c r="B263" s="97" t="str">
        <f>'дод 5'!A173</f>
        <v>7322</v>
      </c>
      <c r="C263" s="97" t="str">
        <f>'дод 5'!B173</f>
        <v>0443</v>
      </c>
      <c r="D263" s="6" t="s">
        <v>563</v>
      </c>
      <c r="E263" s="103">
        <f t="shared" si="134"/>
        <v>0</v>
      </c>
      <c r="F263" s="103"/>
      <c r="G263" s="103"/>
      <c r="H263" s="103"/>
      <c r="I263" s="103"/>
      <c r="J263" s="103">
        <f t="shared" si="136"/>
        <v>6800000</v>
      </c>
      <c r="K263" s="103">
        <f>3000000+1800000+2000000</f>
        <v>6800000</v>
      </c>
      <c r="L263" s="103"/>
      <c r="M263" s="103"/>
      <c r="N263" s="103"/>
      <c r="O263" s="103">
        <f>3000000+1800000+2000000</f>
        <v>6800000</v>
      </c>
      <c r="P263" s="103">
        <f t="shared" si="135"/>
        <v>6800000</v>
      </c>
      <c r="Q263" s="188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</row>
    <row r="264" spans="1:527" s="22" customFormat="1" ht="18.75" x14ac:dyDescent="0.25">
      <c r="A264" s="60" t="s">
        <v>579</v>
      </c>
      <c r="B264" s="97">
        <v>7324</v>
      </c>
      <c r="C264" s="97"/>
      <c r="D264" s="6" t="s">
        <v>565</v>
      </c>
      <c r="E264" s="103">
        <f t="shared" si="134"/>
        <v>0</v>
      </c>
      <c r="F264" s="103"/>
      <c r="G264" s="103"/>
      <c r="H264" s="103"/>
      <c r="I264" s="103"/>
      <c r="J264" s="103">
        <f t="shared" si="136"/>
        <v>400000</v>
      </c>
      <c r="K264" s="103">
        <v>400000</v>
      </c>
      <c r="L264" s="103"/>
      <c r="M264" s="103"/>
      <c r="N264" s="103"/>
      <c r="O264" s="103">
        <v>400000</v>
      </c>
      <c r="P264" s="103">
        <f t="shared" si="135"/>
        <v>400000</v>
      </c>
      <c r="Q264" s="188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</row>
    <row r="265" spans="1:527" s="22" customFormat="1" ht="34.5" x14ac:dyDescent="0.25">
      <c r="A265" s="60" t="s">
        <v>361</v>
      </c>
      <c r="B265" s="97">
        <f>'дод 5'!A176</f>
        <v>7325</v>
      </c>
      <c r="C265" s="60" t="s">
        <v>113</v>
      </c>
      <c r="D265" s="6" t="s">
        <v>560</v>
      </c>
      <c r="E265" s="103">
        <f t="shared" si="134"/>
        <v>0</v>
      </c>
      <c r="F265" s="103"/>
      <c r="G265" s="103"/>
      <c r="H265" s="103"/>
      <c r="I265" s="103"/>
      <c r="J265" s="103">
        <f t="shared" si="136"/>
        <v>1799440</v>
      </c>
      <c r="K265" s="103">
        <f>199440+1000000+600000</f>
        <v>1799440</v>
      </c>
      <c r="L265" s="103"/>
      <c r="M265" s="103"/>
      <c r="N265" s="103"/>
      <c r="O265" s="103">
        <f>199440+1000000+600000</f>
        <v>1799440</v>
      </c>
      <c r="P265" s="103">
        <f t="shared" si="135"/>
        <v>1799440</v>
      </c>
      <c r="Q265" s="188">
        <v>16</v>
      </c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</row>
    <row r="266" spans="1:527" s="22" customFormat="1" ht="18" customHeight="1" x14ac:dyDescent="0.25">
      <c r="A266" s="60" t="s">
        <v>282</v>
      </c>
      <c r="B266" s="97" t="str">
        <f>'дод 5'!A177</f>
        <v>7330</v>
      </c>
      <c r="C266" s="97" t="str">
        <f>'дод 5'!B177</f>
        <v>0443</v>
      </c>
      <c r="D266" s="6" t="s">
        <v>561</v>
      </c>
      <c r="E266" s="103">
        <f t="shared" si="134"/>
        <v>0</v>
      </c>
      <c r="F266" s="103"/>
      <c r="G266" s="103"/>
      <c r="H266" s="103"/>
      <c r="I266" s="103"/>
      <c r="J266" s="103">
        <f t="shared" si="136"/>
        <v>13686480</v>
      </c>
      <c r="K266" s="103">
        <f>39750000+1567447+258138-1800000+200000+135000+200000+95995-28000000+240000-70000+60000+30000-30000+49900+1000000</f>
        <v>13686480</v>
      </c>
      <c r="L266" s="103"/>
      <c r="M266" s="103"/>
      <c r="N266" s="103"/>
      <c r="O266" s="103">
        <f>39750000+1567447+258138-1800000+200000+135000+200000+95995-28000000+240000-70000+60000+30000-30000+49900+1000000</f>
        <v>13686480</v>
      </c>
      <c r="P266" s="103">
        <f t="shared" si="135"/>
        <v>13686480</v>
      </c>
      <c r="Q266" s="188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</row>
    <row r="267" spans="1:527" s="22" customFormat="1" ht="31.5" x14ac:dyDescent="0.25">
      <c r="A267" s="60" t="s">
        <v>430</v>
      </c>
      <c r="B267" s="97">
        <v>7340</v>
      </c>
      <c r="C267" s="60" t="s">
        <v>113</v>
      </c>
      <c r="D267" s="61" t="s">
        <v>1</v>
      </c>
      <c r="E267" s="103">
        <f t="shared" si="134"/>
        <v>0</v>
      </c>
      <c r="F267" s="103"/>
      <c r="G267" s="103"/>
      <c r="H267" s="103"/>
      <c r="I267" s="103"/>
      <c r="J267" s="103">
        <f t="shared" si="136"/>
        <v>1000000</v>
      </c>
      <c r="K267" s="103">
        <f>6000000-2067496-104420-86000-2742084</f>
        <v>1000000</v>
      </c>
      <c r="L267" s="103"/>
      <c r="M267" s="103"/>
      <c r="N267" s="103"/>
      <c r="O267" s="103">
        <f>6000000-2067496-104420-86000-2742084</f>
        <v>1000000</v>
      </c>
      <c r="P267" s="103">
        <f t="shared" si="135"/>
        <v>1000000</v>
      </c>
      <c r="Q267" s="188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  <c r="TF267" s="23"/>
      <c r="TG267" s="23"/>
    </row>
    <row r="268" spans="1:527" s="22" customFormat="1" ht="53.25" customHeight="1" x14ac:dyDescent="0.25">
      <c r="A268" s="60" t="s">
        <v>373</v>
      </c>
      <c r="B268" s="97">
        <f>'дод 5'!A180</f>
        <v>7361</v>
      </c>
      <c r="C268" s="97" t="str">
        <f>'дод 5'!B180</f>
        <v>0490</v>
      </c>
      <c r="D268" s="61" t="str">
        <f>'дод 5'!C180</f>
        <v>Співфінансування інвестиційних проектів, що реалізуються за рахунок коштів державного фонду регіонального розвитку</v>
      </c>
      <c r="E268" s="103">
        <f t="shared" ref="E268" si="137">F268+I268</f>
        <v>0</v>
      </c>
      <c r="F268" s="103"/>
      <c r="G268" s="103"/>
      <c r="H268" s="103"/>
      <c r="I268" s="103"/>
      <c r="J268" s="103">
        <f t="shared" ref="J268" si="138">L268+O268</f>
        <v>53172673</v>
      </c>
      <c r="K268" s="103">
        <f>10172673+28000000+15000000</f>
        <v>53172673</v>
      </c>
      <c r="L268" s="103"/>
      <c r="M268" s="103"/>
      <c r="N268" s="103"/>
      <c r="O268" s="103">
        <f>10172673+28000000+15000000</f>
        <v>53172673</v>
      </c>
      <c r="P268" s="103">
        <f t="shared" si="135"/>
        <v>53172673</v>
      </c>
      <c r="Q268" s="188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  <c r="TF268" s="23"/>
      <c r="TG268" s="23"/>
    </row>
    <row r="269" spans="1:527" s="22" customFormat="1" ht="47.25" hidden="1" customHeight="1" x14ac:dyDescent="0.25">
      <c r="A269" s="60" t="s">
        <v>368</v>
      </c>
      <c r="B269" s="97">
        <v>7363</v>
      </c>
      <c r="C269" s="60" t="s">
        <v>84</v>
      </c>
      <c r="D269" s="61" t="s">
        <v>400</v>
      </c>
      <c r="E269" s="103">
        <f t="shared" si="134"/>
        <v>0</v>
      </c>
      <c r="F269" s="103"/>
      <c r="G269" s="103"/>
      <c r="H269" s="103"/>
      <c r="I269" s="103"/>
      <c r="J269" s="103">
        <f t="shared" si="136"/>
        <v>0</v>
      </c>
      <c r="K269" s="103"/>
      <c r="L269" s="103"/>
      <c r="M269" s="103"/>
      <c r="N269" s="103"/>
      <c r="O269" s="103"/>
      <c r="P269" s="103">
        <f t="shared" si="135"/>
        <v>0</v>
      </c>
      <c r="Q269" s="188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  <c r="TG269" s="23"/>
    </row>
    <row r="270" spans="1:527" s="22" customFormat="1" ht="31.5" x14ac:dyDescent="0.25">
      <c r="A270" s="60" t="s">
        <v>433</v>
      </c>
      <c r="B270" s="97">
        <v>7370</v>
      </c>
      <c r="C270" s="60" t="s">
        <v>84</v>
      </c>
      <c r="D270" s="61" t="s">
        <v>434</v>
      </c>
      <c r="E270" s="103">
        <f>F270+I270</f>
        <v>104420</v>
      </c>
      <c r="F270" s="103">
        <v>104420</v>
      </c>
      <c r="G270" s="103"/>
      <c r="H270" s="103"/>
      <c r="I270" s="103"/>
      <c r="J270" s="103">
        <f t="shared" si="136"/>
        <v>0</v>
      </c>
      <c r="K270" s="103"/>
      <c r="L270" s="103"/>
      <c r="M270" s="103"/>
      <c r="N270" s="103"/>
      <c r="O270" s="103"/>
      <c r="P270" s="103">
        <f t="shared" si="135"/>
        <v>104420</v>
      </c>
      <c r="Q270" s="188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  <c r="TF270" s="23"/>
      <c r="TG270" s="23"/>
    </row>
    <row r="271" spans="1:527" s="22" customFormat="1" ht="21.75" customHeight="1" x14ac:dyDescent="0.25">
      <c r="A271" s="60" t="s">
        <v>148</v>
      </c>
      <c r="B271" s="97" t="str">
        <f>'дод 5'!A203</f>
        <v>7640</v>
      </c>
      <c r="C271" s="97" t="str">
        <f>'дод 5'!B203</f>
        <v>0470</v>
      </c>
      <c r="D271" s="61" t="s">
        <v>474</v>
      </c>
      <c r="E271" s="103">
        <f t="shared" si="134"/>
        <v>1015684.55</v>
      </c>
      <c r="F271" s="103">
        <f>1763607-797422.45+49500</f>
        <v>1015684.55</v>
      </c>
      <c r="G271" s="103"/>
      <c r="H271" s="103"/>
      <c r="I271" s="103"/>
      <c r="J271" s="103">
        <f t="shared" si="136"/>
        <v>139615838.44999999</v>
      </c>
      <c r="K271" s="103">
        <f>124644482+797422.45+2700000</f>
        <v>128141904.45</v>
      </c>
      <c r="L271" s="117"/>
      <c r="M271" s="103"/>
      <c r="N271" s="103"/>
      <c r="O271" s="103">
        <f>136118416+797422.45+2700000</f>
        <v>139615838.44999999</v>
      </c>
      <c r="P271" s="103">
        <f t="shared" si="135"/>
        <v>140631523</v>
      </c>
      <c r="Q271" s="188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  <c r="TF271" s="23"/>
      <c r="TG271" s="23"/>
    </row>
    <row r="272" spans="1:527" s="24" customFormat="1" ht="17.25" customHeight="1" x14ac:dyDescent="0.25">
      <c r="A272" s="88"/>
      <c r="B272" s="115"/>
      <c r="C272" s="115"/>
      <c r="D272" s="89" t="s">
        <v>421</v>
      </c>
      <c r="E272" s="105">
        <f t="shared" si="134"/>
        <v>0</v>
      </c>
      <c r="F272" s="105"/>
      <c r="G272" s="105"/>
      <c r="H272" s="105"/>
      <c r="I272" s="105"/>
      <c r="J272" s="105">
        <f t="shared" si="136"/>
        <v>96859595</v>
      </c>
      <c r="K272" s="105">
        <v>96859595</v>
      </c>
      <c r="L272" s="118"/>
      <c r="M272" s="105"/>
      <c r="N272" s="105"/>
      <c r="O272" s="105">
        <v>96859595</v>
      </c>
      <c r="P272" s="105">
        <f t="shared" si="135"/>
        <v>96859595</v>
      </c>
      <c r="Q272" s="188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  <c r="EF272" s="30"/>
      <c r="EG272" s="30"/>
      <c r="EH272" s="30"/>
      <c r="EI272" s="30"/>
      <c r="EJ272" s="30"/>
      <c r="EK272" s="30"/>
      <c r="EL272" s="30"/>
      <c r="EM272" s="30"/>
      <c r="EN272" s="30"/>
      <c r="EO272" s="30"/>
      <c r="EP272" s="30"/>
      <c r="EQ272" s="30"/>
      <c r="ER272" s="30"/>
      <c r="ES272" s="30"/>
      <c r="ET272" s="30"/>
      <c r="EU272" s="30"/>
      <c r="EV272" s="30"/>
      <c r="EW272" s="30"/>
      <c r="EX272" s="30"/>
      <c r="EY272" s="30"/>
      <c r="EZ272" s="30"/>
      <c r="FA272" s="30"/>
      <c r="FB272" s="30"/>
      <c r="FC272" s="30"/>
      <c r="FD272" s="30"/>
      <c r="FE272" s="30"/>
      <c r="FF272" s="30"/>
      <c r="FG272" s="30"/>
      <c r="FH272" s="30"/>
      <c r="FI272" s="30"/>
      <c r="FJ272" s="30"/>
      <c r="FK272" s="30"/>
      <c r="FL272" s="30"/>
      <c r="FM272" s="30"/>
      <c r="FN272" s="30"/>
      <c r="FO272" s="30"/>
      <c r="FP272" s="30"/>
      <c r="FQ272" s="30"/>
      <c r="FR272" s="30"/>
      <c r="FS272" s="30"/>
      <c r="FT272" s="30"/>
      <c r="FU272" s="30"/>
      <c r="FV272" s="30"/>
      <c r="FW272" s="30"/>
      <c r="FX272" s="30"/>
      <c r="FY272" s="30"/>
      <c r="FZ272" s="30"/>
      <c r="GA272" s="30"/>
      <c r="GB272" s="30"/>
      <c r="GC272" s="30"/>
      <c r="GD272" s="30"/>
      <c r="GE272" s="30"/>
      <c r="GF272" s="30"/>
      <c r="GG272" s="30"/>
      <c r="GH272" s="30"/>
      <c r="GI272" s="30"/>
      <c r="GJ272" s="30"/>
      <c r="GK272" s="30"/>
      <c r="GL272" s="30"/>
      <c r="GM272" s="30"/>
      <c r="GN272" s="30"/>
      <c r="GO272" s="30"/>
      <c r="GP272" s="30"/>
      <c r="GQ272" s="30"/>
      <c r="GR272" s="30"/>
      <c r="GS272" s="30"/>
      <c r="GT272" s="30"/>
      <c r="GU272" s="30"/>
      <c r="GV272" s="30"/>
      <c r="GW272" s="30"/>
      <c r="GX272" s="30"/>
      <c r="GY272" s="30"/>
      <c r="GZ272" s="30"/>
      <c r="HA272" s="30"/>
      <c r="HB272" s="30"/>
      <c r="HC272" s="30"/>
      <c r="HD272" s="30"/>
      <c r="HE272" s="30"/>
      <c r="HF272" s="30"/>
      <c r="HG272" s="30"/>
      <c r="HH272" s="30"/>
      <c r="HI272" s="30"/>
      <c r="HJ272" s="30"/>
      <c r="HK272" s="30"/>
      <c r="HL272" s="30"/>
      <c r="HM272" s="30"/>
      <c r="HN272" s="30"/>
      <c r="HO272" s="30"/>
      <c r="HP272" s="30"/>
      <c r="HQ272" s="30"/>
      <c r="HR272" s="30"/>
      <c r="HS272" s="30"/>
      <c r="HT272" s="30"/>
      <c r="HU272" s="30"/>
      <c r="HV272" s="30"/>
      <c r="HW272" s="30"/>
      <c r="HX272" s="30"/>
      <c r="HY272" s="30"/>
      <c r="HZ272" s="30"/>
      <c r="IA272" s="30"/>
      <c r="IB272" s="30"/>
      <c r="IC272" s="30"/>
      <c r="ID272" s="30"/>
      <c r="IE272" s="30"/>
      <c r="IF272" s="30"/>
      <c r="IG272" s="30"/>
      <c r="IH272" s="30"/>
      <c r="II272" s="30"/>
      <c r="IJ272" s="30"/>
      <c r="IK272" s="30"/>
      <c r="IL272" s="30"/>
      <c r="IM272" s="30"/>
      <c r="IN272" s="30"/>
      <c r="IO272" s="30"/>
      <c r="IP272" s="30"/>
      <c r="IQ272" s="30"/>
      <c r="IR272" s="30"/>
      <c r="IS272" s="30"/>
      <c r="IT272" s="30"/>
      <c r="IU272" s="30"/>
      <c r="IV272" s="30"/>
      <c r="IW272" s="30"/>
      <c r="IX272" s="30"/>
      <c r="IY272" s="30"/>
      <c r="IZ272" s="30"/>
      <c r="JA272" s="30"/>
      <c r="JB272" s="30"/>
      <c r="JC272" s="30"/>
      <c r="JD272" s="30"/>
      <c r="JE272" s="30"/>
      <c r="JF272" s="30"/>
      <c r="JG272" s="30"/>
      <c r="JH272" s="30"/>
      <c r="JI272" s="30"/>
      <c r="JJ272" s="30"/>
      <c r="JK272" s="30"/>
      <c r="JL272" s="30"/>
      <c r="JM272" s="30"/>
      <c r="JN272" s="30"/>
      <c r="JO272" s="30"/>
      <c r="JP272" s="30"/>
      <c r="JQ272" s="30"/>
      <c r="JR272" s="30"/>
      <c r="JS272" s="30"/>
      <c r="JT272" s="30"/>
      <c r="JU272" s="30"/>
      <c r="JV272" s="30"/>
      <c r="JW272" s="30"/>
      <c r="JX272" s="30"/>
      <c r="JY272" s="30"/>
      <c r="JZ272" s="30"/>
      <c r="KA272" s="30"/>
      <c r="KB272" s="30"/>
      <c r="KC272" s="30"/>
      <c r="KD272" s="30"/>
      <c r="KE272" s="30"/>
      <c r="KF272" s="30"/>
      <c r="KG272" s="30"/>
      <c r="KH272" s="30"/>
      <c r="KI272" s="30"/>
      <c r="KJ272" s="30"/>
      <c r="KK272" s="30"/>
      <c r="KL272" s="30"/>
      <c r="KM272" s="30"/>
      <c r="KN272" s="30"/>
      <c r="KO272" s="30"/>
      <c r="KP272" s="30"/>
      <c r="KQ272" s="30"/>
      <c r="KR272" s="30"/>
      <c r="KS272" s="30"/>
      <c r="KT272" s="30"/>
      <c r="KU272" s="30"/>
      <c r="KV272" s="30"/>
      <c r="KW272" s="30"/>
      <c r="KX272" s="30"/>
      <c r="KY272" s="30"/>
      <c r="KZ272" s="30"/>
      <c r="LA272" s="30"/>
      <c r="LB272" s="30"/>
      <c r="LC272" s="30"/>
      <c r="LD272" s="30"/>
      <c r="LE272" s="30"/>
      <c r="LF272" s="30"/>
      <c r="LG272" s="30"/>
      <c r="LH272" s="30"/>
      <c r="LI272" s="30"/>
      <c r="LJ272" s="30"/>
      <c r="LK272" s="30"/>
      <c r="LL272" s="30"/>
      <c r="LM272" s="30"/>
      <c r="LN272" s="30"/>
      <c r="LO272" s="30"/>
      <c r="LP272" s="30"/>
      <c r="LQ272" s="30"/>
      <c r="LR272" s="30"/>
      <c r="LS272" s="30"/>
      <c r="LT272" s="30"/>
      <c r="LU272" s="30"/>
      <c r="LV272" s="30"/>
      <c r="LW272" s="30"/>
      <c r="LX272" s="30"/>
      <c r="LY272" s="30"/>
      <c r="LZ272" s="30"/>
      <c r="MA272" s="30"/>
      <c r="MB272" s="30"/>
      <c r="MC272" s="30"/>
      <c r="MD272" s="30"/>
      <c r="ME272" s="30"/>
      <c r="MF272" s="30"/>
      <c r="MG272" s="30"/>
      <c r="MH272" s="30"/>
      <c r="MI272" s="30"/>
      <c r="MJ272" s="30"/>
      <c r="MK272" s="30"/>
      <c r="ML272" s="30"/>
      <c r="MM272" s="30"/>
      <c r="MN272" s="30"/>
      <c r="MO272" s="30"/>
      <c r="MP272" s="30"/>
      <c r="MQ272" s="30"/>
      <c r="MR272" s="30"/>
      <c r="MS272" s="30"/>
      <c r="MT272" s="30"/>
      <c r="MU272" s="30"/>
      <c r="MV272" s="30"/>
      <c r="MW272" s="30"/>
      <c r="MX272" s="30"/>
      <c r="MY272" s="30"/>
      <c r="MZ272" s="30"/>
      <c r="NA272" s="30"/>
      <c r="NB272" s="30"/>
      <c r="NC272" s="30"/>
      <c r="ND272" s="30"/>
      <c r="NE272" s="30"/>
      <c r="NF272" s="30"/>
      <c r="NG272" s="30"/>
      <c r="NH272" s="30"/>
      <c r="NI272" s="30"/>
      <c r="NJ272" s="30"/>
      <c r="NK272" s="30"/>
      <c r="NL272" s="30"/>
      <c r="NM272" s="30"/>
      <c r="NN272" s="30"/>
      <c r="NO272" s="30"/>
      <c r="NP272" s="30"/>
      <c r="NQ272" s="30"/>
      <c r="NR272" s="30"/>
      <c r="NS272" s="30"/>
      <c r="NT272" s="30"/>
      <c r="NU272" s="30"/>
      <c r="NV272" s="30"/>
      <c r="NW272" s="30"/>
      <c r="NX272" s="30"/>
      <c r="NY272" s="30"/>
      <c r="NZ272" s="30"/>
      <c r="OA272" s="30"/>
      <c r="OB272" s="30"/>
      <c r="OC272" s="30"/>
      <c r="OD272" s="30"/>
      <c r="OE272" s="30"/>
      <c r="OF272" s="30"/>
      <c r="OG272" s="30"/>
      <c r="OH272" s="30"/>
      <c r="OI272" s="30"/>
      <c r="OJ272" s="30"/>
      <c r="OK272" s="30"/>
      <c r="OL272" s="30"/>
      <c r="OM272" s="30"/>
      <c r="ON272" s="30"/>
      <c r="OO272" s="30"/>
      <c r="OP272" s="30"/>
      <c r="OQ272" s="30"/>
      <c r="OR272" s="30"/>
      <c r="OS272" s="30"/>
      <c r="OT272" s="30"/>
      <c r="OU272" s="30"/>
      <c r="OV272" s="30"/>
      <c r="OW272" s="30"/>
      <c r="OX272" s="30"/>
      <c r="OY272" s="30"/>
      <c r="OZ272" s="30"/>
      <c r="PA272" s="30"/>
      <c r="PB272" s="30"/>
      <c r="PC272" s="30"/>
      <c r="PD272" s="30"/>
      <c r="PE272" s="30"/>
      <c r="PF272" s="30"/>
      <c r="PG272" s="30"/>
      <c r="PH272" s="30"/>
      <c r="PI272" s="30"/>
      <c r="PJ272" s="30"/>
      <c r="PK272" s="30"/>
      <c r="PL272" s="30"/>
      <c r="PM272" s="30"/>
      <c r="PN272" s="30"/>
      <c r="PO272" s="30"/>
      <c r="PP272" s="30"/>
      <c r="PQ272" s="30"/>
      <c r="PR272" s="30"/>
      <c r="PS272" s="30"/>
      <c r="PT272" s="30"/>
      <c r="PU272" s="30"/>
      <c r="PV272" s="30"/>
      <c r="PW272" s="30"/>
      <c r="PX272" s="30"/>
      <c r="PY272" s="30"/>
      <c r="PZ272" s="30"/>
      <c r="QA272" s="30"/>
      <c r="QB272" s="30"/>
      <c r="QC272" s="30"/>
      <c r="QD272" s="30"/>
      <c r="QE272" s="30"/>
      <c r="QF272" s="30"/>
      <c r="QG272" s="30"/>
      <c r="QH272" s="30"/>
      <c r="QI272" s="30"/>
      <c r="QJ272" s="30"/>
      <c r="QK272" s="30"/>
      <c r="QL272" s="30"/>
      <c r="QM272" s="30"/>
      <c r="QN272" s="30"/>
      <c r="QO272" s="30"/>
      <c r="QP272" s="30"/>
      <c r="QQ272" s="30"/>
      <c r="QR272" s="30"/>
      <c r="QS272" s="30"/>
      <c r="QT272" s="30"/>
      <c r="QU272" s="30"/>
      <c r="QV272" s="30"/>
      <c r="QW272" s="30"/>
      <c r="QX272" s="30"/>
      <c r="QY272" s="30"/>
      <c r="QZ272" s="30"/>
      <c r="RA272" s="30"/>
      <c r="RB272" s="30"/>
      <c r="RC272" s="30"/>
      <c r="RD272" s="30"/>
      <c r="RE272" s="30"/>
      <c r="RF272" s="30"/>
      <c r="RG272" s="30"/>
      <c r="RH272" s="30"/>
      <c r="RI272" s="30"/>
      <c r="RJ272" s="30"/>
      <c r="RK272" s="30"/>
      <c r="RL272" s="30"/>
      <c r="RM272" s="30"/>
      <c r="RN272" s="30"/>
      <c r="RO272" s="30"/>
      <c r="RP272" s="30"/>
      <c r="RQ272" s="30"/>
      <c r="RR272" s="30"/>
      <c r="RS272" s="30"/>
      <c r="RT272" s="30"/>
      <c r="RU272" s="30"/>
      <c r="RV272" s="30"/>
      <c r="RW272" s="30"/>
      <c r="RX272" s="30"/>
      <c r="RY272" s="30"/>
      <c r="RZ272" s="30"/>
      <c r="SA272" s="30"/>
      <c r="SB272" s="30"/>
      <c r="SC272" s="30"/>
      <c r="SD272" s="30"/>
      <c r="SE272" s="30"/>
      <c r="SF272" s="30"/>
      <c r="SG272" s="30"/>
      <c r="SH272" s="30"/>
      <c r="SI272" s="30"/>
      <c r="SJ272" s="30"/>
      <c r="SK272" s="30"/>
      <c r="SL272" s="30"/>
      <c r="SM272" s="30"/>
      <c r="SN272" s="30"/>
      <c r="SO272" s="30"/>
      <c r="SP272" s="30"/>
      <c r="SQ272" s="30"/>
      <c r="SR272" s="30"/>
      <c r="SS272" s="30"/>
      <c r="ST272" s="30"/>
      <c r="SU272" s="30"/>
      <c r="SV272" s="30"/>
      <c r="SW272" s="30"/>
      <c r="SX272" s="30"/>
      <c r="SY272" s="30"/>
      <c r="SZ272" s="30"/>
      <c r="TA272" s="30"/>
      <c r="TB272" s="30"/>
      <c r="TC272" s="30"/>
      <c r="TD272" s="30"/>
      <c r="TE272" s="30"/>
      <c r="TF272" s="30"/>
      <c r="TG272" s="30"/>
    </row>
    <row r="273" spans="1:527" s="22" customFormat="1" ht="126" hidden="1" customHeight="1" x14ac:dyDescent="0.25">
      <c r="A273" s="60" t="s">
        <v>371</v>
      </c>
      <c r="B273" s="97">
        <v>7691</v>
      </c>
      <c r="C273" s="37" t="s">
        <v>84</v>
      </c>
      <c r="D273" s="61" t="s">
        <v>316</v>
      </c>
      <c r="E273" s="103">
        <f t="shared" si="134"/>
        <v>0</v>
      </c>
      <c r="F273" s="103"/>
      <c r="G273" s="103"/>
      <c r="H273" s="103"/>
      <c r="I273" s="103"/>
      <c r="J273" s="103">
        <f t="shared" si="136"/>
        <v>0</v>
      </c>
      <c r="K273" s="103"/>
      <c r="L273" s="117"/>
      <c r="M273" s="103"/>
      <c r="N273" s="103"/>
      <c r="O273" s="103"/>
      <c r="P273" s="103">
        <f t="shared" si="135"/>
        <v>0</v>
      </c>
      <c r="Q273" s="188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  <c r="TF273" s="23"/>
      <c r="TG273" s="23"/>
    </row>
    <row r="274" spans="1:527" s="22" customFormat="1" ht="33.75" customHeight="1" x14ac:dyDescent="0.25">
      <c r="A274" s="60" t="s">
        <v>541</v>
      </c>
      <c r="B274" s="97">
        <v>9750</v>
      </c>
      <c r="C274" s="60" t="s">
        <v>46</v>
      </c>
      <c r="D274" s="61" t="s">
        <v>542</v>
      </c>
      <c r="E274" s="103">
        <f t="shared" ref="E274" si="139">F274+I274</f>
        <v>0</v>
      </c>
      <c r="F274" s="103"/>
      <c r="G274" s="103"/>
      <c r="H274" s="103"/>
      <c r="I274" s="103"/>
      <c r="J274" s="103">
        <f t="shared" ref="J274" si="140">L274+O274</f>
        <v>86000</v>
      </c>
      <c r="K274" s="103">
        <v>86000</v>
      </c>
      <c r="L274" s="117"/>
      <c r="M274" s="103"/>
      <c r="N274" s="103"/>
      <c r="O274" s="103">
        <v>86000</v>
      </c>
      <c r="P274" s="103">
        <f t="shared" ref="P274" si="141">E274+J274</f>
        <v>86000</v>
      </c>
      <c r="Q274" s="188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  <c r="TF274" s="23"/>
      <c r="TG274" s="23"/>
    </row>
    <row r="275" spans="1:527" s="27" customFormat="1" ht="30.75" customHeight="1" x14ac:dyDescent="0.25">
      <c r="A275" s="114" t="s">
        <v>209</v>
      </c>
      <c r="B275" s="116"/>
      <c r="C275" s="116"/>
      <c r="D275" s="111" t="s">
        <v>41</v>
      </c>
      <c r="E275" s="99">
        <f>E276</f>
        <v>11915178</v>
      </c>
      <c r="F275" s="99">
        <f t="shared" ref="F275:J275" si="142">F276</f>
        <v>11915178</v>
      </c>
      <c r="G275" s="99">
        <f t="shared" si="142"/>
        <v>7405200</v>
      </c>
      <c r="H275" s="99">
        <f t="shared" si="142"/>
        <v>126922</v>
      </c>
      <c r="I275" s="99">
        <f t="shared" si="142"/>
        <v>0</v>
      </c>
      <c r="J275" s="99">
        <f t="shared" si="142"/>
        <v>2596250.2999999998</v>
      </c>
      <c r="K275" s="99">
        <f t="shared" ref="K275" si="143">K276</f>
        <v>0</v>
      </c>
      <c r="L275" s="99">
        <f t="shared" ref="L275" si="144">L276</f>
        <v>2596250.2999999998</v>
      </c>
      <c r="M275" s="99">
        <f t="shared" ref="M275" si="145">M276</f>
        <v>0</v>
      </c>
      <c r="N275" s="99">
        <f t="shared" ref="N275" si="146">N276</f>
        <v>0</v>
      </c>
      <c r="O275" s="99">
        <f t="shared" ref="O275:P275" si="147">O276</f>
        <v>0</v>
      </c>
      <c r="P275" s="99">
        <f t="shared" si="147"/>
        <v>14511428.300000001</v>
      </c>
      <c r="Q275" s="188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  <c r="IT275" s="32"/>
      <c r="IU275" s="32"/>
      <c r="IV275" s="32"/>
      <c r="IW275" s="32"/>
      <c r="IX275" s="32"/>
      <c r="IY275" s="32"/>
      <c r="IZ275" s="32"/>
      <c r="JA275" s="32"/>
      <c r="JB275" s="32"/>
      <c r="JC275" s="32"/>
      <c r="JD275" s="32"/>
      <c r="JE275" s="32"/>
      <c r="JF275" s="32"/>
      <c r="JG275" s="32"/>
      <c r="JH275" s="32"/>
      <c r="JI275" s="32"/>
      <c r="JJ275" s="32"/>
      <c r="JK275" s="32"/>
      <c r="JL275" s="32"/>
      <c r="JM275" s="32"/>
      <c r="JN275" s="32"/>
      <c r="JO275" s="32"/>
      <c r="JP275" s="32"/>
      <c r="JQ275" s="32"/>
      <c r="JR275" s="32"/>
      <c r="JS275" s="32"/>
      <c r="JT275" s="32"/>
      <c r="JU275" s="32"/>
      <c r="JV275" s="32"/>
      <c r="JW275" s="32"/>
      <c r="JX275" s="32"/>
      <c r="JY275" s="32"/>
      <c r="JZ275" s="32"/>
      <c r="KA275" s="32"/>
      <c r="KB275" s="32"/>
      <c r="KC275" s="32"/>
      <c r="KD275" s="32"/>
      <c r="KE275" s="32"/>
      <c r="KF275" s="32"/>
      <c r="KG275" s="32"/>
      <c r="KH275" s="32"/>
      <c r="KI275" s="32"/>
      <c r="KJ275" s="32"/>
      <c r="KK275" s="32"/>
      <c r="KL275" s="32"/>
      <c r="KM275" s="32"/>
      <c r="KN275" s="32"/>
      <c r="KO275" s="32"/>
      <c r="KP275" s="32"/>
      <c r="KQ275" s="32"/>
      <c r="KR275" s="32"/>
      <c r="KS275" s="32"/>
      <c r="KT275" s="32"/>
      <c r="KU275" s="32"/>
      <c r="KV275" s="32"/>
      <c r="KW275" s="32"/>
      <c r="KX275" s="32"/>
      <c r="KY275" s="32"/>
      <c r="KZ275" s="32"/>
      <c r="LA275" s="32"/>
      <c r="LB275" s="32"/>
      <c r="LC275" s="32"/>
      <c r="LD275" s="32"/>
      <c r="LE275" s="32"/>
      <c r="LF275" s="32"/>
      <c r="LG275" s="32"/>
      <c r="LH275" s="32"/>
      <c r="LI275" s="32"/>
      <c r="LJ275" s="32"/>
      <c r="LK275" s="32"/>
      <c r="LL275" s="32"/>
      <c r="LM275" s="32"/>
      <c r="LN275" s="32"/>
      <c r="LO275" s="32"/>
      <c r="LP275" s="32"/>
      <c r="LQ275" s="32"/>
      <c r="LR275" s="32"/>
      <c r="LS275" s="32"/>
      <c r="LT275" s="32"/>
      <c r="LU275" s="32"/>
      <c r="LV275" s="32"/>
      <c r="LW275" s="32"/>
      <c r="LX275" s="32"/>
      <c r="LY275" s="32"/>
      <c r="LZ275" s="32"/>
      <c r="MA275" s="32"/>
      <c r="MB275" s="32"/>
      <c r="MC275" s="32"/>
      <c r="MD275" s="32"/>
      <c r="ME275" s="32"/>
      <c r="MF275" s="32"/>
      <c r="MG275" s="32"/>
      <c r="MH275" s="32"/>
      <c r="MI275" s="32"/>
      <c r="MJ275" s="32"/>
      <c r="MK275" s="32"/>
      <c r="ML275" s="32"/>
      <c r="MM275" s="32"/>
      <c r="MN275" s="32"/>
      <c r="MO275" s="32"/>
      <c r="MP275" s="32"/>
      <c r="MQ275" s="32"/>
      <c r="MR275" s="32"/>
      <c r="MS275" s="32"/>
      <c r="MT275" s="32"/>
      <c r="MU275" s="32"/>
      <c r="MV275" s="32"/>
      <c r="MW275" s="32"/>
      <c r="MX275" s="32"/>
      <c r="MY275" s="32"/>
      <c r="MZ275" s="32"/>
      <c r="NA275" s="32"/>
      <c r="NB275" s="32"/>
      <c r="NC275" s="32"/>
      <c r="ND275" s="32"/>
      <c r="NE275" s="32"/>
      <c r="NF275" s="32"/>
      <c r="NG275" s="32"/>
      <c r="NH275" s="32"/>
      <c r="NI275" s="32"/>
      <c r="NJ275" s="32"/>
      <c r="NK275" s="32"/>
      <c r="NL275" s="32"/>
      <c r="NM275" s="32"/>
      <c r="NN275" s="32"/>
      <c r="NO275" s="32"/>
      <c r="NP275" s="32"/>
      <c r="NQ275" s="32"/>
      <c r="NR275" s="32"/>
      <c r="NS275" s="32"/>
      <c r="NT275" s="32"/>
      <c r="NU275" s="32"/>
      <c r="NV275" s="32"/>
      <c r="NW275" s="32"/>
      <c r="NX275" s="32"/>
      <c r="NY275" s="32"/>
      <c r="NZ275" s="32"/>
      <c r="OA275" s="32"/>
      <c r="OB275" s="32"/>
      <c r="OC275" s="32"/>
      <c r="OD275" s="32"/>
      <c r="OE275" s="32"/>
      <c r="OF275" s="32"/>
      <c r="OG275" s="32"/>
      <c r="OH275" s="32"/>
      <c r="OI275" s="32"/>
      <c r="OJ275" s="32"/>
      <c r="OK275" s="32"/>
      <c r="OL275" s="32"/>
      <c r="OM275" s="32"/>
      <c r="ON275" s="32"/>
      <c r="OO275" s="32"/>
      <c r="OP275" s="32"/>
      <c r="OQ275" s="32"/>
      <c r="OR275" s="32"/>
      <c r="OS275" s="32"/>
      <c r="OT275" s="32"/>
      <c r="OU275" s="32"/>
      <c r="OV275" s="32"/>
      <c r="OW275" s="32"/>
      <c r="OX275" s="32"/>
      <c r="OY275" s="32"/>
      <c r="OZ275" s="32"/>
      <c r="PA275" s="32"/>
      <c r="PB275" s="32"/>
      <c r="PC275" s="32"/>
      <c r="PD275" s="32"/>
      <c r="PE275" s="32"/>
      <c r="PF275" s="32"/>
      <c r="PG275" s="32"/>
      <c r="PH275" s="32"/>
      <c r="PI275" s="32"/>
      <c r="PJ275" s="32"/>
      <c r="PK275" s="32"/>
      <c r="PL275" s="32"/>
      <c r="PM275" s="32"/>
      <c r="PN275" s="32"/>
      <c r="PO275" s="32"/>
      <c r="PP275" s="32"/>
      <c r="PQ275" s="32"/>
      <c r="PR275" s="32"/>
      <c r="PS275" s="32"/>
      <c r="PT275" s="32"/>
      <c r="PU275" s="32"/>
      <c r="PV275" s="32"/>
      <c r="PW275" s="32"/>
      <c r="PX275" s="32"/>
      <c r="PY275" s="32"/>
      <c r="PZ275" s="32"/>
      <c r="QA275" s="32"/>
      <c r="QB275" s="32"/>
      <c r="QC275" s="32"/>
      <c r="QD275" s="32"/>
      <c r="QE275" s="32"/>
      <c r="QF275" s="32"/>
      <c r="QG275" s="32"/>
      <c r="QH275" s="32"/>
      <c r="QI275" s="32"/>
      <c r="QJ275" s="32"/>
      <c r="QK275" s="32"/>
      <c r="QL275" s="32"/>
      <c r="QM275" s="32"/>
      <c r="QN275" s="32"/>
      <c r="QO275" s="32"/>
      <c r="QP275" s="32"/>
      <c r="QQ275" s="32"/>
      <c r="QR275" s="32"/>
      <c r="QS275" s="32"/>
      <c r="QT275" s="32"/>
      <c r="QU275" s="32"/>
      <c r="QV275" s="32"/>
      <c r="QW275" s="32"/>
      <c r="QX275" s="32"/>
      <c r="QY275" s="32"/>
      <c r="QZ275" s="32"/>
      <c r="RA275" s="32"/>
      <c r="RB275" s="32"/>
      <c r="RC275" s="32"/>
      <c r="RD275" s="32"/>
      <c r="RE275" s="32"/>
      <c r="RF275" s="32"/>
      <c r="RG275" s="32"/>
      <c r="RH275" s="32"/>
      <c r="RI275" s="32"/>
      <c r="RJ275" s="32"/>
      <c r="RK275" s="32"/>
      <c r="RL275" s="32"/>
      <c r="RM275" s="32"/>
      <c r="RN275" s="32"/>
      <c r="RO275" s="32"/>
      <c r="RP275" s="32"/>
      <c r="RQ275" s="32"/>
      <c r="RR275" s="32"/>
      <c r="RS275" s="32"/>
      <c r="RT275" s="32"/>
      <c r="RU275" s="32"/>
      <c r="RV275" s="32"/>
      <c r="RW275" s="32"/>
      <c r="RX275" s="32"/>
      <c r="RY275" s="32"/>
      <c r="RZ275" s="32"/>
      <c r="SA275" s="32"/>
      <c r="SB275" s="32"/>
      <c r="SC275" s="32"/>
      <c r="SD275" s="32"/>
      <c r="SE275" s="32"/>
      <c r="SF275" s="32"/>
      <c r="SG275" s="32"/>
      <c r="SH275" s="32"/>
      <c r="SI275" s="32"/>
      <c r="SJ275" s="32"/>
      <c r="SK275" s="32"/>
      <c r="SL275" s="32"/>
      <c r="SM275" s="32"/>
      <c r="SN275" s="32"/>
      <c r="SO275" s="32"/>
      <c r="SP275" s="32"/>
      <c r="SQ275" s="32"/>
      <c r="SR275" s="32"/>
      <c r="SS275" s="32"/>
      <c r="ST275" s="32"/>
      <c r="SU275" s="32"/>
      <c r="SV275" s="32"/>
      <c r="SW275" s="32"/>
      <c r="SX275" s="32"/>
      <c r="SY275" s="32"/>
      <c r="SZ275" s="32"/>
      <c r="TA275" s="32"/>
      <c r="TB275" s="32"/>
      <c r="TC275" s="32"/>
      <c r="TD275" s="32"/>
      <c r="TE275" s="32"/>
      <c r="TF275" s="32"/>
      <c r="TG275" s="32"/>
    </row>
    <row r="276" spans="1:527" s="34" customFormat="1" ht="35.25" customHeight="1" x14ac:dyDescent="0.25">
      <c r="A276" s="100" t="s">
        <v>210</v>
      </c>
      <c r="B276" s="113"/>
      <c r="C276" s="113"/>
      <c r="D276" s="81" t="s">
        <v>41</v>
      </c>
      <c r="E276" s="102">
        <f>E277+E278+E279+E280+E281</f>
        <v>11915178</v>
      </c>
      <c r="F276" s="102">
        <f>F277+F278+F279+F280+F281</f>
        <v>11915178</v>
      </c>
      <c r="G276" s="102">
        <f t="shared" ref="G276:P276" si="148">G277+G278+G279+G280+G281</f>
        <v>7405200</v>
      </c>
      <c r="H276" s="102">
        <f t="shared" si="148"/>
        <v>126922</v>
      </c>
      <c r="I276" s="102">
        <f t="shared" si="148"/>
        <v>0</v>
      </c>
      <c r="J276" s="102">
        <f t="shared" si="148"/>
        <v>2596250.2999999998</v>
      </c>
      <c r="K276" s="102">
        <f t="shared" si="148"/>
        <v>0</v>
      </c>
      <c r="L276" s="102">
        <f t="shared" si="148"/>
        <v>2596250.2999999998</v>
      </c>
      <c r="M276" s="102">
        <f t="shared" si="148"/>
        <v>0</v>
      </c>
      <c r="N276" s="102">
        <f t="shared" si="148"/>
        <v>0</v>
      </c>
      <c r="O276" s="102">
        <f t="shared" si="148"/>
        <v>0</v>
      </c>
      <c r="P276" s="102">
        <f t="shared" si="148"/>
        <v>14511428.300000001</v>
      </c>
      <c r="Q276" s="188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  <c r="IU276" s="33"/>
      <c r="IV276" s="33"/>
      <c r="IW276" s="33"/>
      <c r="IX276" s="33"/>
      <c r="IY276" s="33"/>
      <c r="IZ276" s="33"/>
      <c r="JA276" s="33"/>
      <c r="JB276" s="33"/>
      <c r="JC276" s="33"/>
      <c r="JD276" s="33"/>
      <c r="JE276" s="33"/>
      <c r="JF276" s="33"/>
      <c r="JG276" s="33"/>
      <c r="JH276" s="33"/>
      <c r="JI276" s="33"/>
      <c r="JJ276" s="33"/>
      <c r="JK276" s="33"/>
      <c r="JL276" s="33"/>
      <c r="JM276" s="33"/>
      <c r="JN276" s="33"/>
      <c r="JO276" s="33"/>
      <c r="JP276" s="33"/>
      <c r="JQ276" s="33"/>
      <c r="JR276" s="33"/>
      <c r="JS276" s="33"/>
      <c r="JT276" s="33"/>
      <c r="JU276" s="33"/>
      <c r="JV276" s="33"/>
      <c r="JW276" s="33"/>
      <c r="JX276" s="33"/>
      <c r="JY276" s="33"/>
      <c r="JZ276" s="33"/>
      <c r="KA276" s="33"/>
      <c r="KB276" s="33"/>
      <c r="KC276" s="33"/>
      <c r="KD276" s="33"/>
      <c r="KE276" s="33"/>
      <c r="KF276" s="33"/>
      <c r="KG276" s="33"/>
      <c r="KH276" s="33"/>
      <c r="KI276" s="33"/>
      <c r="KJ276" s="33"/>
      <c r="KK276" s="33"/>
      <c r="KL276" s="33"/>
      <c r="KM276" s="33"/>
      <c r="KN276" s="33"/>
      <c r="KO276" s="33"/>
      <c r="KP276" s="33"/>
      <c r="KQ276" s="33"/>
      <c r="KR276" s="33"/>
      <c r="KS276" s="33"/>
      <c r="KT276" s="33"/>
      <c r="KU276" s="33"/>
      <c r="KV276" s="33"/>
      <c r="KW276" s="33"/>
      <c r="KX276" s="33"/>
      <c r="KY276" s="33"/>
      <c r="KZ276" s="33"/>
      <c r="LA276" s="33"/>
      <c r="LB276" s="33"/>
      <c r="LC276" s="33"/>
      <c r="LD276" s="33"/>
      <c r="LE276" s="33"/>
      <c r="LF276" s="33"/>
      <c r="LG276" s="33"/>
      <c r="LH276" s="33"/>
      <c r="LI276" s="33"/>
      <c r="LJ276" s="33"/>
      <c r="LK276" s="33"/>
      <c r="LL276" s="33"/>
      <c r="LM276" s="33"/>
      <c r="LN276" s="33"/>
      <c r="LO276" s="33"/>
      <c r="LP276" s="33"/>
      <c r="LQ276" s="33"/>
      <c r="LR276" s="33"/>
      <c r="LS276" s="33"/>
      <c r="LT276" s="33"/>
      <c r="LU276" s="33"/>
      <c r="LV276" s="33"/>
      <c r="LW276" s="33"/>
      <c r="LX276" s="33"/>
      <c r="LY276" s="33"/>
      <c r="LZ276" s="33"/>
      <c r="MA276" s="33"/>
      <c r="MB276" s="33"/>
      <c r="MC276" s="33"/>
      <c r="MD276" s="33"/>
      <c r="ME276" s="33"/>
      <c r="MF276" s="33"/>
      <c r="MG276" s="33"/>
      <c r="MH276" s="33"/>
      <c r="MI276" s="33"/>
      <c r="MJ276" s="33"/>
      <c r="MK276" s="33"/>
      <c r="ML276" s="33"/>
      <c r="MM276" s="33"/>
      <c r="MN276" s="33"/>
      <c r="MO276" s="33"/>
      <c r="MP276" s="33"/>
      <c r="MQ276" s="33"/>
      <c r="MR276" s="33"/>
      <c r="MS276" s="33"/>
      <c r="MT276" s="33"/>
      <c r="MU276" s="33"/>
      <c r="MV276" s="33"/>
      <c r="MW276" s="33"/>
      <c r="MX276" s="33"/>
      <c r="MY276" s="33"/>
      <c r="MZ276" s="33"/>
      <c r="NA276" s="33"/>
      <c r="NB276" s="33"/>
      <c r="NC276" s="33"/>
      <c r="ND276" s="33"/>
      <c r="NE276" s="33"/>
      <c r="NF276" s="33"/>
      <c r="NG276" s="33"/>
      <c r="NH276" s="33"/>
      <c r="NI276" s="33"/>
      <c r="NJ276" s="33"/>
      <c r="NK276" s="33"/>
      <c r="NL276" s="33"/>
      <c r="NM276" s="33"/>
      <c r="NN276" s="33"/>
      <c r="NO276" s="33"/>
      <c r="NP276" s="33"/>
      <c r="NQ276" s="33"/>
      <c r="NR276" s="33"/>
      <c r="NS276" s="33"/>
      <c r="NT276" s="33"/>
      <c r="NU276" s="33"/>
      <c r="NV276" s="33"/>
      <c r="NW276" s="33"/>
      <c r="NX276" s="33"/>
      <c r="NY276" s="33"/>
      <c r="NZ276" s="33"/>
      <c r="OA276" s="33"/>
      <c r="OB276" s="33"/>
      <c r="OC276" s="33"/>
      <c r="OD276" s="33"/>
      <c r="OE276" s="33"/>
      <c r="OF276" s="33"/>
      <c r="OG276" s="33"/>
      <c r="OH276" s="33"/>
      <c r="OI276" s="33"/>
      <c r="OJ276" s="33"/>
      <c r="OK276" s="33"/>
      <c r="OL276" s="33"/>
      <c r="OM276" s="33"/>
      <c r="ON276" s="33"/>
      <c r="OO276" s="33"/>
      <c r="OP276" s="33"/>
      <c r="OQ276" s="33"/>
      <c r="OR276" s="33"/>
      <c r="OS276" s="33"/>
      <c r="OT276" s="33"/>
      <c r="OU276" s="33"/>
      <c r="OV276" s="33"/>
      <c r="OW276" s="33"/>
      <c r="OX276" s="33"/>
      <c r="OY276" s="33"/>
      <c r="OZ276" s="33"/>
      <c r="PA276" s="33"/>
      <c r="PB276" s="33"/>
      <c r="PC276" s="33"/>
      <c r="PD276" s="33"/>
      <c r="PE276" s="33"/>
      <c r="PF276" s="33"/>
      <c r="PG276" s="33"/>
      <c r="PH276" s="33"/>
      <c r="PI276" s="33"/>
      <c r="PJ276" s="33"/>
      <c r="PK276" s="33"/>
      <c r="PL276" s="33"/>
      <c r="PM276" s="33"/>
      <c r="PN276" s="33"/>
      <c r="PO276" s="33"/>
      <c r="PP276" s="33"/>
      <c r="PQ276" s="33"/>
      <c r="PR276" s="33"/>
      <c r="PS276" s="33"/>
      <c r="PT276" s="33"/>
      <c r="PU276" s="33"/>
      <c r="PV276" s="33"/>
      <c r="PW276" s="33"/>
      <c r="PX276" s="33"/>
      <c r="PY276" s="33"/>
      <c r="PZ276" s="33"/>
      <c r="QA276" s="33"/>
      <c r="QB276" s="33"/>
      <c r="QC276" s="33"/>
      <c r="QD276" s="33"/>
      <c r="QE276" s="33"/>
      <c r="QF276" s="33"/>
      <c r="QG276" s="33"/>
      <c r="QH276" s="33"/>
      <c r="QI276" s="33"/>
      <c r="QJ276" s="33"/>
      <c r="QK276" s="33"/>
      <c r="QL276" s="33"/>
      <c r="QM276" s="33"/>
      <c r="QN276" s="33"/>
      <c r="QO276" s="33"/>
      <c r="QP276" s="33"/>
      <c r="QQ276" s="33"/>
      <c r="QR276" s="33"/>
      <c r="QS276" s="33"/>
      <c r="QT276" s="33"/>
      <c r="QU276" s="33"/>
      <c r="QV276" s="33"/>
      <c r="QW276" s="33"/>
      <c r="QX276" s="33"/>
      <c r="QY276" s="33"/>
      <c r="QZ276" s="33"/>
      <c r="RA276" s="33"/>
      <c r="RB276" s="33"/>
      <c r="RC276" s="33"/>
      <c r="RD276" s="33"/>
      <c r="RE276" s="33"/>
      <c r="RF276" s="33"/>
      <c r="RG276" s="33"/>
      <c r="RH276" s="33"/>
      <c r="RI276" s="33"/>
      <c r="RJ276" s="33"/>
      <c r="RK276" s="33"/>
      <c r="RL276" s="33"/>
      <c r="RM276" s="33"/>
      <c r="RN276" s="33"/>
      <c r="RO276" s="33"/>
      <c r="RP276" s="33"/>
      <c r="RQ276" s="33"/>
      <c r="RR276" s="33"/>
      <c r="RS276" s="33"/>
      <c r="RT276" s="33"/>
      <c r="RU276" s="33"/>
      <c r="RV276" s="33"/>
      <c r="RW276" s="33"/>
      <c r="RX276" s="33"/>
      <c r="RY276" s="33"/>
      <c r="RZ276" s="33"/>
      <c r="SA276" s="33"/>
      <c r="SB276" s="33"/>
      <c r="SC276" s="33"/>
      <c r="SD276" s="33"/>
      <c r="SE276" s="33"/>
      <c r="SF276" s="33"/>
      <c r="SG276" s="33"/>
      <c r="SH276" s="33"/>
      <c r="SI276" s="33"/>
      <c r="SJ276" s="33"/>
      <c r="SK276" s="33"/>
      <c r="SL276" s="33"/>
      <c r="SM276" s="33"/>
      <c r="SN276" s="33"/>
      <c r="SO276" s="33"/>
      <c r="SP276" s="33"/>
      <c r="SQ276" s="33"/>
      <c r="SR276" s="33"/>
      <c r="SS276" s="33"/>
      <c r="ST276" s="33"/>
      <c r="SU276" s="33"/>
      <c r="SV276" s="33"/>
      <c r="SW276" s="33"/>
      <c r="SX276" s="33"/>
      <c r="SY276" s="33"/>
      <c r="SZ276" s="33"/>
      <c r="TA276" s="33"/>
      <c r="TB276" s="33"/>
      <c r="TC276" s="33"/>
      <c r="TD276" s="33"/>
      <c r="TE276" s="33"/>
      <c r="TF276" s="33"/>
      <c r="TG276" s="33"/>
    </row>
    <row r="277" spans="1:527" s="22" customFormat="1" ht="47.25" x14ac:dyDescent="0.25">
      <c r="A277" s="60" t="s">
        <v>211</v>
      </c>
      <c r="B277" s="97" t="str">
        <f>'дод 5'!A20</f>
        <v>0160</v>
      </c>
      <c r="C277" s="97" t="str">
        <f>'дод 5'!B20</f>
        <v>0111</v>
      </c>
      <c r="D277" s="36" t="s">
        <v>503</v>
      </c>
      <c r="E277" s="103">
        <f>F277+I277</f>
        <v>9479912</v>
      </c>
      <c r="F277" s="103">
        <f>9390500+40922+48490</f>
        <v>9479912</v>
      </c>
      <c r="G277" s="103">
        <v>7405200</v>
      </c>
      <c r="H277" s="103">
        <f>86000+40922</f>
        <v>126922</v>
      </c>
      <c r="I277" s="103"/>
      <c r="J277" s="103">
        <f t="shared" si="136"/>
        <v>0</v>
      </c>
      <c r="K277" s="103"/>
      <c r="L277" s="103"/>
      <c r="M277" s="103"/>
      <c r="N277" s="103"/>
      <c r="O277" s="103"/>
      <c r="P277" s="103">
        <f>E277+J277</f>
        <v>9479912</v>
      </c>
      <c r="Q277" s="188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  <c r="TF277" s="23"/>
      <c r="TG277" s="23"/>
    </row>
    <row r="278" spans="1:527" s="22" customFormat="1" ht="31.5" x14ac:dyDescent="0.25">
      <c r="A278" s="60" t="s">
        <v>313</v>
      </c>
      <c r="B278" s="97" t="str">
        <f>'дод 5'!A162</f>
        <v>6090</v>
      </c>
      <c r="C278" s="97" t="str">
        <f>'дод 5'!B162</f>
        <v>0640</v>
      </c>
      <c r="D278" s="61" t="str">
        <f>'дод 5'!C162</f>
        <v>Інша діяльність у сфері житлово-комунального господарства</v>
      </c>
      <c r="E278" s="103">
        <f>F278+I278</f>
        <v>175000</v>
      </c>
      <c r="F278" s="103">
        <v>175000</v>
      </c>
      <c r="G278" s="103"/>
      <c r="H278" s="103"/>
      <c r="I278" s="103"/>
      <c r="J278" s="103">
        <f t="shared" si="136"/>
        <v>0</v>
      </c>
      <c r="K278" s="103"/>
      <c r="L278" s="103"/>
      <c r="M278" s="103"/>
      <c r="N278" s="103"/>
      <c r="O278" s="103"/>
      <c r="P278" s="103">
        <f>E278+J278</f>
        <v>175000</v>
      </c>
      <c r="Q278" s="188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</row>
    <row r="279" spans="1:527" s="22" customFormat="1" ht="31.5" hidden="1" customHeight="1" x14ac:dyDescent="0.25">
      <c r="A279" s="60" t="s">
        <v>461</v>
      </c>
      <c r="B279" s="60" t="s">
        <v>462</v>
      </c>
      <c r="C279" s="60" t="s">
        <v>113</v>
      </c>
      <c r="D279" s="61" t="s">
        <v>463</v>
      </c>
      <c r="E279" s="103">
        <f>F279+I279</f>
        <v>0</v>
      </c>
      <c r="F279" s="103"/>
      <c r="G279" s="103"/>
      <c r="H279" s="103"/>
      <c r="I279" s="103"/>
      <c r="J279" s="103">
        <f t="shared" si="136"/>
        <v>0</v>
      </c>
      <c r="K279" s="103">
        <f>900000-900000</f>
        <v>0</v>
      </c>
      <c r="L279" s="103"/>
      <c r="M279" s="103"/>
      <c r="N279" s="103"/>
      <c r="O279" s="103">
        <f>900000-900000</f>
        <v>0</v>
      </c>
      <c r="P279" s="103">
        <f>E279+J279</f>
        <v>0</v>
      </c>
      <c r="Q279" s="188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  <c r="TG279" s="23"/>
    </row>
    <row r="280" spans="1:527" s="22" customFormat="1" ht="31.5" x14ac:dyDescent="0.25">
      <c r="A280" s="60" t="s">
        <v>570</v>
      </c>
      <c r="B280" s="60" t="s">
        <v>571</v>
      </c>
      <c r="C280" s="60" t="s">
        <v>84</v>
      </c>
      <c r="D280" s="61" t="s">
        <v>434</v>
      </c>
      <c r="E280" s="103">
        <f>F280+I280</f>
        <v>2260266</v>
      </c>
      <c r="F280" s="103">
        <f>1360266+900000</f>
        <v>2260266</v>
      </c>
      <c r="G280" s="103"/>
      <c r="H280" s="103"/>
      <c r="I280" s="103"/>
      <c r="J280" s="103">
        <f t="shared" ref="J280" si="149">L280+O280</f>
        <v>0</v>
      </c>
      <c r="K280" s="103"/>
      <c r="L280" s="103"/>
      <c r="M280" s="103"/>
      <c r="N280" s="103"/>
      <c r="O280" s="103"/>
      <c r="P280" s="103">
        <f>E280+J280</f>
        <v>2260266</v>
      </c>
      <c r="Q280" s="188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  <c r="TF280" s="23"/>
      <c r="TG280" s="23"/>
    </row>
    <row r="281" spans="1:527" s="22" customFormat="1" ht="106.5" customHeight="1" x14ac:dyDescent="0.25">
      <c r="A281" s="107" t="s">
        <v>301</v>
      </c>
      <c r="B281" s="42" t="str">
        <f>'дод 5'!A210</f>
        <v>7691</v>
      </c>
      <c r="C281" s="42" t="str">
        <f>'дод 5'!B210</f>
        <v>0490</v>
      </c>
      <c r="D281" s="36" t="str">
        <f>'дод 5'!C210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81" s="103">
        <f>F281+I281</f>
        <v>0</v>
      </c>
      <c r="F281" s="103"/>
      <c r="G281" s="103"/>
      <c r="H281" s="103"/>
      <c r="I281" s="103"/>
      <c r="J281" s="103">
        <f t="shared" si="136"/>
        <v>2596250.2999999998</v>
      </c>
      <c r="K281" s="103"/>
      <c r="L281" s="103">
        <f>1060391+1535859.3</f>
        <v>2596250.2999999998</v>
      </c>
      <c r="M281" s="103"/>
      <c r="N281" s="103"/>
      <c r="O281" s="103"/>
      <c r="P281" s="103">
        <f>E281+J281</f>
        <v>2596250.2999999998</v>
      </c>
      <c r="Q281" s="188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  <c r="TG281" s="23"/>
    </row>
    <row r="282" spans="1:527" s="27" customFormat="1" ht="34.5" customHeight="1" x14ac:dyDescent="0.25">
      <c r="A282" s="114" t="s">
        <v>214</v>
      </c>
      <c r="B282" s="116"/>
      <c r="C282" s="116"/>
      <c r="D282" s="111" t="s">
        <v>43</v>
      </c>
      <c r="E282" s="99">
        <f>E283</f>
        <v>4340725</v>
      </c>
      <c r="F282" s="99">
        <f t="shared" ref="F282:J283" si="150">F283</f>
        <v>4340725</v>
      </c>
      <c r="G282" s="99">
        <f t="shared" si="150"/>
        <v>3301600</v>
      </c>
      <c r="H282" s="99">
        <f t="shared" si="150"/>
        <v>65425</v>
      </c>
      <c r="I282" s="99">
        <f t="shared" si="150"/>
        <v>0</v>
      </c>
      <c r="J282" s="99">
        <f t="shared" si="150"/>
        <v>0</v>
      </c>
      <c r="K282" s="99">
        <f t="shared" ref="K282:K283" si="151">K283</f>
        <v>0</v>
      </c>
      <c r="L282" s="99">
        <f t="shared" ref="L282:L283" si="152">L283</f>
        <v>0</v>
      </c>
      <c r="M282" s="99">
        <f t="shared" ref="M282:M283" si="153">M283</f>
        <v>0</v>
      </c>
      <c r="N282" s="99">
        <f t="shared" ref="N282:N283" si="154">N283</f>
        <v>0</v>
      </c>
      <c r="O282" s="99">
        <f t="shared" ref="O282:P283" si="155">O283</f>
        <v>0</v>
      </c>
      <c r="P282" s="99">
        <f t="shared" si="155"/>
        <v>4340725</v>
      </c>
      <c r="Q282" s="188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  <c r="EC282" s="32"/>
      <c r="ED282" s="32"/>
      <c r="EE282" s="32"/>
      <c r="EF282" s="32"/>
      <c r="EG282" s="32"/>
      <c r="EH282" s="32"/>
      <c r="EI282" s="32"/>
      <c r="EJ282" s="32"/>
      <c r="EK282" s="32"/>
      <c r="EL282" s="32"/>
      <c r="EM282" s="32"/>
      <c r="EN282" s="32"/>
      <c r="EO282" s="32"/>
      <c r="EP282" s="32"/>
      <c r="EQ282" s="32"/>
      <c r="ER282" s="32"/>
      <c r="ES282" s="32"/>
      <c r="ET282" s="32"/>
      <c r="EU282" s="32"/>
      <c r="EV282" s="32"/>
      <c r="EW282" s="32"/>
      <c r="EX282" s="32"/>
      <c r="EY282" s="32"/>
      <c r="EZ282" s="32"/>
      <c r="FA282" s="32"/>
      <c r="FB282" s="32"/>
      <c r="FC282" s="32"/>
      <c r="FD282" s="32"/>
      <c r="FE282" s="32"/>
      <c r="FF282" s="32"/>
      <c r="FG282" s="32"/>
      <c r="FH282" s="32"/>
      <c r="FI282" s="32"/>
      <c r="FJ282" s="32"/>
      <c r="FK282" s="32"/>
      <c r="FL282" s="32"/>
      <c r="FM282" s="32"/>
      <c r="FN282" s="32"/>
      <c r="FO282" s="32"/>
      <c r="FP282" s="32"/>
      <c r="FQ282" s="32"/>
      <c r="FR282" s="32"/>
      <c r="FS282" s="32"/>
      <c r="FT282" s="32"/>
      <c r="FU282" s="32"/>
      <c r="FV282" s="32"/>
      <c r="FW282" s="32"/>
      <c r="FX282" s="32"/>
      <c r="FY282" s="32"/>
      <c r="FZ282" s="32"/>
      <c r="GA282" s="32"/>
      <c r="GB282" s="32"/>
      <c r="GC282" s="32"/>
      <c r="GD282" s="32"/>
      <c r="GE282" s="32"/>
      <c r="GF282" s="32"/>
      <c r="GG282" s="32"/>
      <c r="GH282" s="32"/>
      <c r="GI282" s="32"/>
      <c r="GJ282" s="32"/>
      <c r="GK282" s="32"/>
      <c r="GL282" s="32"/>
      <c r="GM282" s="32"/>
      <c r="GN282" s="32"/>
      <c r="GO282" s="32"/>
      <c r="GP282" s="32"/>
      <c r="GQ282" s="32"/>
      <c r="GR282" s="32"/>
      <c r="GS282" s="32"/>
      <c r="GT282" s="32"/>
      <c r="GU282" s="32"/>
      <c r="GV282" s="32"/>
      <c r="GW282" s="32"/>
      <c r="GX282" s="32"/>
      <c r="GY282" s="32"/>
      <c r="GZ282" s="32"/>
      <c r="HA282" s="32"/>
      <c r="HB282" s="32"/>
      <c r="HC282" s="32"/>
      <c r="HD282" s="32"/>
      <c r="HE282" s="32"/>
      <c r="HF282" s="32"/>
      <c r="HG282" s="32"/>
      <c r="HH282" s="32"/>
      <c r="HI282" s="32"/>
      <c r="HJ282" s="32"/>
      <c r="HK282" s="32"/>
      <c r="HL282" s="32"/>
      <c r="HM282" s="32"/>
      <c r="HN282" s="32"/>
      <c r="HO282" s="32"/>
      <c r="HP282" s="32"/>
      <c r="HQ282" s="32"/>
      <c r="HR282" s="32"/>
      <c r="HS282" s="32"/>
      <c r="HT282" s="32"/>
      <c r="HU282" s="32"/>
      <c r="HV282" s="32"/>
      <c r="HW282" s="32"/>
      <c r="HX282" s="32"/>
      <c r="HY282" s="32"/>
      <c r="HZ282" s="32"/>
      <c r="IA282" s="32"/>
      <c r="IB282" s="32"/>
      <c r="IC282" s="32"/>
      <c r="ID282" s="32"/>
      <c r="IE282" s="32"/>
      <c r="IF282" s="32"/>
      <c r="IG282" s="32"/>
      <c r="IH282" s="32"/>
      <c r="II282" s="32"/>
      <c r="IJ282" s="32"/>
      <c r="IK282" s="32"/>
      <c r="IL282" s="32"/>
      <c r="IM282" s="32"/>
      <c r="IN282" s="32"/>
      <c r="IO282" s="32"/>
      <c r="IP282" s="32"/>
      <c r="IQ282" s="32"/>
      <c r="IR282" s="32"/>
      <c r="IS282" s="32"/>
      <c r="IT282" s="32"/>
      <c r="IU282" s="32"/>
      <c r="IV282" s="32"/>
      <c r="IW282" s="32"/>
      <c r="IX282" s="32"/>
      <c r="IY282" s="32"/>
      <c r="IZ282" s="32"/>
      <c r="JA282" s="32"/>
      <c r="JB282" s="32"/>
      <c r="JC282" s="32"/>
      <c r="JD282" s="32"/>
      <c r="JE282" s="32"/>
      <c r="JF282" s="32"/>
      <c r="JG282" s="32"/>
      <c r="JH282" s="32"/>
      <c r="JI282" s="32"/>
      <c r="JJ282" s="32"/>
      <c r="JK282" s="32"/>
      <c r="JL282" s="32"/>
      <c r="JM282" s="32"/>
      <c r="JN282" s="32"/>
      <c r="JO282" s="32"/>
      <c r="JP282" s="32"/>
      <c r="JQ282" s="32"/>
      <c r="JR282" s="32"/>
      <c r="JS282" s="32"/>
      <c r="JT282" s="32"/>
      <c r="JU282" s="32"/>
      <c r="JV282" s="32"/>
      <c r="JW282" s="32"/>
      <c r="JX282" s="32"/>
      <c r="JY282" s="32"/>
      <c r="JZ282" s="32"/>
      <c r="KA282" s="32"/>
      <c r="KB282" s="32"/>
      <c r="KC282" s="32"/>
      <c r="KD282" s="32"/>
      <c r="KE282" s="32"/>
      <c r="KF282" s="32"/>
      <c r="KG282" s="32"/>
      <c r="KH282" s="32"/>
      <c r="KI282" s="32"/>
      <c r="KJ282" s="32"/>
      <c r="KK282" s="32"/>
      <c r="KL282" s="32"/>
      <c r="KM282" s="32"/>
      <c r="KN282" s="32"/>
      <c r="KO282" s="32"/>
      <c r="KP282" s="32"/>
      <c r="KQ282" s="32"/>
      <c r="KR282" s="32"/>
      <c r="KS282" s="32"/>
      <c r="KT282" s="32"/>
      <c r="KU282" s="32"/>
      <c r="KV282" s="32"/>
      <c r="KW282" s="32"/>
      <c r="KX282" s="32"/>
      <c r="KY282" s="32"/>
      <c r="KZ282" s="32"/>
      <c r="LA282" s="32"/>
      <c r="LB282" s="32"/>
      <c r="LC282" s="32"/>
      <c r="LD282" s="32"/>
      <c r="LE282" s="32"/>
      <c r="LF282" s="32"/>
      <c r="LG282" s="32"/>
      <c r="LH282" s="32"/>
      <c r="LI282" s="32"/>
      <c r="LJ282" s="32"/>
      <c r="LK282" s="32"/>
      <c r="LL282" s="32"/>
      <c r="LM282" s="32"/>
      <c r="LN282" s="32"/>
      <c r="LO282" s="32"/>
      <c r="LP282" s="32"/>
      <c r="LQ282" s="32"/>
      <c r="LR282" s="32"/>
      <c r="LS282" s="32"/>
      <c r="LT282" s="32"/>
      <c r="LU282" s="32"/>
      <c r="LV282" s="32"/>
      <c r="LW282" s="32"/>
      <c r="LX282" s="32"/>
      <c r="LY282" s="32"/>
      <c r="LZ282" s="32"/>
      <c r="MA282" s="32"/>
      <c r="MB282" s="32"/>
      <c r="MC282" s="32"/>
      <c r="MD282" s="32"/>
      <c r="ME282" s="32"/>
      <c r="MF282" s="32"/>
      <c r="MG282" s="32"/>
      <c r="MH282" s="32"/>
      <c r="MI282" s="32"/>
      <c r="MJ282" s="32"/>
      <c r="MK282" s="32"/>
      <c r="ML282" s="32"/>
      <c r="MM282" s="32"/>
      <c r="MN282" s="32"/>
      <c r="MO282" s="32"/>
      <c r="MP282" s="32"/>
      <c r="MQ282" s="32"/>
      <c r="MR282" s="32"/>
      <c r="MS282" s="32"/>
      <c r="MT282" s="32"/>
      <c r="MU282" s="32"/>
      <c r="MV282" s="32"/>
      <c r="MW282" s="32"/>
      <c r="MX282" s="32"/>
      <c r="MY282" s="32"/>
      <c r="MZ282" s="32"/>
      <c r="NA282" s="32"/>
      <c r="NB282" s="32"/>
      <c r="NC282" s="32"/>
      <c r="ND282" s="32"/>
      <c r="NE282" s="32"/>
      <c r="NF282" s="32"/>
      <c r="NG282" s="32"/>
      <c r="NH282" s="32"/>
      <c r="NI282" s="32"/>
      <c r="NJ282" s="32"/>
      <c r="NK282" s="32"/>
      <c r="NL282" s="32"/>
      <c r="NM282" s="32"/>
      <c r="NN282" s="32"/>
      <c r="NO282" s="32"/>
      <c r="NP282" s="32"/>
      <c r="NQ282" s="32"/>
      <c r="NR282" s="32"/>
      <c r="NS282" s="32"/>
      <c r="NT282" s="32"/>
      <c r="NU282" s="32"/>
      <c r="NV282" s="32"/>
      <c r="NW282" s="32"/>
      <c r="NX282" s="32"/>
      <c r="NY282" s="32"/>
      <c r="NZ282" s="32"/>
      <c r="OA282" s="32"/>
      <c r="OB282" s="32"/>
      <c r="OC282" s="32"/>
      <c r="OD282" s="32"/>
      <c r="OE282" s="32"/>
      <c r="OF282" s="32"/>
      <c r="OG282" s="32"/>
      <c r="OH282" s="32"/>
      <c r="OI282" s="32"/>
      <c r="OJ282" s="32"/>
      <c r="OK282" s="32"/>
      <c r="OL282" s="32"/>
      <c r="OM282" s="32"/>
      <c r="ON282" s="32"/>
      <c r="OO282" s="32"/>
      <c r="OP282" s="32"/>
      <c r="OQ282" s="32"/>
      <c r="OR282" s="32"/>
      <c r="OS282" s="32"/>
      <c r="OT282" s="32"/>
      <c r="OU282" s="32"/>
      <c r="OV282" s="32"/>
      <c r="OW282" s="32"/>
      <c r="OX282" s="32"/>
      <c r="OY282" s="32"/>
      <c r="OZ282" s="32"/>
      <c r="PA282" s="32"/>
      <c r="PB282" s="32"/>
      <c r="PC282" s="32"/>
      <c r="PD282" s="32"/>
      <c r="PE282" s="32"/>
      <c r="PF282" s="32"/>
      <c r="PG282" s="32"/>
      <c r="PH282" s="32"/>
      <c r="PI282" s="32"/>
      <c r="PJ282" s="32"/>
      <c r="PK282" s="32"/>
      <c r="PL282" s="32"/>
      <c r="PM282" s="32"/>
      <c r="PN282" s="32"/>
      <c r="PO282" s="32"/>
      <c r="PP282" s="32"/>
      <c r="PQ282" s="32"/>
      <c r="PR282" s="32"/>
      <c r="PS282" s="32"/>
      <c r="PT282" s="32"/>
      <c r="PU282" s="32"/>
      <c r="PV282" s="32"/>
      <c r="PW282" s="32"/>
      <c r="PX282" s="32"/>
      <c r="PY282" s="32"/>
      <c r="PZ282" s="32"/>
      <c r="QA282" s="32"/>
      <c r="QB282" s="32"/>
      <c r="QC282" s="32"/>
      <c r="QD282" s="32"/>
      <c r="QE282" s="32"/>
      <c r="QF282" s="32"/>
      <c r="QG282" s="32"/>
      <c r="QH282" s="32"/>
      <c r="QI282" s="32"/>
      <c r="QJ282" s="32"/>
      <c r="QK282" s="32"/>
      <c r="QL282" s="32"/>
      <c r="QM282" s="32"/>
      <c r="QN282" s="32"/>
      <c r="QO282" s="32"/>
      <c r="QP282" s="32"/>
      <c r="QQ282" s="32"/>
      <c r="QR282" s="32"/>
      <c r="QS282" s="32"/>
      <c r="QT282" s="32"/>
      <c r="QU282" s="32"/>
      <c r="QV282" s="32"/>
      <c r="QW282" s="32"/>
      <c r="QX282" s="32"/>
      <c r="QY282" s="32"/>
      <c r="QZ282" s="32"/>
      <c r="RA282" s="32"/>
      <c r="RB282" s="32"/>
      <c r="RC282" s="32"/>
      <c r="RD282" s="32"/>
      <c r="RE282" s="32"/>
      <c r="RF282" s="32"/>
      <c r="RG282" s="32"/>
      <c r="RH282" s="32"/>
      <c r="RI282" s="32"/>
      <c r="RJ282" s="32"/>
      <c r="RK282" s="32"/>
      <c r="RL282" s="32"/>
      <c r="RM282" s="32"/>
      <c r="RN282" s="32"/>
      <c r="RO282" s="32"/>
      <c r="RP282" s="32"/>
      <c r="RQ282" s="32"/>
      <c r="RR282" s="32"/>
      <c r="RS282" s="32"/>
      <c r="RT282" s="32"/>
      <c r="RU282" s="32"/>
      <c r="RV282" s="32"/>
      <c r="RW282" s="32"/>
      <c r="RX282" s="32"/>
      <c r="RY282" s="32"/>
      <c r="RZ282" s="32"/>
      <c r="SA282" s="32"/>
      <c r="SB282" s="32"/>
      <c r="SC282" s="32"/>
      <c r="SD282" s="32"/>
      <c r="SE282" s="32"/>
      <c r="SF282" s="32"/>
      <c r="SG282" s="32"/>
      <c r="SH282" s="32"/>
      <c r="SI282" s="32"/>
      <c r="SJ282" s="32"/>
      <c r="SK282" s="32"/>
      <c r="SL282" s="32"/>
      <c r="SM282" s="32"/>
      <c r="SN282" s="32"/>
      <c r="SO282" s="32"/>
      <c r="SP282" s="32"/>
      <c r="SQ282" s="32"/>
      <c r="SR282" s="32"/>
      <c r="SS282" s="32"/>
      <c r="ST282" s="32"/>
      <c r="SU282" s="32"/>
      <c r="SV282" s="32"/>
      <c r="SW282" s="32"/>
      <c r="SX282" s="32"/>
      <c r="SY282" s="32"/>
      <c r="SZ282" s="32"/>
      <c r="TA282" s="32"/>
      <c r="TB282" s="32"/>
      <c r="TC282" s="32"/>
      <c r="TD282" s="32"/>
      <c r="TE282" s="32"/>
      <c r="TF282" s="32"/>
      <c r="TG282" s="32"/>
    </row>
    <row r="283" spans="1:527" s="34" customFormat="1" ht="35.25" customHeight="1" x14ac:dyDescent="0.25">
      <c r="A283" s="100" t="s">
        <v>212</v>
      </c>
      <c r="B283" s="113"/>
      <c r="C283" s="113"/>
      <c r="D283" s="81" t="s">
        <v>43</v>
      </c>
      <c r="E283" s="102">
        <f>E284</f>
        <v>4340725</v>
      </c>
      <c r="F283" s="102">
        <f t="shared" si="150"/>
        <v>4340725</v>
      </c>
      <c r="G283" s="102">
        <f t="shared" si="150"/>
        <v>3301600</v>
      </c>
      <c r="H283" s="102">
        <f t="shared" si="150"/>
        <v>65425</v>
      </c>
      <c r="I283" s="102">
        <f t="shared" si="150"/>
        <v>0</v>
      </c>
      <c r="J283" s="102">
        <f t="shared" si="150"/>
        <v>0</v>
      </c>
      <c r="K283" s="102">
        <f t="shared" si="151"/>
        <v>0</v>
      </c>
      <c r="L283" s="102">
        <f t="shared" si="152"/>
        <v>0</v>
      </c>
      <c r="M283" s="102">
        <f t="shared" si="153"/>
        <v>0</v>
      </c>
      <c r="N283" s="102">
        <f t="shared" si="154"/>
        <v>0</v>
      </c>
      <c r="O283" s="102">
        <f t="shared" si="155"/>
        <v>0</v>
      </c>
      <c r="P283" s="102">
        <f t="shared" si="155"/>
        <v>4340725</v>
      </c>
      <c r="Q283" s="188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3"/>
      <c r="FF283" s="33"/>
      <c r="FG283" s="33"/>
      <c r="FH283" s="33"/>
      <c r="FI283" s="33"/>
      <c r="FJ283" s="33"/>
      <c r="FK283" s="33"/>
      <c r="FL283" s="33"/>
      <c r="FM283" s="33"/>
      <c r="FN283" s="33"/>
      <c r="FO283" s="33"/>
      <c r="FP283" s="33"/>
      <c r="FQ283" s="33"/>
      <c r="FR283" s="33"/>
      <c r="FS283" s="33"/>
      <c r="FT283" s="33"/>
      <c r="FU283" s="33"/>
      <c r="FV283" s="33"/>
      <c r="FW283" s="33"/>
      <c r="FX283" s="33"/>
      <c r="FY283" s="33"/>
      <c r="FZ283" s="33"/>
      <c r="GA283" s="33"/>
      <c r="GB283" s="33"/>
      <c r="GC283" s="33"/>
      <c r="GD283" s="33"/>
      <c r="GE283" s="33"/>
      <c r="GF283" s="33"/>
      <c r="GG283" s="33"/>
      <c r="GH283" s="33"/>
      <c r="GI283" s="33"/>
      <c r="GJ283" s="33"/>
      <c r="GK283" s="33"/>
      <c r="GL283" s="33"/>
      <c r="GM283" s="33"/>
      <c r="GN283" s="33"/>
      <c r="GO283" s="33"/>
      <c r="GP283" s="33"/>
      <c r="GQ283" s="33"/>
      <c r="GR283" s="33"/>
      <c r="GS283" s="33"/>
      <c r="GT283" s="33"/>
      <c r="GU283" s="33"/>
      <c r="GV283" s="33"/>
      <c r="GW283" s="33"/>
      <c r="GX283" s="33"/>
      <c r="GY283" s="33"/>
      <c r="GZ283" s="33"/>
      <c r="HA283" s="33"/>
      <c r="HB283" s="33"/>
      <c r="HC283" s="33"/>
      <c r="HD283" s="33"/>
      <c r="HE283" s="33"/>
      <c r="HF283" s="33"/>
      <c r="HG283" s="33"/>
      <c r="HH283" s="33"/>
      <c r="HI283" s="33"/>
      <c r="HJ283" s="33"/>
      <c r="HK283" s="33"/>
      <c r="HL283" s="33"/>
      <c r="HM283" s="33"/>
      <c r="HN283" s="33"/>
      <c r="HO283" s="33"/>
      <c r="HP283" s="33"/>
      <c r="HQ283" s="33"/>
      <c r="HR283" s="33"/>
      <c r="HS283" s="33"/>
      <c r="HT283" s="33"/>
      <c r="HU283" s="33"/>
      <c r="HV283" s="33"/>
      <c r="HW283" s="33"/>
      <c r="HX283" s="33"/>
      <c r="HY283" s="33"/>
      <c r="HZ283" s="33"/>
      <c r="IA283" s="33"/>
      <c r="IB283" s="33"/>
      <c r="IC283" s="33"/>
      <c r="ID283" s="33"/>
      <c r="IE283" s="33"/>
      <c r="IF283" s="33"/>
      <c r="IG283" s="33"/>
      <c r="IH283" s="33"/>
      <c r="II283" s="33"/>
      <c r="IJ283" s="33"/>
      <c r="IK283" s="33"/>
      <c r="IL283" s="33"/>
      <c r="IM283" s="33"/>
      <c r="IN283" s="33"/>
      <c r="IO283" s="33"/>
      <c r="IP283" s="33"/>
      <c r="IQ283" s="33"/>
      <c r="IR283" s="33"/>
      <c r="IS283" s="33"/>
      <c r="IT283" s="33"/>
      <c r="IU283" s="33"/>
      <c r="IV283" s="33"/>
      <c r="IW283" s="33"/>
      <c r="IX283" s="33"/>
      <c r="IY283" s="33"/>
      <c r="IZ283" s="33"/>
      <c r="JA283" s="33"/>
      <c r="JB283" s="33"/>
      <c r="JC283" s="33"/>
      <c r="JD283" s="33"/>
      <c r="JE283" s="33"/>
      <c r="JF283" s="33"/>
      <c r="JG283" s="33"/>
      <c r="JH283" s="33"/>
      <c r="JI283" s="33"/>
      <c r="JJ283" s="33"/>
      <c r="JK283" s="33"/>
      <c r="JL283" s="33"/>
      <c r="JM283" s="33"/>
      <c r="JN283" s="33"/>
      <c r="JO283" s="33"/>
      <c r="JP283" s="33"/>
      <c r="JQ283" s="33"/>
      <c r="JR283" s="33"/>
      <c r="JS283" s="33"/>
      <c r="JT283" s="33"/>
      <c r="JU283" s="33"/>
      <c r="JV283" s="33"/>
      <c r="JW283" s="33"/>
      <c r="JX283" s="33"/>
      <c r="JY283" s="33"/>
      <c r="JZ283" s="33"/>
      <c r="KA283" s="33"/>
      <c r="KB283" s="33"/>
      <c r="KC283" s="33"/>
      <c r="KD283" s="33"/>
      <c r="KE283" s="33"/>
      <c r="KF283" s="33"/>
      <c r="KG283" s="33"/>
      <c r="KH283" s="33"/>
      <c r="KI283" s="33"/>
      <c r="KJ283" s="33"/>
      <c r="KK283" s="33"/>
      <c r="KL283" s="33"/>
      <c r="KM283" s="33"/>
      <c r="KN283" s="33"/>
      <c r="KO283" s="33"/>
      <c r="KP283" s="33"/>
      <c r="KQ283" s="33"/>
      <c r="KR283" s="33"/>
      <c r="KS283" s="33"/>
      <c r="KT283" s="33"/>
      <c r="KU283" s="33"/>
      <c r="KV283" s="33"/>
      <c r="KW283" s="33"/>
      <c r="KX283" s="33"/>
      <c r="KY283" s="33"/>
      <c r="KZ283" s="33"/>
      <c r="LA283" s="33"/>
      <c r="LB283" s="33"/>
      <c r="LC283" s="33"/>
      <c r="LD283" s="33"/>
      <c r="LE283" s="33"/>
      <c r="LF283" s="33"/>
      <c r="LG283" s="33"/>
      <c r="LH283" s="33"/>
      <c r="LI283" s="33"/>
      <c r="LJ283" s="33"/>
      <c r="LK283" s="33"/>
      <c r="LL283" s="33"/>
      <c r="LM283" s="33"/>
      <c r="LN283" s="33"/>
      <c r="LO283" s="33"/>
      <c r="LP283" s="33"/>
      <c r="LQ283" s="33"/>
      <c r="LR283" s="33"/>
      <c r="LS283" s="33"/>
      <c r="LT283" s="33"/>
      <c r="LU283" s="33"/>
      <c r="LV283" s="33"/>
      <c r="LW283" s="33"/>
      <c r="LX283" s="33"/>
      <c r="LY283" s="33"/>
      <c r="LZ283" s="33"/>
      <c r="MA283" s="33"/>
      <c r="MB283" s="33"/>
      <c r="MC283" s="33"/>
      <c r="MD283" s="33"/>
      <c r="ME283" s="33"/>
      <c r="MF283" s="33"/>
      <c r="MG283" s="33"/>
      <c r="MH283" s="33"/>
      <c r="MI283" s="33"/>
      <c r="MJ283" s="33"/>
      <c r="MK283" s="33"/>
      <c r="ML283" s="33"/>
      <c r="MM283" s="33"/>
      <c r="MN283" s="33"/>
      <c r="MO283" s="33"/>
      <c r="MP283" s="33"/>
      <c r="MQ283" s="33"/>
      <c r="MR283" s="33"/>
      <c r="MS283" s="33"/>
      <c r="MT283" s="33"/>
      <c r="MU283" s="33"/>
      <c r="MV283" s="33"/>
      <c r="MW283" s="33"/>
      <c r="MX283" s="33"/>
      <c r="MY283" s="33"/>
      <c r="MZ283" s="33"/>
      <c r="NA283" s="33"/>
      <c r="NB283" s="33"/>
      <c r="NC283" s="33"/>
      <c r="ND283" s="33"/>
      <c r="NE283" s="33"/>
      <c r="NF283" s="33"/>
      <c r="NG283" s="33"/>
      <c r="NH283" s="33"/>
      <c r="NI283" s="33"/>
      <c r="NJ283" s="33"/>
      <c r="NK283" s="33"/>
      <c r="NL283" s="33"/>
      <c r="NM283" s="33"/>
      <c r="NN283" s="33"/>
      <c r="NO283" s="33"/>
      <c r="NP283" s="33"/>
      <c r="NQ283" s="33"/>
      <c r="NR283" s="33"/>
      <c r="NS283" s="33"/>
      <c r="NT283" s="33"/>
      <c r="NU283" s="33"/>
      <c r="NV283" s="33"/>
      <c r="NW283" s="33"/>
      <c r="NX283" s="33"/>
      <c r="NY283" s="33"/>
      <c r="NZ283" s="33"/>
      <c r="OA283" s="33"/>
      <c r="OB283" s="33"/>
      <c r="OC283" s="33"/>
      <c r="OD283" s="33"/>
      <c r="OE283" s="33"/>
      <c r="OF283" s="33"/>
      <c r="OG283" s="33"/>
      <c r="OH283" s="33"/>
      <c r="OI283" s="33"/>
      <c r="OJ283" s="33"/>
      <c r="OK283" s="33"/>
      <c r="OL283" s="33"/>
      <c r="OM283" s="33"/>
      <c r="ON283" s="33"/>
      <c r="OO283" s="33"/>
      <c r="OP283" s="33"/>
      <c r="OQ283" s="33"/>
      <c r="OR283" s="33"/>
      <c r="OS283" s="33"/>
      <c r="OT283" s="33"/>
      <c r="OU283" s="33"/>
      <c r="OV283" s="33"/>
      <c r="OW283" s="33"/>
      <c r="OX283" s="33"/>
      <c r="OY283" s="33"/>
      <c r="OZ283" s="33"/>
      <c r="PA283" s="33"/>
      <c r="PB283" s="33"/>
      <c r="PC283" s="33"/>
      <c r="PD283" s="33"/>
      <c r="PE283" s="33"/>
      <c r="PF283" s="33"/>
      <c r="PG283" s="33"/>
      <c r="PH283" s="33"/>
      <c r="PI283" s="33"/>
      <c r="PJ283" s="33"/>
      <c r="PK283" s="33"/>
      <c r="PL283" s="33"/>
      <c r="PM283" s="33"/>
      <c r="PN283" s="33"/>
      <c r="PO283" s="33"/>
      <c r="PP283" s="33"/>
      <c r="PQ283" s="33"/>
      <c r="PR283" s="33"/>
      <c r="PS283" s="33"/>
      <c r="PT283" s="33"/>
      <c r="PU283" s="33"/>
      <c r="PV283" s="33"/>
      <c r="PW283" s="33"/>
      <c r="PX283" s="33"/>
      <c r="PY283" s="33"/>
      <c r="PZ283" s="33"/>
      <c r="QA283" s="33"/>
      <c r="QB283" s="33"/>
      <c r="QC283" s="33"/>
      <c r="QD283" s="33"/>
      <c r="QE283" s="33"/>
      <c r="QF283" s="33"/>
      <c r="QG283" s="33"/>
      <c r="QH283" s="33"/>
      <c r="QI283" s="33"/>
      <c r="QJ283" s="33"/>
      <c r="QK283" s="33"/>
      <c r="QL283" s="33"/>
      <c r="QM283" s="33"/>
      <c r="QN283" s="33"/>
      <c r="QO283" s="33"/>
      <c r="QP283" s="33"/>
      <c r="QQ283" s="33"/>
      <c r="QR283" s="33"/>
      <c r="QS283" s="33"/>
      <c r="QT283" s="33"/>
      <c r="QU283" s="33"/>
      <c r="QV283" s="33"/>
      <c r="QW283" s="33"/>
      <c r="QX283" s="33"/>
      <c r="QY283" s="33"/>
      <c r="QZ283" s="33"/>
      <c r="RA283" s="33"/>
      <c r="RB283" s="33"/>
      <c r="RC283" s="33"/>
      <c r="RD283" s="33"/>
      <c r="RE283" s="33"/>
      <c r="RF283" s="33"/>
      <c r="RG283" s="33"/>
      <c r="RH283" s="33"/>
      <c r="RI283" s="33"/>
      <c r="RJ283" s="33"/>
      <c r="RK283" s="33"/>
      <c r="RL283" s="33"/>
      <c r="RM283" s="33"/>
      <c r="RN283" s="33"/>
      <c r="RO283" s="33"/>
      <c r="RP283" s="33"/>
      <c r="RQ283" s="33"/>
      <c r="RR283" s="33"/>
      <c r="RS283" s="33"/>
      <c r="RT283" s="33"/>
      <c r="RU283" s="33"/>
      <c r="RV283" s="33"/>
      <c r="RW283" s="33"/>
      <c r="RX283" s="33"/>
      <c r="RY283" s="33"/>
      <c r="RZ283" s="33"/>
      <c r="SA283" s="33"/>
      <c r="SB283" s="33"/>
      <c r="SC283" s="33"/>
      <c r="SD283" s="33"/>
      <c r="SE283" s="33"/>
      <c r="SF283" s="33"/>
      <c r="SG283" s="33"/>
      <c r="SH283" s="33"/>
      <c r="SI283" s="33"/>
      <c r="SJ283" s="33"/>
      <c r="SK283" s="33"/>
      <c r="SL283" s="33"/>
      <c r="SM283" s="33"/>
      <c r="SN283" s="33"/>
      <c r="SO283" s="33"/>
      <c r="SP283" s="33"/>
      <c r="SQ283" s="33"/>
      <c r="SR283" s="33"/>
      <c r="SS283" s="33"/>
      <c r="ST283" s="33"/>
      <c r="SU283" s="33"/>
      <c r="SV283" s="33"/>
      <c r="SW283" s="33"/>
      <c r="SX283" s="33"/>
      <c r="SY283" s="33"/>
      <c r="SZ283" s="33"/>
      <c r="TA283" s="33"/>
      <c r="TB283" s="33"/>
      <c r="TC283" s="33"/>
      <c r="TD283" s="33"/>
      <c r="TE283" s="33"/>
      <c r="TF283" s="33"/>
      <c r="TG283" s="33"/>
    </row>
    <row r="284" spans="1:527" s="22" customFormat="1" ht="49.5" customHeight="1" x14ac:dyDescent="0.25">
      <c r="A284" s="60" t="s">
        <v>213</v>
      </c>
      <c r="B284" s="97" t="str">
        <f>'дод 5'!A20</f>
        <v>0160</v>
      </c>
      <c r="C284" s="97" t="str">
        <f>'дод 5'!B20</f>
        <v>0111</v>
      </c>
      <c r="D284" s="36" t="s">
        <v>503</v>
      </c>
      <c r="E284" s="103">
        <f>F284+I284</f>
        <v>4340725</v>
      </c>
      <c r="F284" s="103">
        <f>4301300+20000+19425</f>
        <v>4340725</v>
      </c>
      <c r="G284" s="103">
        <v>3301600</v>
      </c>
      <c r="H284" s="103">
        <f>46000+19425</f>
        <v>65425</v>
      </c>
      <c r="I284" s="103"/>
      <c r="J284" s="103">
        <f>L284+O284</f>
        <v>0</v>
      </c>
      <c r="K284" s="103"/>
      <c r="L284" s="103"/>
      <c r="M284" s="103"/>
      <c r="N284" s="103"/>
      <c r="O284" s="103"/>
      <c r="P284" s="103">
        <f>E284+J284</f>
        <v>4340725</v>
      </c>
      <c r="Q284" s="188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  <c r="TF284" s="23"/>
      <c r="TG284" s="23"/>
    </row>
    <row r="285" spans="1:527" s="27" customFormat="1" ht="37.5" customHeight="1" x14ac:dyDescent="0.25">
      <c r="A285" s="114" t="s">
        <v>215</v>
      </c>
      <c r="B285" s="116"/>
      <c r="C285" s="116"/>
      <c r="D285" s="111" t="s">
        <v>40</v>
      </c>
      <c r="E285" s="99">
        <f>E286</f>
        <v>21483478</v>
      </c>
      <c r="F285" s="99">
        <f t="shared" ref="F285:J285" si="156">F286</f>
        <v>20983478</v>
      </c>
      <c r="G285" s="99">
        <f t="shared" si="156"/>
        <v>14962200</v>
      </c>
      <c r="H285" s="99">
        <f t="shared" si="156"/>
        <v>308778</v>
      </c>
      <c r="I285" s="99">
        <f t="shared" si="156"/>
        <v>500000</v>
      </c>
      <c r="J285" s="99">
        <f t="shared" si="156"/>
        <v>65000</v>
      </c>
      <c r="K285" s="99">
        <f t="shared" ref="K285" si="157">K286</f>
        <v>65000</v>
      </c>
      <c r="L285" s="99">
        <f t="shared" ref="L285" si="158">L286</f>
        <v>0</v>
      </c>
      <c r="M285" s="99">
        <f t="shared" ref="M285" si="159">M286</f>
        <v>0</v>
      </c>
      <c r="N285" s="99">
        <f t="shared" ref="N285" si="160">N286</f>
        <v>0</v>
      </c>
      <c r="O285" s="99">
        <f t="shared" ref="O285" si="161">O286</f>
        <v>65000</v>
      </c>
      <c r="P285" s="99">
        <f>P286</f>
        <v>21548478</v>
      </c>
      <c r="Q285" s="188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/>
      <c r="DY285" s="32"/>
      <c r="DZ285" s="32"/>
      <c r="EA285" s="32"/>
      <c r="EB285" s="32"/>
      <c r="EC285" s="32"/>
      <c r="ED285" s="32"/>
      <c r="EE285" s="32"/>
      <c r="EF285" s="32"/>
      <c r="EG285" s="32"/>
      <c r="EH285" s="32"/>
      <c r="EI285" s="32"/>
      <c r="EJ285" s="32"/>
      <c r="EK285" s="32"/>
      <c r="EL285" s="32"/>
      <c r="EM285" s="32"/>
      <c r="EN285" s="32"/>
      <c r="EO285" s="32"/>
      <c r="EP285" s="32"/>
      <c r="EQ285" s="32"/>
      <c r="ER285" s="32"/>
      <c r="ES285" s="32"/>
      <c r="ET285" s="32"/>
      <c r="EU285" s="32"/>
      <c r="EV285" s="32"/>
      <c r="EW285" s="32"/>
      <c r="EX285" s="32"/>
      <c r="EY285" s="32"/>
      <c r="EZ285" s="32"/>
      <c r="FA285" s="32"/>
      <c r="FB285" s="32"/>
      <c r="FC285" s="32"/>
      <c r="FD285" s="32"/>
      <c r="FE285" s="32"/>
      <c r="FF285" s="32"/>
      <c r="FG285" s="32"/>
      <c r="FH285" s="32"/>
      <c r="FI285" s="32"/>
      <c r="FJ285" s="32"/>
      <c r="FK285" s="32"/>
      <c r="FL285" s="32"/>
      <c r="FM285" s="32"/>
      <c r="FN285" s="32"/>
      <c r="FO285" s="32"/>
      <c r="FP285" s="32"/>
      <c r="FQ285" s="32"/>
      <c r="FR285" s="32"/>
      <c r="FS285" s="32"/>
      <c r="FT285" s="32"/>
      <c r="FU285" s="32"/>
      <c r="FV285" s="32"/>
      <c r="FW285" s="32"/>
      <c r="FX285" s="32"/>
      <c r="FY285" s="32"/>
      <c r="FZ285" s="32"/>
      <c r="GA285" s="32"/>
      <c r="GB285" s="32"/>
      <c r="GC285" s="32"/>
      <c r="GD285" s="32"/>
      <c r="GE285" s="32"/>
      <c r="GF285" s="32"/>
      <c r="GG285" s="32"/>
      <c r="GH285" s="32"/>
      <c r="GI285" s="32"/>
      <c r="GJ285" s="32"/>
      <c r="GK285" s="32"/>
      <c r="GL285" s="32"/>
      <c r="GM285" s="32"/>
      <c r="GN285" s="32"/>
      <c r="GO285" s="32"/>
      <c r="GP285" s="32"/>
      <c r="GQ285" s="32"/>
      <c r="GR285" s="32"/>
      <c r="GS285" s="32"/>
      <c r="GT285" s="32"/>
      <c r="GU285" s="32"/>
      <c r="GV285" s="32"/>
      <c r="GW285" s="32"/>
      <c r="GX285" s="32"/>
      <c r="GY285" s="32"/>
      <c r="GZ285" s="32"/>
      <c r="HA285" s="32"/>
      <c r="HB285" s="32"/>
      <c r="HC285" s="32"/>
      <c r="HD285" s="32"/>
      <c r="HE285" s="32"/>
      <c r="HF285" s="32"/>
      <c r="HG285" s="32"/>
      <c r="HH285" s="32"/>
      <c r="HI285" s="32"/>
      <c r="HJ285" s="32"/>
      <c r="HK285" s="32"/>
      <c r="HL285" s="32"/>
      <c r="HM285" s="32"/>
      <c r="HN285" s="32"/>
      <c r="HO285" s="32"/>
      <c r="HP285" s="32"/>
      <c r="HQ285" s="32"/>
      <c r="HR285" s="32"/>
      <c r="HS285" s="32"/>
      <c r="HT285" s="32"/>
      <c r="HU285" s="32"/>
      <c r="HV285" s="32"/>
      <c r="HW285" s="32"/>
      <c r="HX285" s="32"/>
      <c r="HY285" s="32"/>
      <c r="HZ285" s="32"/>
      <c r="IA285" s="32"/>
      <c r="IB285" s="32"/>
      <c r="IC285" s="32"/>
      <c r="ID285" s="32"/>
      <c r="IE285" s="32"/>
      <c r="IF285" s="32"/>
      <c r="IG285" s="32"/>
      <c r="IH285" s="32"/>
      <c r="II285" s="32"/>
      <c r="IJ285" s="32"/>
      <c r="IK285" s="32"/>
      <c r="IL285" s="32"/>
      <c r="IM285" s="32"/>
      <c r="IN285" s="32"/>
      <c r="IO285" s="32"/>
      <c r="IP285" s="32"/>
      <c r="IQ285" s="32"/>
      <c r="IR285" s="32"/>
      <c r="IS285" s="32"/>
      <c r="IT285" s="32"/>
      <c r="IU285" s="32"/>
      <c r="IV285" s="32"/>
      <c r="IW285" s="32"/>
      <c r="IX285" s="32"/>
      <c r="IY285" s="32"/>
      <c r="IZ285" s="32"/>
      <c r="JA285" s="32"/>
      <c r="JB285" s="32"/>
      <c r="JC285" s="32"/>
      <c r="JD285" s="32"/>
      <c r="JE285" s="32"/>
      <c r="JF285" s="32"/>
      <c r="JG285" s="32"/>
      <c r="JH285" s="32"/>
      <c r="JI285" s="32"/>
      <c r="JJ285" s="32"/>
      <c r="JK285" s="32"/>
      <c r="JL285" s="32"/>
      <c r="JM285" s="32"/>
      <c r="JN285" s="32"/>
      <c r="JO285" s="32"/>
      <c r="JP285" s="32"/>
      <c r="JQ285" s="32"/>
      <c r="JR285" s="32"/>
      <c r="JS285" s="32"/>
      <c r="JT285" s="32"/>
      <c r="JU285" s="32"/>
      <c r="JV285" s="32"/>
      <c r="JW285" s="32"/>
      <c r="JX285" s="32"/>
      <c r="JY285" s="32"/>
      <c r="JZ285" s="32"/>
      <c r="KA285" s="32"/>
      <c r="KB285" s="32"/>
      <c r="KC285" s="32"/>
      <c r="KD285" s="32"/>
      <c r="KE285" s="32"/>
      <c r="KF285" s="32"/>
      <c r="KG285" s="32"/>
      <c r="KH285" s="32"/>
      <c r="KI285" s="32"/>
      <c r="KJ285" s="32"/>
      <c r="KK285" s="32"/>
      <c r="KL285" s="32"/>
      <c r="KM285" s="32"/>
      <c r="KN285" s="32"/>
      <c r="KO285" s="32"/>
      <c r="KP285" s="32"/>
      <c r="KQ285" s="32"/>
      <c r="KR285" s="32"/>
      <c r="KS285" s="32"/>
      <c r="KT285" s="32"/>
      <c r="KU285" s="32"/>
      <c r="KV285" s="32"/>
      <c r="KW285" s="32"/>
      <c r="KX285" s="32"/>
      <c r="KY285" s="32"/>
      <c r="KZ285" s="32"/>
      <c r="LA285" s="32"/>
      <c r="LB285" s="32"/>
      <c r="LC285" s="32"/>
      <c r="LD285" s="32"/>
      <c r="LE285" s="32"/>
      <c r="LF285" s="32"/>
      <c r="LG285" s="32"/>
      <c r="LH285" s="32"/>
      <c r="LI285" s="32"/>
      <c r="LJ285" s="32"/>
      <c r="LK285" s="32"/>
      <c r="LL285" s="32"/>
      <c r="LM285" s="32"/>
      <c r="LN285" s="32"/>
      <c r="LO285" s="32"/>
      <c r="LP285" s="32"/>
      <c r="LQ285" s="32"/>
      <c r="LR285" s="32"/>
      <c r="LS285" s="32"/>
      <c r="LT285" s="32"/>
      <c r="LU285" s="32"/>
      <c r="LV285" s="32"/>
      <c r="LW285" s="32"/>
      <c r="LX285" s="32"/>
      <c r="LY285" s="32"/>
      <c r="LZ285" s="32"/>
      <c r="MA285" s="32"/>
      <c r="MB285" s="32"/>
      <c r="MC285" s="32"/>
      <c r="MD285" s="32"/>
      <c r="ME285" s="32"/>
      <c r="MF285" s="32"/>
      <c r="MG285" s="32"/>
      <c r="MH285" s="32"/>
      <c r="MI285" s="32"/>
      <c r="MJ285" s="32"/>
      <c r="MK285" s="32"/>
      <c r="ML285" s="32"/>
      <c r="MM285" s="32"/>
      <c r="MN285" s="32"/>
      <c r="MO285" s="32"/>
      <c r="MP285" s="32"/>
      <c r="MQ285" s="32"/>
      <c r="MR285" s="32"/>
      <c r="MS285" s="32"/>
      <c r="MT285" s="32"/>
      <c r="MU285" s="32"/>
      <c r="MV285" s="32"/>
      <c r="MW285" s="32"/>
      <c r="MX285" s="32"/>
      <c r="MY285" s="32"/>
      <c r="MZ285" s="32"/>
      <c r="NA285" s="32"/>
      <c r="NB285" s="32"/>
      <c r="NC285" s="32"/>
      <c r="ND285" s="32"/>
      <c r="NE285" s="32"/>
      <c r="NF285" s="32"/>
      <c r="NG285" s="32"/>
      <c r="NH285" s="32"/>
      <c r="NI285" s="32"/>
      <c r="NJ285" s="32"/>
      <c r="NK285" s="32"/>
      <c r="NL285" s="32"/>
      <c r="NM285" s="32"/>
      <c r="NN285" s="32"/>
      <c r="NO285" s="32"/>
      <c r="NP285" s="32"/>
      <c r="NQ285" s="32"/>
      <c r="NR285" s="32"/>
      <c r="NS285" s="32"/>
      <c r="NT285" s="32"/>
      <c r="NU285" s="32"/>
      <c r="NV285" s="32"/>
      <c r="NW285" s="32"/>
      <c r="NX285" s="32"/>
      <c r="NY285" s="32"/>
      <c r="NZ285" s="32"/>
      <c r="OA285" s="32"/>
      <c r="OB285" s="32"/>
      <c r="OC285" s="32"/>
      <c r="OD285" s="32"/>
      <c r="OE285" s="32"/>
      <c r="OF285" s="32"/>
      <c r="OG285" s="32"/>
      <c r="OH285" s="32"/>
      <c r="OI285" s="32"/>
      <c r="OJ285" s="32"/>
      <c r="OK285" s="32"/>
      <c r="OL285" s="32"/>
      <c r="OM285" s="32"/>
      <c r="ON285" s="32"/>
      <c r="OO285" s="32"/>
      <c r="OP285" s="32"/>
      <c r="OQ285" s="32"/>
      <c r="OR285" s="32"/>
      <c r="OS285" s="32"/>
      <c r="OT285" s="32"/>
      <c r="OU285" s="32"/>
      <c r="OV285" s="32"/>
      <c r="OW285" s="32"/>
      <c r="OX285" s="32"/>
      <c r="OY285" s="32"/>
      <c r="OZ285" s="32"/>
      <c r="PA285" s="32"/>
      <c r="PB285" s="32"/>
      <c r="PC285" s="32"/>
      <c r="PD285" s="32"/>
      <c r="PE285" s="32"/>
      <c r="PF285" s="32"/>
      <c r="PG285" s="32"/>
      <c r="PH285" s="32"/>
      <c r="PI285" s="32"/>
      <c r="PJ285" s="32"/>
      <c r="PK285" s="32"/>
      <c r="PL285" s="32"/>
      <c r="PM285" s="32"/>
      <c r="PN285" s="32"/>
      <c r="PO285" s="32"/>
      <c r="PP285" s="32"/>
      <c r="PQ285" s="32"/>
      <c r="PR285" s="32"/>
      <c r="PS285" s="32"/>
      <c r="PT285" s="32"/>
      <c r="PU285" s="32"/>
      <c r="PV285" s="32"/>
      <c r="PW285" s="32"/>
      <c r="PX285" s="32"/>
      <c r="PY285" s="32"/>
      <c r="PZ285" s="32"/>
      <c r="QA285" s="32"/>
      <c r="QB285" s="32"/>
      <c r="QC285" s="32"/>
      <c r="QD285" s="32"/>
      <c r="QE285" s="32"/>
      <c r="QF285" s="32"/>
      <c r="QG285" s="32"/>
      <c r="QH285" s="32"/>
      <c r="QI285" s="32"/>
      <c r="QJ285" s="32"/>
      <c r="QK285" s="32"/>
      <c r="QL285" s="32"/>
      <c r="QM285" s="32"/>
      <c r="QN285" s="32"/>
      <c r="QO285" s="32"/>
      <c r="QP285" s="32"/>
      <c r="QQ285" s="32"/>
      <c r="QR285" s="32"/>
      <c r="QS285" s="32"/>
      <c r="QT285" s="32"/>
      <c r="QU285" s="32"/>
      <c r="QV285" s="32"/>
      <c r="QW285" s="32"/>
      <c r="QX285" s="32"/>
      <c r="QY285" s="32"/>
      <c r="QZ285" s="32"/>
      <c r="RA285" s="32"/>
      <c r="RB285" s="32"/>
      <c r="RC285" s="32"/>
      <c r="RD285" s="32"/>
      <c r="RE285" s="32"/>
      <c r="RF285" s="32"/>
      <c r="RG285" s="32"/>
      <c r="RH285" s="32"/>
      <c r="RI285" s="32"/>
      <c r="RJ285" s="32"/>
      <c r="RK285" s="32"/>
      <c r="RL285" s="32"/>
      <c r="RM285" s="32"/>
      <c r="RN285" s="32"/>
      <c r="RO285" s="32"/>
      <c r="RP285" s="32"/>
      <c r="RQ285" s="32"/>
      <c r="RR285" s="32"/>
      <c r="RS285" s="32"/>
      <c r="RT285" s="32"/>
      <c r="RU285" s="32"/>
      <c r="RV285" s="32"/>
      <c r="RW285" s="32"/>
      <c r="RX285" s="32"/>
      <c r="RY285" s="32"/>
      <c r="RZ285" s="32"/>
      <c r="SA285" s="32"/>
      <c r="SB285" s="32"/>
      <c r="SC285" s="32"/>
      <c r="SD285" s="32"/>
      <c r="SE285" s="32"/>
      <c r="SF285" s="32"/>
      <c r="SG285" s="32"/>
      <c r="SH285" s="32"/>
      <c r="SI285" s="32"/>
      <c r="SJ285" s="32"/>
      <c r="SK285" s="32"/>
      <c r="SL285" s="32"/>
      <c r="SM285" s="32"/>
      <c r="SN285" s="32"/>
      <c r="SO285" s="32"/>
      <c r="SP285" s="32"/>
      <c r="SQ285" s="32"/>
      <c r="SR285" s="32"/>
      <c r="SS285" s="32"/>
      <c r="ST285" s="32"/>
      <c r="SU285" s="32"/>
      <c r="SV285" s="32"/>
      <c r="SW285" s="32"/>
      <c r="SX285" s="32"/>
      <c r="SY285" s="32"/>
      <c r="SZ285" s="32"/>
      <c r="TA285" s="32"/>
      <c r="TB285" s="32"/>
      <c r="TC285" s="32"/>
      <c r="TD285" s="32"/>
      <c r="TE285" s="32"/>
      <c r="TF285" s="32"/>
      <c r="TG285" s="32"/>
    </row>
    <row r="286" spans="1:527" s="34" customFormat="1" ht="33.75" customHeight="1" x14ac:dyDescent="0.25">
      <c r="A286" s="100" t="s">
        <v>216</v>
      </c>
      <c r="B286" s="113"/>
      <c r="C286" s="113"/>
      <c r="D286" s="81" t="s">
        <v>40</v>
      </c>
      <c r="E286" s="102">
        <f>E287+E288++E289+E290+E291+E292</f>
        <v>21483478</v>
      </c>
      <c r="F286" s="102">
        <f t="shared" ref="F286:P286" si="162">F287+F288++F289+F290+F291+F292</f>
        <v>20983478</v>
      </c>
      <c r="G286" s="102">
        <f t="shared" si="162"/>
        <v>14962200</v>
      </c>
      <c r="H286" s="102">
        <f t="shared" si="162"/>
        <v>308778</v>
      </c>
      <c r="I286" s="102">
        <f t="shared" si="162"/>
        <v>500000</v>
      </c>
      <c r="J286" s="102">
        <f t="shared" si="162"/>
        <v>65000</v>
      </c>
      <c r="K286" s="102">
        <f>K287+K288++K289+K290+K291+K292</f>
        <v>65000</v>
      </c>
      <c r="L286" s="102">
        <f t="shared" si="162"/>
        <v>0</v>
      </c>
      <c r="M286" s="102">
        <f t="shared" si="162"/>
        <v>0</v>
      </c>
      <c r="N286" s="102">
        <f t="shared" si="162"/>
        <v>0</v>
      </c>
      <c r="O286" s="102">
        <f t="shared" si="162"/>
        <v>65000</v>
      </c>
      <c r="P286" s="102">
        <f t="shared" si="162"/>
        <v>21548478</v>
      </c>
      <c r="Q286" s="188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  <c r="FH286" s="33"/>
      <c r="FI286" s="33"/>
      <c r="FJ286" s="33"/>
      <c r="FK286" s="33"/>
      <c r="FL286" s="33"/>
      <c r="FM286" s="33"/>
      <c r="FN286" s="33"/>
      <c r="FO286" s="33"/>
      <c r="FP286" s="33"/>
      <c r="FQ286" s="33"/>
      <c r="FR286" s="33"/>
      <c r="FS286" s="33"/>
      <c r="FT286" s="33"/>
      <c r="FU286" s="33"/>
      <c r="FV286" s="33"/>
      <c r="FW286" s="33"/>
      <c r="FX286" s="33"/>
      <c r="FY286" s="33"/>
      <c r="FZ286" s="33"/>
      <c r="GA286" s="33"/>
      <c r="GB286" s="33"/>
      <c r="GC286" s="33"/>
      <c r="GD286" s="33"/>
      <c r="GE286" s="33"/>
      <c r="GF286" s="33"/>
      <c r="GG286" s="33"/>
      <c r="GH286" s="33"/>
      <c r="GI286" s="33"/>
      <c r="GJ286" s="33"/>
      <c r="GK286" s="33"/>
      <c r="GL286" s="33"/>
      <c r="GM286" s="33"/>
      <c r="GN286" s="33"/>
      <c r="GO286" s="33"/>
      <c r="GP286" s="33"/>
      <c r="GQ286" s="33"/>
      <c r="GR286" s="33"/>
      <c r="GS286" s="33"/>
      <c r="GT286" s="33"/>
      <c r="GU286" s="33"/>
      <c r="GV286" s="33"/>
      <c r="GW286" s="33"/>
      <c r="GX286" s="33"/>
      <c r="GY286" s="33"/>
      <c r="GZ286" s="33"/>
      <c r="HA286" s="33"/>
      <c r="HB286" s="33"/>
      <c r="HC286" s="33"/>
      <c r="HD286" s="33"/>
      <c r="HE286" s="33"/>
      <c r="HF286" s="33"/>
      <c r="HG286" s="33"/>
      <c r="HH286" s="33"/>
      <c r="HI286" s="33"/>
      <c r="HJ286" s="33"/>
      <c r="HK286" s="33"/>
      <c r="HL286" s="33"/>
      <c r="HM286" s="33"/>
      <c r="HN286" s="33"/>
      <c r="HO286" s="33"/>
      <c r="HP286" s="33"/>
      <c r="HQ286" s="33"/>
      <c r="HR286" s="33"/>
      <c r="HS286" s="33"/>
      <c r="HT286" s="33"/>
      <c r="HU286" s="33"/>
      <c r="HV286" s="33"/>
      <c r="HW286" s="33"/>
      <c r="HX286" s="33"/>
      <c r="HY286" s="33"/>
      <c r="HZ286" s="33"/>
      <c r="IA286" s="33"/>
      <c r="IB286" s="33"/>
      <c r="IC286" s="33"/>
      <c r="ID286" s="33"/>
      <c r="IE286" s="33"/>
      <c r="IF286" s="33"/>
      <c r="IG286" s="33"/>
      <c r="IH286" s="33"/>
      <c r="II286" s="33"/>
      <c r="IJ286" s="33"/>
      <c r="IK286" s="33"/>
      <c r="IL286" s="33"/>
      <c r="IM286" s="33"/>
      <c r="IN286" s="33"/>
      <c r="IO286" s="33"/>
      <c r="IP286" s="33"/>
      <c r="IQ286" s="33"/>
      <c r="IR286" s="33"/>
      <c r="IS286" s="33"/>
      <c r="IT286" s="33"/>
      <c r="IU286" s="33"/>
      <c r="IV286" s="33"/>
      <c r="IW286" s="33"/>
      <c r="IX286" s="33"/>
      <c r="IY286" s="33"/>
      <c r="IZ286" s="33"/>
      <c r="JA286" s="33"/>
      <c r="JB286" s="33"/>
      <c r="JC286" s="33"/>
      <c r="JD286" s="33"/>
      <c r="JE286" s="33"/>
      <c r="JF286" s="33"/>
      <c r="JG286" s="33"/>
      <c r="JH286" s="33"/>
      <c r="JI286" s="33"/>
      <c r="JJ286" s="33"/>
      <c r="JK286" s="33"/>
      <c r="JL286" s="33"/>
      <c r="JM286" s="33"/>
      <c r="JN286" s="33"/>
      <c r="JO286" s="33"/>
      <c r="JP286" s="33"/>
      <c r="JQ286" s="33"/>
      <c r="JR286" s="33"/>
      <c r="JS286" s="33"/>
      <c r="JT286" s="33"/>
      <c r="JU286" s="33"/>
      <c r="JV286" s="33"/>
      <c r="JW286" s="33"/>
      <c r="JX286" s="33"/>
      <c r="JY286" s="33"/>
      <c r="JZ286" s="33"/>
      <c r="KA286" s="33"/>
      <c r="KB286" s="33"/>
      <c r="KC286" s="33"/>
      <c r="KD286" s="33"/>
      <c r="KE286" s="33"/>
      <c r="KF286" s="33"/>
      <c r="KG286" s="33"/>
      <c r="KH286" s="33"/>
      <c r="KI286" s="33"/>
      <c r="KJ286" s="33"/>
      <c r="KK286" s="33"/>
      <c r="KL286" s="33"/>
      <c r="KM286" s="33"/>
      <c r="KN286" s="33"/>
      <c r="KO286" s="33"/>
      <c r="KP286" s="33"/>
      <c r="KQ286" s="33"/>
      <c r="KR286" s="33"/>
      <c r="KS286" s="33"/>
      <c r="KT286" s="33"/>
      <c r="KU286" s="33"/>
      <c r="KV286" s="33"/>
      <c r="KW286" s="33"/>
      <c r="KX286" s="33"/>
      <c r="KY286" s="33"/>
      <c r="KZ286" s="33"/>
      <c r="LA286" s="33"/>
      <c r="LB286" s="33"/>
      <c r="LC286" s="33"/>
      <c r="LD286" s="33"/>
      <c r="LE286" s="33"/>
      <c r="LF286" s="33"/>
      <c r="LG286" s="33"/>
      <c r="LH286" s="33"/>
      <c r="LI286" s="33"/>
      <c r="LJ286" s="33"/>
      <c r="LK286" s="33"/>
      <c r="LL286" s="33"/>
      <c r="LM286" s="33"/>
      <c r="LN286" s="33"/>
      <c r="LO286" s="33"/>
      <c r="LP286" s="33"/>
      <c r="LQ286" s="33"/>
      <c r="LR286" s="33"/>
      <c r="LS286" s="33"/>
      <c r="LT286" s="33"/>
      <c r="LU286" s="33"/>
      <c r="LV286" s="33"/>
      <c r="LW286" s="33"/>
      <c r="LX286" s="33"/>
      <c r="LY286" s="33"/>
      <c r="LZ286" s="33"/>
      <c r="MA286" s="33"/>
      <c r="MB286" s="33"/>
      <c r="MC286" s="33"/>
      <c r="MD286" s="33"/>
      <c r="ME286" s="33"/>
      <c r="MF286" s="33"/>
      <c r="MG286" s="33"/>
      <c r="MH286" s="33"/>
      <c r="MI286" s="33"/>
      <c r="MJ286" s="33"/>
      <c r="MK286" s="33"/>
      <c r="ML286" s="33"/>
      <c r="MM286" s="33"/>
      <c r="MN286" s="33"/>
      <c r="MO286" s="33"/>
      <c r="MP286" s="33"/>
      <c r="MQ286" s="33"/>
      <c r="MR286" s="33"/>
      <c r="MS286" s="33"/>
      <c r="MT286" s="33"/>
      <c r="MU286" s="33"/>
      <c r="MV286" s="33"/>
      <c r="MW286" s="33"/>
      <c r="MX286" s="33"/>
      <c r="MY286" s="33"/>
      <c r="MZ286" s="33"/>
      <c r="NA286" s="33"/>
      <c r="NB286" s="33"/>
      <c r="NC286" s="33"/>
      <c r="ND286" s="33"/>
      <c r="NE286" s="33"/>
      <c r="NF286" s="33"/>
      <c r="NG286" s="33"/>
      <c r="NH286" s="33"/>
      <c r="NI286" s="33"/>
      <c r="NJ286" s="33"/>
      <c r="NK286" s="33"/>
      <c r="NL286" s="33"/>
      <c r="NM286" s="33"/>
      <c r="NN286" s="33"/>
      <c r="NO286" s="33"/>
      <c r="NP286" s="33"/>
      <c r="NQ286" s="33"/>
      <c r="NR286" s="33"/>
      <c r="NS286" s="33"/>
      <c r="NT286" s="33"/>
      <c r="NU286" s="33"/>
      <c r="NV286" s="33"/>
      <c r="NW286" s="33"/>
      <c r="NX286" s="33"/>
      <c r="NY286" s="33"/>
      <c r="NZ286" s="33"/>
      <c r="OA286" s="33"/>
      <c r="OB286" s="33"/>
      <c r="OC286" s="33"/>
      <c r="OD286" s="33"/>
      <c r="OE286" s="33"/>
      <c r="OF286" s="33"/>
      <c r="OG286" s="33"/>
      <c r="OH286" s="33"/>
      <c r="OI286" s="33"/>
      <c r="OJ286" s="33"/>
      <c r="OK286" s="33"/>
      <c r="OL286" s="33"/>
      <c r="OM286" s="33"/>
      <c r="ON286" s="33"/>
      <c r="OO286" s="33"/>
      <c r="OP286" s="33"/>
      <c r="OQ286" s="33"/>
      <c r="OR286" s="33"/>
      <c r="OS286" s="33"/>
      <c r="OT286" s="33"/>
      <c r="OU286" s="33"/>
      <c r="OV286" s="33"/>
      <c r="OW286" s="33"/>
      <c r="OX286" s="33"/>
      <c r="OY286" s="33"/>
      <c r="OZ286" s="33"/>
      <c r="PA286" s="33"/>
      <c r="PB286" s="33"/>
      <c r="PC286" s="33"/>
      <c r="PD286" s="33"/>
      <c r="PE286" s="33"/>
      <c r="PF286" s="33"/>
      <c r="PG286" s="33"/>
      <c r="PH286" s="33"/>
      <c r="PI286" s="33"/>
      <c r="PJ286" s="33"/>
      <c r="PK286" s="33"/>
      <c r="PL286" s="33"/>
      <c r="PM286" s="33"/>
      <c r="PN286" s="33"/>
      <c r="PO286" s="33"/>
      <c r="PP286" s="33"/>
      <c r="PQ286" s="33"/>
      <c r="PR286" s="33"/>
      <c r="PS286" s="33"/>
      <c r="PT286" s="33"/>
      <c r="PU286" s="33"/>
      <c r="PV286" s="33"/>
      <c r="PW286" s="33"/>
      <c r="PX286" s="33"/>
      <c r="PY286" s="33"/>
      <c r="PZ286" s="33"/>
      <c r="QA286" s="33"/>
      <c r="QB286" s="33"/>
      <c r="QC286" s="33"/>
      <c r="QD286" s="33"/>
      <c r="QE286" s="33"/>
      <c r="QF286" s="33"/>
      <c r="QG286" s="33"/>
      <c r="QH286" s="33"/>
      <c r="QI286" s="33"/>
      <c r="QJ286" s="33"/>
      <c r="QK286" s="33"/>
      <c r="QL286" s="33"/>
      <c r="QM286" s="33"/>
      <c r="QN286" s="33"/>
      <c r="QO286" s="33"/>
      <c r="QP286" s="33"/>
      <c r="QQ286" s="33"/>
      <c r="QR286" s="33"/>
      <c r="QS286" s="33"/>
      <c r="QT286" s="33"/>
      <c r="QU286" s="33"/>
      <c r="QV286" s="33"/>
      <c r="QW286" s="33"/>
      <c r="QX286" s="33"/>
      <c r="QY286" s="33"/>
      <c r="QZ286" s="33"/>
      <c r="RA286" s="33"/>
      <c r="RB286" s="33"/>
      <c r="RC286" s="33"/>
      <c r="RD286" s="33"/>
      <c r="RE286" s="33"/>
      <c r="RF286" s="33"/>
      <c r="RG286" s="33"/>
      <c r="RH286" s="33"/>
      <c r="RI286" s="33"/>
      <c r="RJ286" s="33"/>
      <c r="RK286" s="33"/>
      <c r="RL286" s="33"/>
      <c r="RM286" s="33"/>
      <c r="RN286" s="33"/>
      <c r="RO286" s="33"/>
      <c r="RP286" s="33"/>
      <c r="RQ286" s="33"/>
      <c r="RR286" s="33"/>
      <c r="RS286" s="33"/>
      <c r="RT286" s="33"/>
      <c r="RU286" s="33"/>
      <c r="RV286" s="33"/>
      <c r="RW286" s="33"/>
      <c r="RX286" s="33"/>
      <c r="RY286" s="33"/>
      <c r="RZ286" s="33"/>
      <c r="SA286" s="33"/>
      <c r="SB286" s="33"/>
      <c r="SC286" s="33"/>
      <c r="SD286" s="33"/>
      <c r="SE286" s="33"/>
      <c r="SF286" s="33"/>
      <c r="SG286" s="33"/>
      <c r="SH286" s="33"/>
      <c r="SI286" s="33"/>
      <c r="SJ286" s="33"/>
      <c r="SK286" s="33"/>
      <c r="SL286" s="33"/>
      <c r="SM286" s="33"/>
      <c r="SN286" s="33"/>
      <c r="SO286" s="33"/>
      <c r="SP286" s="33"/>
      <c r="SQ286" s="33"/>
      <c r="SR286" s="33"/>
      <c r="SS286" s="33"/>
      <c r="ST286" s="33"/>
      <c r="SU286" s="33"/>
      <c r="SV286" s="33"/>
      <c r="SW286" s="33"/>
      <c r="SX286" s="33"/>
      <c r="SY286" s="33"/>
      <c r="SZ286" s="33"/>
      <c r="TA286" s="33"/>
      <c r="TB286" s="33"/>
      <c r="TC286" s="33"/>
      <c r="TD286" s="33"/>
      <c r="TE286" s="33"/>
      <c r="TF286" s="33"/>
      <c r="TG286" s="33"/>
    </row>
    <row r="287" spans="1:527" s="22" customFormat="1" ht="47.25" x14ac:dyDescent="0.25">
      <c r="A287" s="60" t="s">
        <v>217</v>
      </c>
      <c r="B287" s="97" t="str">
        <f>'дод 5'!A20</f>
        <v>0160</v>
      </c>
      <c r="C287" s="97" t="str">
        <f>'дод 5'!B20</f>
        <v>0111</v>
      </c>
      <c r="D287" s="36" t="s">
        <v>503</v>
      </c>
      <c r="E287" s="103">
        <f t="shared" ref="E287:E292" si="163">F287+I287</f>
        <v>19330478</v>
      </c>
      <c r="F287" s="103">
        <f>19290300+18000+22178</f>
        <v>19330478</v>
      </c>
      <c r="G287" s="103">
        <v>14962200</v>
      </c>
      <c r="H287" s="103">
        <f>286600+22178</f>
        <v>308778</v>
      </c>
      <c r="I287" s="103"/>
      <c r="J287" s="103">
        <f>L287+O287</f>
        <v>0</v>
      </c>
      <c r="K287" s="103">
        <f>18000-18000</f>
        <v>0</v>
      </c>
      <c r="L287" s="103"/>
      <c r="M287" s="103"/>
      <c r="N287" s="103"/>
      <c r="O287" s="103">
        <f>18000-18000</f>
        <v>0</v>
      </c>
      <c r="P287" s="103">
        <f t="shared" ref="P287:P292" si="164">E287+J287</f>
        <v>19330478</v>
      </c>
      <c r="Q287" s="188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  <c r="TF287" s="23"/>
      <c r="TG287" s="23"/>
    </row>
    <row r="288" spans="1:527" s="25" customFormat="1" ht="25.5" customHeight="1" x14ac:dyDescent="0.25">
      <c r="A288" s="60" t="s">
        <v>218</v>
      </c>
      <c r="B288" s="97" t="str">
        <f>'дод 5'!A168</f>
        <v>7130</v>
      </c>
      <c r="C288" s="97" t="str">
        <f>'дод 5'!B168</f>
        <v>0421</v>
      </c>
      <c r="D288" s="61" t="str">
        <f>'дод 5'!C168</f>
        <v>Здійснення заходів із землеустрою</v>
      </c>
      <c r="E288" s="103">
        <f t="shared" si="163"/>
        <v>450000</v>
      </c>
      <c r="F288" s="103">
        <f>150000+300000</f>
        <v>450000</v>
      </c>
      <c r="G288" s="103"/>
      <c r="H288" s="103"/>
      <c r="I288" s="103"/>
      <c r="J288" s="103">
        <f t="shared" ref="J288:J292" si="165">L288+O288</f>
        <v>0</v>
      </c>
      <c r="K288" s="103"/>
      <c r="L288" s="103"/>
      <c r="M288" s="103"/>
      <c r="N288" s="103"/>
      <c r="O288" s="103"/>
      <c r="P288" s="103">
        <f t="shared" si="164"/>
        <v>450000</v>
      </c>
      <c r="Q288" s="188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  <c r="HP288" s="31"/>
      <c r="HQ288" s="31"/>
      <c r="HR288" s="31"/>
      <c r="HS288" s="31"/>
      <c r="HT288" s="31"/>
      <c r="HU288" s="31"/>
      <c r="HV288" s="31"/>
      <c r="HW288" s="31"/>
      <c r="HX288" s="31"/>
      <c r="HY288" s="31"/>
      <c r="HZ288" s="31"/>
      <c r="IA288" s="31"/>
      <c r="IB288" s="31"/>
      <c r="IC288" s="31"/>
      <c r="ID288" s="31"/>
      <c r="IE288" s="31"/>
      <c r="IF288" s="31"/>
      <c r="IG288" s="31"/>
      <c r="IH288" s="31"/>
      <c r="II288" s="31"/>
      <c r="IJ288" s="31"/>
      <c r="IK288" s="31"/>
      <c r="IL288" s="31"/>
      <c r="IM288" s="31"/>
      <c r="IN288" s="31"/>
      <c r="IO288" s="31"/>
      <c r="IP288" s="31"/>
      <c r="IQ288" s="31"/>
      <c r="IR288" s="31"/>
      <c r="IS288" s="31"/>
      <c r="IT288" s="31"/>
      <c r="IU288" s="31"/>
      <c r="IV288" s="31"/>
      <c r="IW288" s="31"/>
      <c r="IX288" s="31"/>
      <c r="IY288" s="31"/>
      <c r="IZ288" s="31"/>
      <c r="JA288" s="31"/>
      <c r="JB288" s="31"/>
      <c r="JC288" s="31"/>
      <c r="JD288" s="31"/>
      <c r="JE288" s="31"/>
      <c r="JF288" s="31"/>
      <c r="JG288" s="31"/>
      <c r="JH288" s="31"/>
      <c r="JI288" s="31"/>
      <c r="JJ288" s="31"/>
      <c r="JK288" s="31"/>
      <c r="JL288" s="31"/>
      <c r="JM288" s="31"/>
      <c r="JN288" s="31"/>
      <c r="JO288" s="31"/>
      <c r="JP288" s="31"/>
      <c r="JQ288" s="31"/>
      <c r="JR288" s="31"/>
      <c r="JS288" s="31"/>
      <c r="JT288" s="31"/>
      <c r="JU288" s="31"/>
      <c r="JV288" s="31"/>
      <c r="JW288" s="31"/>
      <c r="JX288" s="31"/>
      <c r="JY288" s="31"/>
      <c r="JZ288" s="31"/>
      <c r="KA288" s="31"/>
      <c r="KB288" s="31"/>
      <c r="KC288" s="31"/>
      <c r="KD288" s="31"/>
      <c r="KE288" s="31"/>
      <c r="KF288" s="31"/>
      <c r="KG288" s="31"/>
      <c r="KH288" s="31"/>
      <c r="KI288" s="31"/>
      <c r="KJ288" s="31"/>
      <c r="KK288" s="31"/>
      <c r="KL288" s="31"/>
      <c r="KM288" s="31"/>
      <c r="KN288" s="31"/>
      <c r="KO288" s="31"/>
      <c r="KP288" s="31"/>
      <c r="KQ288" s="31"/>
      <c r="KR288" s="31"/>
      <c r="KS288" s="31"/>
      <c r="KT288" s="31"/>
      <c r="KU288" s="31"/>
      <c r="KV288" s="31"/>
      <c r="KW288" s="31"/>
      <c r="KX288" s="31"/>
      <c r="KY288" s="31"/>
      <c r="KZ288" s="31"/>
      <c r="LA288" s="31"/>
      <c r="LB288" s="31"/>
      <c r="LC288" s="31"/>
      <c r="LD288" s="31"/>
      <c r="LE288" s="31"/>
      <c r="LF288" s="31"/>
      <c r="LG288" s="31"/>
      <c r="LH288" s="31"/>
      <c r="LI288" s="31"/>
      <c r="LJ288" s="31"/>
      <c r="LK288" s="31"/>
      <c r="LL288" s="31"/>
      <c r="LM288" s="31"/>
      <c r="LN288" s="31"/>
      <c r="LO288" s="31"/>
      <c r="LP288" s="31"/>
      <c r="LQ288" s="31"/>
      <c r="LR288" s="31"/>
      <c r="LS288" s="31"/>
      <c r="LT288" s="31"/>
      <c r="LU288" s="31"/>
      <c r="LV288" s="31"/>
      <c r="LW288" s="31"/>
      <c r="LX288" s="31"/>
      <c r="LY288" s="31"/>
      <c r="LZ288" s="31"/>
      <c r="MA288" s="31"/>
      <c r="MB288" s="31"/>
      <c r="MC288" s="31"/>
      <c r="MD288" s="31"/>
      <c r="ME288" s="31"/>
      <c r="MF288" s="31"/>
      <c r="MG288" s="31"/>
      <c r="MH288" s="31"/>
      <c r="MI288" s="31"/>
      <c r="MJ288" s="31"/>
      <c r="MK288" s="31"/>
      <c r="ML288" s="31"/>
      <c r="MM288" s="31"/>
      <c r="MN288" s="31"/>
      <c r="MO288" s="31"/>
      <c r="MP288" s="31"/>
      <c r="MQ288" s="31"/>
      <c r="MR288" s="31"/>
      <c r="MS288" s="31"/>
      <c r="MT288" s="31"/>
      <c r="MU288" s="31"/>
      <c r="MV288" s="31"/>
      <c r="MW288" s="31"/>
      <c r="MX288" s="31"/>
      <c r="MY288" s="31"/>
      <c r="MZ288" s="31"/>
      <c r="NA288" s="31"/>
      <c r="NB288" s="31"/>
      <c r="NC288" s="31"/>
      <c r="ND288" s="31"/>
      <c r="NE288" s="31"/>
      <c r="NF288" s="31"/>
      <c r="NG288" s="31"/>
      <c r="NH288" s="31"/>
      <c r="NI288" s="31"/>
      <c r="NJ288" s="31"/>
      <c r="NK288" s="31"/>
      <c r="NL288" s="31"/>
      <c r="NM288" s="31"/>
      <c r="NN288" s="31"/>
      <c r="NO288" s="31"/>
      <c r="NP288" s="31"/>
      <c r="NQ288" s="31"/>
      <c r="NR288" s="31"/>
      <c r="NS288" s="31"/>
      <c r="NT288" s="31"/>
      <c r="NU288" s="31"/>
      <c r="NV288" s="31"/>
      <c r="NW288" s="31"/>
      <c r="NX288" s="31"/>
      <c r="NY288" s="31"/>
      <c r="NZ288" s="31"/>
      <c r="OA288" s="31"/>
      <c r="OB288" s="31"/>
      <c r="OC288" s="31"/>
      <c r="OD288" s="31"/>
      <c r="OE288" s="31"/>
      <c r="OF288" s="31"/>
      <c r="OG288" s="31"/>
      <c r="OH288" s="31"/>
      <c r="OI288" s="31"/>
      <c r="OJ288" s="31"/>
      <c r="OK288" s="31"/>
      <c r="OL288" s="31"/>
      <c r="OM288" s="31"/>
      <c r="ON288" s="31"/>
      <c r="OO288" s="31"/>
      <c r="OP288" s="31"/>
      <c r="OQ288" s="31"/>
      <c r="OR288" s="31"/>
      <c r="OS288" s="31"/>
      <c r="OT288" s="31"/>
      <c r="OU288" s="31"/>
      <c r="OV288" s="31"/>
      <c r="OW288" s="31"/>
      <c r="OX288" s="31"/>
      <c r="OY288" s="31"/>
      <c r="OZ288" s="31"/>
      <c r="PA288" s="31"/>
      <c r="PB288" s="31"/>
      <c r="PC288" s="31"/>
      <c r="PD288" s="31"/>
      <c r="PE288" s="31"/>
      <c r="PF288" s="31"/>
      <c r="PG288" s="31"/>
      <c r="PH288" s="31"/>
      <c r="PI288" s="31"/>
      <c r="PJ288" s="31"/>
      <c r="PK288" s="31"/>
      <c r="PL288" s="31"/>
      <c r="PM288" s="31"/>
      <c r="PN288" s="31"/>
      <c r="PO288" s="31"/>
      <c r="PP288" s="31"/>
      <c r="PQ288" s="31"/>
      <c r="PR288" s="31"/>
      <c r="PS288" s="31"/>
      <c r="PT288" s="31"/>
      <c r="PU288" s="31"/>
      <c r="PV288" s="31"/>
      <c r="PW288" s="31"/>
      <c r="PX288" s="31"/>
      <c r="PY288" s="31"/>
      <c r="PZ288" s="31"/>
      <c r="QA288" s="31"/>
      <c r="QB288" s="31"/>
      <c r="QC288" s="31"/>
      <c r="QD288" s="31"/>
      <c r="QE288" s="31"/>
      <c r="QF288" s="31"/>
      <c r="QG288" s="31"/>
      <c r="QH288" s="31"/>
      <c r="QI288" s="31"/>
      <c r="QJ288" s="31"/>
      <c r="QK288" s="31"/>
      <c r="QL288" s="31"/>
      <c r="QM288" s="31"/>
      <c r="QN288" s="31"/>
      <c r="QO288" s="31"/>
      <c r="QP288" s="31"/>
      <c r="QQ288" s="31"/>
      <c r="QR288" s="31"/>
      <c r="QS288" s="31"/>
      <c r="QT288" s="31"/>
      <c r="QU288" s="31"/>
      <c r="QV288" s="31"/>
      <c r="QW288" s="31"/>
      <c r="QX288" s="31"/>
      <c r="QY288" s="31"/>
      <c r="QZ288" s="31"/>
      <c r="RA288" s="31"/>
      <c r="RB288" s="31"/>
      <c r="RC288" s="31"/>
      <c r="RD288" s="31"/>
      <c r="RE288" s="31"/>
      <c r="RF288" s="31"/>
      <c r="RG288" s="31"/>
      <c r="RH288" s="31"/>
      <c r="RI288" s="31"/>
      <c r="RJ288" s="31"/>
      <c r="RK288" s="31"/>
      <c r="RL288" s="31"/>
      <c r="RM288" s="31"/>
      <c r="RN288" s="31"/>
      <c r="RO288" s="31"/>
      <c r="RP288" s="31"/>
      <c r="RQ288" s="31"/>
      <c r="RR288" s="31"/>
      <c r="RS288" s="31"/>
      <c r="RT288" s="31"/>
      <c r="RU288" s="31"/>
      <c r="RV288" s="31"/>
      <c r="RW288" s="31"/>
      <c r="RX288" s="31"/>
      <c r="RY288" s="31"/>
      <c r="RZ288" s="31"/>
      <c r="SA288" s="31"/>
      <c r="SB288" s="31"/>
      <c r="SC288" s="31"/>
      <c r="SD288" s="31"/>
      <c r="SE288" s="31"/>
      <c r="SF288" s="31"/>
      <c r="SG288" s="31"/>
      <c r="SH288" s="31"/>
      <c r="SI288" s="31"/>
      <c r="SJ288" s="31"/>
      <c r="SK288" s="31"/>
      <c r="SL288" s="31"/>
      <c r="SM288" s="31"/>
      <c r="SN288" s="31"/>
      <c r="SO288" s="31"/>
      <c r="SP288" s="31"/>
      <c r="SQ288" s="31"/>
      <c r="SR288" s="31"/>
      <c r="SS288" s="31"/>
      <c r="ST288" s="31"/>
      <c r="SU288" s="31"/>
      <c r="SV288" s="31"/>
      <c r="SW288" s="31"/>
      <c r="SX288" s="31"/>
      <c r="SY288" s="31"/>
      <c r="SZ288" s="31"/>
      <c r="TA288" s="31"/>
      <c r="TB288" s="31"/>
      <c r="TC288" s="31"/>
      <c r="TD288" s="31"/>
      <c r="TE288" s="31"/>
      <c r="TF288" s="31"/>
      <c r="TG288" s="31"/>
    </row>
    <row r="289" spans="1:527" s="22" customFormat="1" ht="29.25" customHeight="1" x14ac:dyDescent="0.25">
      <c r="A289" s="107" t="s">
        <v>219</v>
      </c>
      <c r="B289" s="42" t="str">
        <f>'дод 5'!A202</f>
        <v>7610</v>
      </c>
      <c r="C289" s="42" t="str">
        <f>'дод 5'!B202</f>
        <v>0411</v>
      </c>
      <c r="D289" s="36" t="str">
        <f>'дод 5'!C202</f>
        <v>Сприяння розвитку малого та середнього підприємництва</v>
      </c>
      <c r="E289" s="103">
        <f t="shared" si="163"/>
        <v>915000</v>
      </c>
      <c r="F289" s="103">
        <v>415000</v>
      </c>
      <c r="G289" s="103"/>
      <c r="H289" s="103"/>
      <c r="I289" s="103">
        <v>500000</v>
      </c>
      <c r="J289" s="103">
        <f t="shared" si="165"/>
        <v>0</v>
      </c>
      <c r="K289" s="103"/>
      <c r="L289" s="103"/>
      <c r="M289" s="103"/>
      <c r="N289" s="103"/>
      <c r="O289" s="103"/>
      <c r="P289" s="103">
        <f t="shared" si="164"/>
        <v>915000</v>
      </c>
      <c r="Q289" s="188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  <c r="TF289" s="23"/>
      <c r="TG289" s="23"/>
    </row>
    <row r="290" spans="1:527" s="22" customFormat="1" ht="32.25" customHeight="1" x14ac:dyDescent="0.25">
      <c r="A290" s="107" t="s">
        <v>268</v>
      </c>
      <c r="B290" s="42" t="str">
        <f>'дод 5'!A205</f>
        <v>7650</v>
      </c>
      <c r="C290" s="42" t="str">
        <f>'дод 5'!B205</f>
        <v>0490</v>
      </c>
      <c r="D290" s="36" t="str">
        <f>'дод 5'!C205</f>
        <v>Проведення експертної грошової оцінки земельної ділянки чи права на неї</v>
      </c>
      <c r="E290" s="103">
        <f t="shared" si="163"/>
        <v>0</v>
      </c>
      <c r="F290" s="103"/>
      <c r="G290" s="103"/>
      <c r="H290" s="103"/>
      <c r="I290" s="103"/>
      <c r="J290" s="103">
        <f t="shared" si="165"/>
        <v>20000</v>
      </c>
      <c r="K290" s="103">
        <v>20000</v>
      </c>
      <c r="L290" s="103"/>
      <c r="M290" s="103"/>
      <c r="N290" s="103"/>
      <c r="O290" s="103">
        <v>20000</v>
      </c>
      <c r="P290" s="103">
        <f t="shared" si="164"/>
        <v>20000</v>
      </c>
      <c r="Q290" s="188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  <c r="TF290" s="23"/>
      <c r="TG290" s="23"/>
    </row>
    <row r="291" spans="1:527" s="22" customFormat="1" ht="67.5" customHeight="1" x14ac:dyDescent="0.25">
      <c r="A291" s="107" t="s">
        <v>270</v>
      </c>
      <c r="B291" s="42" t="str">
        <f>'дод 5'!A206</f>
        <v>7660</v>
      </c>
      <c r="C291" s="42" t="str">
        <f>'дод 5'!B206</f>
        <v>0490</v>
      </c>
      <c r="D291" s="36" t="str">
        <f>'дод 5'!C206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91" s="103">
        <f t="shared" si="163"/>
        <v>0</v>
      </c>
      <c r="F291" s="103"/>
      <c r="G291" s="103"/>
      <c r="H291" s="103"/>
      <c r="I291" s="103"/>
      <c r="J291" s="103">
        <f t="shared" si="165"/>
        <v>45000</v>
      </c>
      <c r="K291" s="103">
        <v>45000</v>
      </c>
      <c r="L291" s="103"/>
      <c r="M291" s="103"/>
      <c r="N291" s="103"/>
      <c r="O291" s="103">
        <v>45000</v>
      </c>
      <c r="P291" s="103">
        <f t="shared" si="164"/>
        <v>45000</v>
      </c>
      <c r="Q291" s="188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  <c r="TF291" s="23"/>
      <c r="TG291" s="23"/>
    </row>
    <row r="292" spans="1:527" s="22" customFormat="1" ht="23.25" customHeight="1" x14ac:dyDescent="0.25">
      <c r="A292" s="107" t="s">
        <v>266</v>
      </c>
      <c r="B292" s="42" t="str">
        <f>'дод 5'!A211</f>
        <v>7693</v>
      </c>
      <c r="C292" s="42" t="str">
        <f>'дод 5'!B211</f>
        <v>0490</v>
      </c>
      <c r="D292" s="36" t="str">
        <f>'дод 5'!C211</f>
        <v>Інші заходи, пов'язані з економічною діяльністю</v>
      </c>
      <c r="E292" s="103">
        <f t="shared" si="163"/>
        <v>788000</v>
      </c>
      <c r="F292" s="103">
        <f>788000</f>
        <v>788000</v>
      </c>
      <c r="G292" s="103"/>
      <c r="H292" s="103"/>
      <c r="I292" s="103"/>
      <c r="J292" s="103">
        <f t="shared" si="165"/>
        <v>0</v>
      </c>
      <c r="K292" s="103"/>
      <c r="L292" s="103"/>
      <c r="M292" s="103"/>
      <c r="N292" s="103"/>
      <c r="O292" s="103"/>
      <c r="P292" s="103">
        <f t="shared" si="164"/>
        <v>788000</v>
      </c>
      <c r="Q292" s="188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  <c r="TF292" s="23"/>
      <c r="TG292" s="23"/>
    </row>
    <row r="293" spans="1:527" s="22" customFormat="1" ht="35.25" customHeight="1" x14ac:dyDescent="0.25">
      <c r="A293" s="110" t="s">
        <v>428</v>
      </c>
      <c r="B293" s="39"/>
      <c r="C293" s="39"/>
      <c r="D293" s="111" t="s">
        <v>429</v>
      </c>
      <c r="E293" s="99">
        <f>E294</f>
        <v>20000</v>
      </c>
      <c r="F293" s="99">
        <f t="shared" ref="F293:P293" si="166">F294</f>
        <v>20000</v>
      </c>
      <c r="G293" s="99">
        <f t="shared" si="166"/>
        <v>0</v>
      </c>
      <c r="H293" s="99">
        <f t="shared" si="166"/>
        <v>0</v>
      </c>
      <c r="I293" s="99">
        <f t="shared" si="166"/>
        <v>0</v>
      </c>
      <c r="J293" s="99">
        <f t="shared" si="166"/>
        <v>0</v>
      </c>
      <c r="K293" s="99">
        <f t="shared" si="166"/>
        <v>0</v>
      </c>
      <c r="L293" s="99">
        <f t="shared" si="166"/>
        <v>0</v>
      </c>
      <c r="M293" s="99">
        <f t="shared" si="166"/>
        <v>0</v>
      </c>
      <c r="N293" s="99">
        <f t="shared" si="166"/>
        <v>0</v>
      </c>
      <c r="O293" s="99">
        <f t="shared" si="166"/>
        <v>0</v>
      </c>
      <c r="P293" s="99">
        <f t="shared" si="166"/>
        <v>20000</v>
      </c>
      <c r="Q293" s="188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  <c r="SQ293" s="23"/>
      <c r="SR293" s="23"/>
      <c r="SS293" s="23"/>
      <c r="ST293" s="23"/>
      <c r="SU293" s="23"/>
      <c r="SV293" s="23"/>
      <c r="SW293" s="23"/>
      <c r="SX293" s="23"/>
      <c r="SY293" s="23"/>
      <c r="SZ293" s="23"/>
      <c r="TA293" s="23"/>
      <c r="TB293" s="23"/>
      <c r="TC293" s="23"/>
      <c r="TD293" s="23"/>
      <c r="TE293" s="23"/>
      <c r="TF293" s="23"/>
      <c r="TG293" s="23"/>
    </row>
    <row r="294" spans="1:527" s="34" customFormat="1" ht="34.5" customHeight="1" x14ac:dyDescent="0.25">
      <c r="A294" s="112" t="s">
        <v>427</v>
      </c>
      <c r="B294" s="78"/>
      <c r="C294" s="78"/>
      <c r="D294" s="81" t="s">
        <v>429</v>
      </c>
      <c r="E294" s="102">
        <f>E295</f>
        <v>20000</v>
      </c>
      <c r="F294" s="102">
        <f t="shared" ref="F294:P294" si="167">F295</f>
        <v>20000</v>
      </c>
      <c r="G294" s="102">
        <f t="shared" si="167"/>
        <v>0</v>
      </c>
      <c r="H294" s="102">
        <f t="shared" si="167"/>
        <v>0</v>
      </c>
      <c r="I294" s="102">
        <f t="shared" si="167"/>
        <v>0</v>
      </c>
      <c r="J294" s="102">
        <f t="shared" si="167"/>
        <v>0</v>
      </c>
      <c r="K294" s="102">
        <f t="shared" si="167"/>
        <v>0</v>
      </c>
      <c r="L294" s="102">
        <f t="shared" si="167"/>
        <v>0</v>
      </c>
      <c r="M294" s="102">
        <f t="shared" si="167"/>
        <v>0</v>
      </c>
      <c r="N294" s="102">
        <f t="shared" si="167"/>
        <v>0</v>
      </c>
      <c r="O294" s="102">
        <f t="shared" si="167"/>
        <v>0</v>
      </c>
      <c r="P294" s="102">
        <f t="shared" si="167"/>
        <v>20000</v>
      </c>
      <c r="Q294" s="188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  <c r="EO294" s="33"/>
      <c r="EP294" s="33"/>
      <c r="EQ294" s="33"/>
      <c r="ER294" s="33"/>
      <c r="ES294" s="33"/>
      <c r="ET294" s="33"/>
      <c r="EU294" s="33"/>
      <c r="EV294" s="33"/>
      <c r="EW294" s="33"/>
      <c r="EX294" s="33"/>
      <c r="EY294" s="33"/>
      <c r="EZ294" s="33"/>
      <c r="FA294" s="33"/>
      <c r="FB294" s="33"/>
      <c r="FC294" s="33"/>
      <c r="FD294" s="33"/>
      <c r="FE294" s="33"/>
      <c r="FF294" s="33"/>
      <c r="FG294" s="33"/>
      <c r="FH294" s="33"/>
      <c r="FI294" s="33"/>
      <c r="FJ294" s="33"/>
      <c r="FK294" s="33"/>
      <c r="FL294" s="33"/>
      <c r="FM294" s="33"/>
      <c r="FN294" s="33"/>
      <c r="FO294" s="33"/>
      <c r="FP294" s="33"/>
      <c r="FQ294" s="33"/>
      <c r="FR294" s="33"/>
      <c r="FS294" s="33"/>
      <c r="FT294" s="33"/>
      <c r="FU294" s="33"/>
      <c r="FV294" s="33"/>
      <c r="FW294" s="33"/>
      <c r="FX294" s="33"/>
      <c r="FY294" s="33"/>
      <c r="FZ294" s="33"/>
      <c r="GA294" s="33"/>
      <c r="GB294" s="33"/>
      <c r="GC294" s="33"/>
      <c r="GD294" s="33"/>
      <c r="GE294" s="33"/>
      <c r="GF294" s="33"/>
      <c r="GG294" s="33"/>
      <c r="GH294" s="33"/>
      <c r="GI294" s="33"/>
      <c r="GJ294" s="33"/>
      <c r="GK294" s="33"/>
      <c r="GL294" s="33"/>
      <c r="GM294" s="33"/>
      <c r="GN294" s="33"/>
      <c r="GO294" s="33"/>
      <c r="GP294" s="33"/>
      <c r="GQ294" s="33"/>
      <c r="GR294" s="33"/>
      <c r="GS294" s="33"/>
      <c r="GT294" s="33"/>
      <c r="GU294" s="33"/>
      <c r="GV294" s="33"/>
      <c r="GW294" s="33"/>
      <c r="GX294" s="33"/>
      <c r="GY294" s="33"/>
      <c r="GZ294" s="33"/>
      <c r="HA294" s="33"/>
      <c r="HB294" s="33"/>
      <c r="HC294" s="33"/>
      <c r="HD294" s="33"/>
      <c r="HE294" s="33"/>
      <c r="HF294" s="33"/>
      <c r="HG294" s="33"/>
      <c r="HH294" s="33"/>
      <c r="HI294" s="33"/>
      <c r="HJ294" s="33"/>
      <c r="HK294" s="33"/>
      <c r="HL294" s="33"/>
      <c r="HM294" s="33"/>
      <c r="HN294" s="33"/>
      <c r="HO294" s="33"/>
      <c r="HP294" s="33"/>
      <c r="HQ294" s="33"/>
      <c r="HR294" s="33"/>
      <c r="HS294" s="33"/>
      <c r="HT294" s="33"/>
      <c r="HU294" s="33"/>
      <c r="HV294" s="33"/>
      <c r="HW294" s="33"/>
      <c r="HX294" s="33"/>
      <c r="HY294" s="33"/>
      <c r="HZ294" s="33"/>
      <c r="IA294" s="33"/>
      <c r="IB294" s="33"/>
      <c r="IC294" s="33"/>
      <c r="ID294" s="33"/>
      <c r="IE294" s="33"/>
      <c r="IF294" s="33"/>
      <c r="IG294" s="33"/>
      <c r="IH294" s="33"/>
      <c r="II294" s="33"/>
      <c r="IJ294" s="33"/>
      <c r="IK294" s="33"/>
      <c r="IL294" s="33"/>
      <c r="IM294" s="33"/>
      <c r="IN294" s="33"/>
      <c r="IO294" s="33"/>
      <c r="IP294" s="33"/>
      <c r="IQ294" s="33"/>
      <c r="IR294" s="33"/>
      <c r="IS294" s="33"/>
      <c r="IT294" s="33"/>
      <c r="IU294" s="33"/>
      <c r="IV294" s="33"/>
      <c r="IW294" s="33"/>
      <c r="IX294" s="33"/>
      <c r="IY294" s="33"/>
      <c r="IZ294" s="33"/>
      <c r="JA294" s="33"/>
      <c r="JB294" s="33"/>
      <c r="JC294" s="33"/>
      <c r="JD294" s="33"/>
      <c r="JE294" s="33"/>
      <c r="JF294" s="33"/>
      <c r="JG294" s="33"/>
      <c r="JH294" s="33"/>
      <c r="JI294" s="33"/>
      <c r="JJ294" s="33"/>
      <c r="JK294" s="33"/>
      <c r="JL294" s="33"/>
      <c r="JM294" s="33"/>
      <c r="JN294" s="33"/>
      <c r="JO294" s="33"/>
      <c r="JP294" s="33"/>
      <c r="JQ294" s="33"/>
      <c r="JR294" s="33"/>
      <c r="JS294" s="33"/>
      <c r="JT294" s="33"/>
      <c r="JU294" s="33"/>
      <c r="JV294" s="33"/>
      <c r="JW294" s="33"/>
      <c r="JX294" s="33"/>
      <c r="JY294" s="33"/>
      <c r="JZ294" s="33"/>
      <c r="KA294" s="33"/>
      <c r="KB294" s="33"/>
      <c r="KC294" s="33"/>
      <c r="KD294" s="33"/>
      <c r="KE294" s="33"/>
      <c r="KF294" s="33"/>
      <c r="KG294" s="33"/>
      <c r="KH294" s="33"/>
      <c r="KI294" s="33"/>
      <c r="KJ294" s="33"/>
      <c r="KK294" s="33"/>
      <c r="KL294" s="33"/>
      <c r="KM294" s="33"/>
      <c r="KN294" s="33"/>
      <c r="KO294" s="33"/>
      <c r="KP294" s="33"/>
      <c r="KQ294" s="33"/>
      <c r="KR294" s="33"/>
      <c r="KS294" s="33"/>
      <c r="KT294" s="33"/>
      <c r="KU294" s="33"/>
      <c r="KV294" s="33"/>
      <c r="KW294" s="33"/>
      <c r="KX294" s="33"/>
      <c r="KY294" s="33"/>
      <c r="KZ294" s="33"/>
      <c r="LA294" s="33"/>
      <c r="LB294" s="33"/>
      <c r="LC294" s="33"/>
      <c r="LD294" s="33"/>
      <c r="LE294" s="33"/>
      <c r="LF294" s="33"/>
      <c r="LG294" s="33"/>
      <c r="LH294" s="33"/>
      <c r="LI294" s="33"/>
      <c r="LJ294" s="33"/>
      <c r="LK294" s="33"/>
      <c r="LL294" s="33"/>
      <c r="LM294" s="33"/>
      <c r="LN294" s="33"/>
      <c r="LO294" s="33"/>
      <c r="LP294" s="33"/>
      <c r="LQ294" s="33"/>
      <c r="LR294" s="33"/>
      <c r="LS294" s="33"/>
      <c r="LT294" s="33"/>
      <c r="LU294" s="33"/>
      <c r="LV294" s="33"/>
      <c r="LW294" s="33"/>
      <c r="LX294" s="33"/>
      <c r="LY294" s="33"/>
      <c r="LZ294" s="33"/>
      <c r="MA294" s="33"/>
      <c r="MB294" s="33"/>
      <c r="MC294" s="33"/>
      <c r="MD294" s="33"/>
      <c r="ME294" s="33"/>
      <c r="MF294" s="33"/>
      <c r="MG294" s="33"/>
      <c r="MH294" s="33"/>
      <c r="MI294" s="33"/>
      <c r="MJ294" s="33"/>
      <c r="MK294" s="33"/>
      <c r="ML294" s="33"/>
      <c r="MM294" s="33"/>
      <c r="MN294" s="33"/>
      <c r="MO294" s="33"/>
      <c r="MP294" s="33"/>
      <c r="MQ294" s="33"/>
      <c r="MR294" s="33"/>
      <c r="MS294" s="33"/>
      <c r="MT294" s="33"/>
      <c r="MU294" s="33"/>
      <c r="MV294" s="33"/>
      <c r="MW294" s="33"/>
      <c r="MX294" s="33"/>
      <c r="MY294" s="33"/>
      <c r="MZ294" s="33"/>
      <c r="NA294" s="33"/>
      <c r="NB294" s="33"/>
      <c r="NC294" s="33"/>
      <c r="ND294" s="33"/>
      <c r="NE294" s="33"/>
      <c r="NF294" s="33"/>
      <c r="NG294" s="33"/>
      <c r="NH294" s="33"/>
      <c r="NI294" s="33"/>
      <c r="NJ294" s="33"/>
      <c r="NK294" s="33"/>
      <c r="NL294" s="33"/>
      <c r="NM294" s="33"/>
      <c r="NN294" s="33"/>
      <c r="NO294" s="33"/>
      <c r="NP294" s="33"/>
      <c r="NQ294" s="33"/>
      <c r="NR294" s="33"/>
      <c r="NS294" s="33"/>
      <c r="NT294" s="33"/>
      <c r="NU294" s="33"/>
      <c r="NV294" s="33"/>
      <c r="NW294" s="33"/>
      <c r="NX294" s="33"/>
      <c r="NY294" s="33"/>
      <c r="NZ294" s="33"/>
      <c r="OA294" s="33"/>
      <c r="OB294" s="33"/>
      <c r="OC294" s="33"/>
      <c r="OD294" s="33"/>
      <c r="OE294" s="33"/>
      <c r="OF294" s="33"/>
      <c r="OG294" s="33"/>
      <c r="OH294" s="33"/>
      <c r="OI294" s="33"/>
      <c r="OJ294" s="33"/>
      <c r="OK294" s="33"/>
      <c r="OL294" s="33"/>
      <c r="OM294" s="33"/>
      <c r="ON294" s="33"/>
      <c r="OO294" s="33"/>
      <c r="OP294" s="33"/>
      <c r="OQ294" s="33"/>
      <c r="OR294" s="33"/>
      <c r="OS294" s="33"/>
      <c r="OT294" s="33"/>
      <c r="OU294" s="33"/>
      <c r="OV294" s="33"/>
      <c r="OW294" s="33"/>
      <c r="OX294" s="33"/>
      <c r="OY294" s="33"/>
      <c r="OZ294" s="33"/>
      <c r="PA294" s="33"/>
      <c r="PB294" s="33"/>
      <c r="PC294" s="33"/>
      <c r="PD294" s="33"/>
      <c r="PE294" s="33"/>
      <c r="PF294" s="33"/>
      <c r="PG294" s="33"/>
      <c r="PH294" s="33"/>
      <c r="PI294" s="33"/>
      <c r="PJ294" s="33"/>
      <c r="PK294" s="33"/>
      <c r="PL294" s="33"/>
      <c r="PM294" s="33"/>
      <c r="PN294" s="33"/>
      <c r="PO294" s="33"/>
      <c r="PP294" s="33"/>
      <c r="PQ294" s="33"/>
      <c r="PR294" s="33"/>
      <c r="PS294" s="33"/>
      <c r="PT294" s="33"/>
      <c r="PU294" s="33"/>
      <c r="PV294" s="33"/>
      <c r="PW294" s="33"/>
      <c r="PX294" s="33"/>
      <c r="PY294" s="33"/>
      <c r="PZ294" s="33"/>
      <c r="QA294" s="33"/>
      <c r="QB294" s="33"/>
      <c r="QC294" s="33"/>
      <c r="QD294" s="33"/>
      <c r="QE294" s="33"/>
      <c r="QF294" s="33"/>
      <c r="QG294" s="33"/>
      <c r="QH294" s="33"/>
      <c r="QI294" s="33"/>
      <c r="QJ294" s="33"/>
      <c r="QK294" s="33"/>
      <c r="QL294" s="33"/>
      <c r="QM294" s="33"/>
      <c r="QN294" s="33"/>
      <c r="QO294" s="33"/>
      <c r="QP294" s="33"/>
      <c r="QQ294" s="33"/>
      <c r="QR294" s="33"/>
      <c r="QS294" s="33"/>
      <c r="QT294" s="33"/>
      <c r="QU294" s="33"/>
      <c r="QV294" s="33"/>
      <c r="QW294" s="33"/>
      <c r="QX294" s="33"/>
      <c r="QY294" s="33"/>
      <c r="QZ294" s="33"/>
      <c r="RA294" s="33"/>
      <c r="RB294" s="33"/>
      <c r="RC294" s="33"/>
      <c r="RD294" s="33"/>
      <c r="RE294" s="33"/>
      <c r="RF294" s="33"/>
      <c r="RG294" s="33"/>
      <c r="RH294" s="33"/>
      <c r="RI294" s="33"/>
      <c r="RJ294" s="33"/>
      <c r="RK294" s="33"/>
      <c r="RL294" s="33"/>
      <c r="RM294" s="33"/>
      <c r="RN294" s="33"/>
      <c r="RO294" s="33"/>
      <c r="RP294" s="33"/>
      <c r="RQ294" s="33"/>
      <c r="RR294" s="33"/>
      <c r="RS294" s="33"/>
      <c r="RT294" s="33"/>
      <c r="RU294" s="33"/>
      <c r="RV294" s="33"/>
      <c r="RW294" s="33"/>
      <c r="RX294" s="33"/>
      <c r="RY294" s="33"/>
      <c r="RZ294" s="33"/>
      <c r="SA294" s="33"/>
      <c r="SB294" s="33"/>
      <c r="SC294" s="33"/>
      <c r="SD294" s="33"/>
      <c r="SE294" s="33"/>
      <c r="SF294" s="33"/>
      <c r="SG294" s="33"/>
      <c r="SH294" s="33"/>
      <c r="SI294" s="33"/>
      <c r="SJ294" s="33"/>
      <c r="SK294" s="33"/>
      <c r="SL294" s="33"/>
      <c r="SM294" s="33"/>
      <c r="SN294" s="33"/>
      <c r="SO294" s="33"/>
      <c r="SP294" s="33"/>
      <c r="SQ294" s="33"/>
      <c r="SR294" s="33"/>
      <c r="SS294" s="33"/>
      <c r="ST294" s="33"/>
      <c r="SU294" s="33"/>
      <c r="SV294" s="33"/>
      <c r="SW294" s="33"/>
      <c r="SX294" s="33"/>
      <c r="SY294" s="33"/>
      <c r="SZ294" s="33"/>
      <c r="TA294" s="33"/>
      <c r="TB294" s="33"/>
      <c r="TC294" s="33"/>
      <c r="TD294" s="33"/>
      <c r="TE294" s="33"/>
      <c r="TF294" s="33"/>
      <c r="TG294" s="33"/>
    </row>
    <row r="295" spans="1:527" s="22" customFormat="1" ht="45.75" customHeight="1" x14ac:dyDescent="0.25">
      <c r="A295" s="107" t="s">
        <v>426</v>
      </c>
      <c r="B295" s="107" t="s">
        <v>121</v>
      </c>
      <c r="C295" s="107" t="s">
        <v>47</v>
      </c>
      <c r="D295" s="36" t="s">
        <v>503</v>
      </c>
      <c r="E295" s="103">
        <f t="shared" ref="E295" si="168">F295+I295</f>
        <v>20000</v>
      </c>
      <c r="F295" s="103">
        <v>20000</v>
      </c>
      <c r="G295" s="103"/>
      <c r="H295" s="103"/>
      <c r="I295" s="103"/>
      <c r="J295" s="103">
        <f>L295+O295</f>
        <v>0</v>
      </c>
      <c r="K295" s="103"/>
      <c r="L295" s="103"/>
      <c r="M295" s="103"/>
      <c r="N295" s="103"/>
      <c r="O295" s="103"/>
      <c r="P295" s="103">
        <f t="shared" ref="P295" si="169">E295+J295</f>
        <v>20000</v>
      </c>
      <c r="Q295" s="187">
        <v>17</v>
      </c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  <c r="TF295" s="23"/>
      <c r="TG295" s="23"/>
    </row>
    <row r="296" spans="1:527" s="27" customFormat="1" ht="38.25" customHeight="1" x14ac:dyDescent="0.25">
      <c r="A296" s="114" t="s">
        <v>220</v>
      </c>
      <c r="B296" s="116"/>
      <c r="C296" s="116"/>
      <c r="D296" s="111" t="s">
        <v>42</v>
      </c>
      <c r="E296" s="99">
        <f>E297</f>
        <v>137792555.44</v>
      </c>
      <c r="F296" s="99">
        <f t="shared" ref="F296:J296" si="170">F297</f>
        <v>123765812</v>
      </c>
      <c r="G296" s="99">
        <f t="shared" si="170"/>
        <v>15760200</v>
      </c>
      <c r="H296" s="99">
        <f t="shared" si="170"/>
        <v>272273</v>
      </c>
      <c r="I296" s="99">
        <f t="shared" si="170"/>
        <v>0</v>
      </c>
      <c r="J296" s="99">
        <f t="shared" si="170"/>
        <v>502000</v>
      </c>
      <c r="K296" s="99">
        <f t="shared" ref="K296" si="171">K297</f>
        <v>0</v>
      </c>
      <c r="L296" s="99">
        <f t="shared" ref="L296" si="172">L297</f>
        <v>502000</v>
      </c>
      <c r="M296" s="99">
        <f t="shared" ref="M296" si="173">M297</f>
        <v>0</v>
      </c>
      <c r="N296" s="99">
        <f t="shared" ref="N296" si="174">N297</f>
        <v>0</v>
      </c>
      <c r="O296" s="99">
        <f t="shared" ref="O296:P296" si="175">O297</f>
        <v>0</v>
      </c>
      <c r="P296" s="99">
        <f t="shared" si="175"/>
        <v>138294555.44</v>
      </c>
      <c r="Q296" s="187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  <c r="GH296" s="32"/>
      <c r="GI296" s="32"/>
      <c r="GJ296" s="32"/>
      <c r="GK296" s="32"/>
      <c r="GL296" s="32"/>
      <c r="GM296" s="32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  <c r="IC296" s="32"/>
      <c r="ID296" s="32"/>
      <c r="IE296" s="32"/>
      <c r="IF296" s="32"/>
      <c r="IG296" s="32"/>
      <c r="IH296" s="32"/>
      <c r="II296" s="32"/>
      <c r="IJ296" s="32"/>
      <c r="IK296" s="32"/>
      <c r="IL296" s="32"/>
      <c r="IM296" s="32"/>
      <c r="IN296" s="32"/>
      <c r="IO296" s="32"/>
      <c r="IP296" s="32"/>
      <c r="IQ296" s="32"/>
      <c r="IR296" s="32"/>
      <c r="IS296" s="32"/>
      <c r="IT296" s="32"/>
      <c r="IU296" s="32"/>
      <c r="IV296" s="32"/>
      <c r="IW296" s="32"/>
      <c r="IX296" s="32"/>
      <c r="IY296" s="32"/>
      <c r="IZ296" s="32"/>
      <c r="JA296" s="32"/>
      <c r="JB296" s="32"/>
      <c r="JC296" s="32"/>
      <c r="JD296" s="32"/>
      <c r="JE296" s="32"/>
      <c r="JF296" s="32"/>
      <c r="JG296" s="32"/>
      <c r="JH296" s="32"/>
      <c r="JI296" s="32"/>
      <c r="JJ296" s="32"/>
      <c r="JK296" s="32"/>
      <c r="JL296" s="32"/>
      <c r="JM296" s="32"/>
      <c r="JN296" s="32"/>
      <c r="JO296" s="32"/>
      <c r="JP296" s="32"/>
      <c r="JQ296" s="32"/>
      <c r="JR296" s="32"/>
      <c r="JS296" s="32"/>
      <c r="JT296" s="32"/>
      <c r="JU296" s="32"/>
      <c r="JV296" s="32"/>
      <c r="JW296" s="32"/>
      <c r="JX296" s="32"/>
      <c r="JY296" s="32"/>
      <c r="JZ296" s="32"/>
      <c r="KA296" s="32"/>
      <c r="KB296" s="32"/>
      <c r="KC296" s="32"/>
      <c r="KD296" s="32"/>
      <c r="KE296" s="32"/>
      <c r="KF296" s="32"/>
      <c r="KG296" s="32"/>
      <c r="KH296" s="32"/>
      <c r="KI296" s="32"/>
      <c r="KJ296" s="32"/>
      <c r="KK296" s="32"/>
      <c r="KL296" s="32"/>
      <c r="KM296" s="32"/>
      <c r="KN296" s="32"/>
      <c r="KO296" s="32"/>
      <c r="KP296" s="32"/>
      <c r="KQ296" s="32"/>
      <c r="KR296" s="32"/>
      <c r="KS296" s="32"/>
      <c r="KT296" s="32"/>
      <c r="KU296" s="32"/>
      <c r="KV296" s="32"/>
      <c r="KW296" s="32"/>
      <c r="KX296" s="32"/>
      <c r="KY296" s="32"/>
      <c r="KZ296" s="32"/>
      <c r="LA296" s="32"/>
      <c r="LB296" s="32"/>
      <c r="LC296" s="32"/>
      <c r="LD296" s="32"/>
      <c r="LE296" s="32"/>
      <c r="LF296" s="32"/>
      <c r="LG296" s="32"/>
      <c r="LH296" s="32"/>
      <c r="LI296" s="32"/>
      <c r="LJ296" s="32"/>
      <c r="LK296" s="32"/>
      <c r="LL296" s="32"/>
      <c r="LM296" s="32"/>
      <c r="LN296" s="32"/>
      <c r="LO296" s="32"/>
      <c r="LP296" s="32"/>
      <c r="LQ296" s="32"/>
      <c r="LR296" s="32"/>
      <c r="LS296" s="32"/>
      <c r="LT296" s="32"/>
      <c r="LU296" s="32"/>
      <c r="LV296" s="32"/>
      <c r="LW296" s="32"/>
      <c r="LX296" s="32"/>
      <c r="LY296" s="32"/>
      <c r="LZ296" s="32"/>
      <c r="MA296" s="32"/>
      <c r="MB296" s="32"/>
      <c r="MC296" s="32"/>
      <c r="MD296" s="32"/>
      <c r="ME296" s="32"/>
      <c r="MF296" s="32"/>
      <c r="MG296" s="32"/>
      <c r="MH296" s="32"/>
      <c r="MI296" s="32"/>
      <c r="MJ296" s="32"/>
      <c r="MK296" s="32"/>
      <c r="ML296" s="32"/>
      <c r="MM296" s="32"/>
      <c r="MN296" s="32"/>
      <c r="MO296" s="32"/>
      <c r="MP296" s="32"/>
      <c r="MQ296" s="32"/>
      <c r="MR296" s="32"/>
      <c r="MS296" s="32"/>
      <c r="MT296" s="32"/>
      <c r="MU296" s="32"/>
      <c r="MV296" s="32"/>
      <c r="MW296" s="32"/>
      <c r="MX296" s="32"/>
      <c r="MY296" s="32"/>
      <c r="MZ296" s="32"/>
      <c r="NA296" s="32"/>
      <c r="NB296" s="32"/>
      <c r="NC296" s="32"/>
      <c r="ND296" s="32"/>
      <c r="NE296" s="32"/>
      <c r="NF296" s="32"/>
      <c r="NG296" s="32"/>
      <c r="NH296" s="32"/>
      <c r="NI296" s="32"/>
      <c r="NJ296" s="32"/>
      <c r="NK296" s="32"/>
      <c r="NL296" s="32"/>
      <c r="NM296" s="32"/>
      <c r="NN296" s="32"/>
      <c r="NO296" s="32"/>
      <c r="NP296" s="32"/>
      <c r="NQ296" s="32"/>
      <c r="NR296" s="32"/>
      <c r="NS296" s="32"/>
      <c r="NT296" s="32"/>
      <c r="NU296" s="32"/>
      <c r="NV296" s="32"/>
      <c r="NW296" s="32"/>
      <c r="NX296" s="32"/>
      <c r="NY296" s="32"/>
      <c r="NZ296" s="32"/>
      <c r="OA296" s="32"/>
      <c r="OB296" s="32"/>
      <c r="OC296" s="32"/>
      <c r="OD296" s="32"/>
      <c r="OE296" s="32"/>
      <c r="OF296" s="32"/>
      <c r="OG296" s="32"/>
      <c r="OH296" s="32"/>
      <c r="OI296" s="32"/>
      <c r="OJ296" s="32"/>
      <c r="OK296" s="32"/>
      <c r="OL296" s="32"/>
      <c r="OM296" s="32"/>
      <c r="ON296" s="32"/>
      <c r="OO296" s="32"/>
      <c r="OP296" s="32"/>
      <c r="OQ296" s="32"/>
      <c r="OR296" s="32"/>
      <c r="OS296" s="32"/>
      <c r="OT296" s="32"/>
      <c r="OU296" s="32"/>
      <c r="OV296" s="32"/>
      <c r="OW296" s="32"/>
      <c r="OX296" s="32"/>
      <c r="OY296" s="32"/>
      <c r="OZ296" s="32"/>
      <c r="PA296" s="32"/>
      <c r="PB296" s="32"/>
      <c r="PC296" s="32"/>
      <c r="PD296" s="32"/>
      <c r="PE296" s="32"/>
      <c r="PF296" s="32"/>
      <c r="PG296" s="32"/>
      <c r="PH296" s="32"/>
      <c r="PI296" s="32"/>
      <c r="PJ296" s="32"/>
      <c r="PK296" s="32"/>
      <c r="PL296" s="32"/>
      <c r="PM296" s="32"/>
      <c r="PN296" s="32"/>
      <c r="PO296" s="32"/>
      <c r="PP296" s="32"/>
      <c r="PQ296" s="32"/>
      <c r="PR296" s="32"/>
      <c r="PS296" s="32"/>
      <c r="PT296" s="32"/>
      <c r="PU296" s="32"/>
      <c r="PV296" s="32"/>
      <c r="PW296" s="32"/>
      <c r="PX296" s="32"/>
      <c r="PY296" s="32"/>
      <c r="PZ296" s="32"/>
      <c r="QA296" s="32"/>
      <c r="QB296" s="32"/>
      <c r="QC296" s="32"/>
      <c r="QD296" s="32"/>
      <c r="QE296" s="32"/>
      <c r="QF296" s="32"/>
      <c r="QG296" s="32"/>
      <c r="QH296" s="32"/>
      <c r="QI296" s="32"/>
      <c r="QJ296" s="32"/>
      <c r="QK296" s="32"/>
      <c r="QL296" s="32"/>
      <c r="QM296" s="32"/>
      <c r="QN296" s="32"/>
      <c r="QO296" s="32"/>
      <c r="QP296" s="32"/>
      <c r="QQ296" s="32"/>
      <c r="QR296" s="32"/>
      <c r="QS296" s="32"/>
      <c r="QT296" s="32"/>
      <c r="QU296" s="32"/>
      <c r="QV296" s="32"/>
      <c r="QW296" s="32"/>
      <c r="QX296" s="32"/>
      <c r="QY296" s="32"/>
      <c r="QZ296" s="32"/>
      <c r="RA296" s="32"/>
      <c r="RB296" s="32"/>
      <c r="RC296" s="32"/>
      <c r="RD296" s="32"/>
      <c r="RE296" s="32"/>
      <c r="RF296" s="32"/>
      <c r="RG296" s="32"/>
      <c r="RH296" s="32"/>
      <c r="RI296" s="32"/>
      <c r="RJ296" s="32"/>
      <c r="RK296" s="32"/>
      <c r="RL296" s="32"/>
      <c r="RM296" s="32"/>
      <c r="RN296" s="32"/>
      <c r="RO296" s="32"/>
      <c r="RP296" s="32"/>
      <c r="RQ296" s="32"/>
      <c r="RR296" s="32"/>
      <c r="RS296" s="32"/>
      <c r="RT296" s="32"/>
      <c r="RU296" s="32"/>
      <c r="RV296" s="32"/>
      <c r="RW296" s="32"/>
      <c r="RX296" s="32"/>
      <c r="RY296" s="32"/>
      <c r="RZ296" s="32"/>
      <c r="SA296" s="32"/>
      <c r="SB296" s="32"/>
      <c r="SC296" s="32"/>
      <c r="SD296" s="32"/>
      <c r="SE296" s="32"/>
      <c r="SF296" s="32"/>
      <c r="SG296" s="32"/>
      <c r="SH296" s="32"/>
      <c r="SI296" s="32"/>
      <c r="SJ296" s="32"/>
      <c r="SK296" s="32"/>
      <c r="SL296" s="32"/>
      <c r="SM296" s="32"/>
      <c r="SN296" s="32"/>
      <c r="SO296" s="32"/>
      <c r="SP296" s="32"/>
      <c r="SQ296" s="32"/>
      <c r="SR296" s="32"/>
      <c r="SS296" s="32"/>
      <c r="ST296" s="32"/>
      <c r="SU296" s="32"/>
      <c r="SV296" s="32"/>
      <c r="SW296" s="32"/>
      <c r="SX296" s="32"/>
      <c r="SY296" s="32"/>
      <c r="SZ296" s="32"/>
      <c r="TA296" s="32"/>
      <c r="TB296" s="32"/>
      <c r="TC296" s="32"/>
      <c r="TD296" s="32"/>
      <c r="TE296" s="32"/>
      <c r="TF296" s="32"/>
      <c r="TG296" s="32"/>
    </row>
    <row r="297" spans="1:527" s="34" customFormat="1" ht="34.5" customHeight="1" x14ac:dyDescent="0.25">
      <c r="A297" s="100" t="s">
        <v>221</v>
      </c>
      <c r="B297" s="113"/>
      <c r="C297" s="113"/>
      <c r="D297" s="81" t="s">
        <v>42</v>
      </c>
      <c r="E297" s="102">
        <f>SUM(E298+E299+E300+E302+E303+E304+E305+E301)</f>
        <v>137792555.44</v>
      </c>
      <c r="F297" s="102">
        <f t="shared" ref="F297:P297" si="176">SUM(F298+F299+F300+F302+F303+F304+F305+F301)</f>
        <v>123765812</v>
      </c>
      <c r="G297" s="102">
        <f t="shared" si="176"/>
        <v>15760200</v>
      </c>
      <c r="H297" s="102">
        <f t="shared" si="176"/>
        <v>272273</v>
      </c>
      <c r="I297" s="102">
        <f t="shared" si="176"/>
        <v>0</v>
      </c>
      <c r="J297" s="102">
        <f t="shared" si="176"/>
        <v>502000</v>
      </c>
      <c r="K297" s="102">
        <f t="shared" si="176"/>
        <v>0</v>
      </c>
      <c r="L297" s="102">
        <f t="shared" si="176"/>
        <v>502000</v>
      </c>
      <c r="M297" s="102">
        <f t="shared" si="176"/>
        <v>0</v>
      </c>
      <c r="N297" s="102">
        <f t="shared" si="176"/>
        <v>0</v>
      </c>
      <c r="O297" s="102">
        <f t="shared" si="176"/>
        <v>0</v>
      </c>
      <c r="P297" s="102">
        <f t="shared" si="176"/>
        <v>138294555.44</v>
      </c>
      <c r="Q297" s="187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  <c r="DF297" s="33"/>
      <c r="DG297" s="33"/>
      <c r="DH297" s="33"/>
      <c r="DI297" s="33"/>
      <c r="DJ297" s="33"/>
      <c r="DK297" s="33"/>
      <c r="DL297" s="33"/>
      <c r="DM297" s="33"/>
      <c r="DN297" s="33"/>
      <c r="DO297" s="33"/>
      <c r="DP297" s="33"/>
      <c r="DQ297" s="33"/>
      <c r="DR297" s="33"/>
      <c r="DS297" s="33"/>
      <c r="DT297" s="33"/>
      <c r="DU297" s="33"/>
      <c r="DV297" s="33"/>
      <c r="DW297" s="33"/>
      <c r="DX297" s="33"/>
      <c r="DY297" s="33"/>
      <c r="DZ297" s="33"/>
      <c r="EA297" s="33"/>
      <c r="EB297" s="33"/>
      <c r="EC297" s="33"/>
      <c r="ED297" s="33"/>
      <c r="EE297" s="33"/>
      <c r="EF297" s="33"/>
      <c r="EG297" s="33"/>
      <c r="EH297" s="33"/>
      <c r="EI297" s="33"/>
      <c r="EJ297" s="33"/>
      <c r="EK297" s="33"/>
      <c r="EL297" s="33"/>
      <c r="EM297" s="33"/>
      <c r="EN297" s="33"/>
      <c r="EO297" s="33"/>
      <c r="EP297" s="33"/>
      <c r="EQ297" s="33"/>
      <c r="ER297" s="33"/>
      <c r="ES297" s="33"/>
      <c r="ET297" s="33"/>
      <c r="EU297" s="33"/>
      <c r="EV297" s="33"/>
      <c r="EW297" s="33"/>
      <c r="EX297" s="33"/>
      <c r="EY297" s="33"/>
      <c r="EZ297" s="33"/>
      <c r="FA297" s="33"/>
      <c r="FB297" s="33"/>
      <c r="FC297" s="33"/>
      <c r="FD297" s="33"/>
      <c r="FE297" s="33"/>
      <c r="FF297" s="33"/>
      <c r="FG297" s="33"/>
      <c r="FH297" s="33"/>
      <c r="FI297" s="33"/>
      <c r="FJ297" s="33"/>
      <c r="FK297" s="33"/>
      <c r="FL297" s="33"/>
      <c r="FM297" s="33"/>
      <c r="FN297" s="33"/>
      <c r="FO297" s="33"/>
      <c r="FP297" s="33"/>
      <c r="FQ297" s="33"/>
      <c r="FR297" s="33"/>
      <c r="FS297" s="33"/>
      <c r="FT297" s="33"/>
      <c r="FU297" s="33"/>
      <c r="FV297" s="33"/>
      <c r="FW297" s="33"/>
      <c r="FX297" s="33"/>
      <c r="FY297" s="33"/>
      <c r="FZ297" s="33"/>
      <c r="GA297" s="33"/>
      <c r="GB297" s="33"/>
      <c r="GC297" s="33"/>
      <c r="GD297" s="33"/>
      <c r="GE297" s="33"/>
      <c r="GF297" s="33"/>
      <c r="GG297" s="33"/>
      <c r="GH297" s="33"/>
      <c r="GI297" s="33"/>
      <c r="GJ297" s="33"/>
      <c r="GK297" s="33"/>
      <c r="GL297" s="33"/>
      <c r="GM297" s="33"/>
      <c r="GN297" s="33"/>
      <c r="GO297" s="33"/>
      <c r="GP297" s="33"/>
      <c r="GQ297" s="33"/>
      <c r="GR297" s="33"/>
      <c r="GS297" s="33"/>
      <c r="GT297" s="33"/>
      <c r="GU297" s="33"/>
      <c r="GV297" s="33"/>
      <c r="GW297" s="33"/>
      <c r="GX297" s="33"/>
      <c r="GY297" s="33"/>
      <c r="GZ297" s="33"/>
      <c r="HA297" s="33"/>
      <c r="HB297" s="33"/>
      <c r="HC297" s="33"/>
      <c r="HD297" s="33"/>
      <c r="HE297" s="33"/>
      <c r="HF297" s="33"/>
      <c r="HG297" s="33"/>
      <c r="HH297" s="33"/>
      <c r="HI297" s="33"/>
      <c r="HJ297" s="33"/>
      <c r="HK297" s="33"/>
      <c r="HL297" s="33"/>
      <c r="HM297" s="33"/>
      <c r="HN297" s="33"/>
      <c r="HO297" s="33"/>
      <c r="HP297" s="33"/>
      <c r="HQ297" s="33"/>
      <c r="HR297" s="33"/>
      <c r="HS297" s="33"/>
      <c r="HT297" s="33"/>
      <c r="HU297" s="33"/>
      <c r="HV297" s="33"/>
      <c r="HW297" s="33"/>
      <c r="HX297" s="33"/>
      <c r="HY297" s="33"/>
      <c r="HZ297" s="33"/>
      <c r="IA297" s="33"/>
      <c r="IB297" s="33"/>
      <c r="IC297" s="33"/>
      <c r="ID297" s="33"/>
      <c r="IE297" s="33"/>
      <c r="IF297" s="33"/>
      <c r="IG297" s="33"/>
      <c r="IH297" s="33"/>
      <c r="II297" s="33"/>
      <c r="IJ297" s="33"/>
      <c r="IK297" s="33"/>
      <c r="IL297" s="33"/>
      <c r="IM297" s="33"/>
      <c r="IN297" s="33"/>
      <c r="IO297" s="33"/>
      <c r="IP297" s="33"/>
      <c r="IQ297" s="33"/>
      <c r="IR297" s="33"/>
      <c r="IS297" s="33"/>
      <c r="IT297" s="33"/>
      <c r="IU297" s="33"/>
      <c r="IV297" s="33"/>
      <c r="IW297" s="33"/>
      <c r="IX297" s="33"/>
      <c r="IY297" s="33"/>
      <c r="IZ297" s="33"/>
      <c r="JA297" s="33"/>
      <c r="JB297" s="33"/>
      <c r="JC297" s="33"/>
      <c r="JD297" s="33"/>
      <c r="JE297" s="33"/>
      <c r="JF297" s="33"/>
      <c r="JG297" s="33"/>
      <c r="JH297" s="33"/>
      <c r="JI297" s="33"/>
      <c r="JJ297" s="33"/>
      <c r="JK297" s="33"/>
      <c r="JL297" s="33"/>
      <c r="JM297" s="33"/>
      <c r="JN297" s="33"/>
      <c r="JO297" s="33"/>
      <c r="JP297" s="33"/>
      <c r="JQ297" s="33"/>
      <c r="JR297" s="33"/>
      <c r="JS297" s="33"/>
      <c r="JT297" s="33"/>
      <c r="JU297" s="33"/>
      <c r="JV297" s="33"/>
      <c r="JW297" s="33"/>
      <c r="JX297" s="33"/>
      <c r="JY297" s="33"/>
      <c r="JZ297" s="33"/>
      <c r="KA297" s="33"/>
      <c r="KB297" s="33"/>
      <c r="KC297" s="33"/>
      <c r="KD297" s="33"/>
      <c r="KE297" s="33"/>
      <c r="KF297" s="33"/>
      <c r="KG297" s="33"/>
      <c r="KH297" s="33"/>
      <c r="KI297" s="33"/>
      <c r="KJ297" s="33"/>
      <c r="KK297" s="33"/>
      <c r="KL297" s="33"/>
      <c r="KM297" s="33"/>
      <c r="KN297" s="33"/>
      <c r="KO297" s="33"/>
      <c r="KP297" s="33"/>
      <c r="KQ297" s="33"/>
      <c r="KR297" s="33"/>
      <c r="KS297" s="33"/>
      <c r="KT297" s="33"/>
      <c r="KU297" s="33"/>
      <c r="KV297" s="33"/>
      <c r="KW297" s="33"/>
      <c r="KX297" s="33"/>
      <c r="KY297" s="33"/>
      <c r="KZ297" s="33"/>
      <c r="LA297" s="33"/>
      <c r="LB297" s="33"/>
      <c r="LC297" s="33"/>
      <c r="LD297" s="33"/>
      <c r="LE297" s="33"/>
      <c r="LF297" s="33"/>
      <c r="LG297" s="33"/>
      <c r="LH297" s="33"/>
      <c r="LI297" s="33"/>
      <c r="LJ297" s="33"/>
      <c r="LK297" s="33"/>
      <c r="LL297" s="33"/>
      <c r="LM297" s="33"/>
      <c r="LN297" s="33"/>
      <c r="LO297" s="33"/>
      <c r="LP297" s="33"/>
      <c r="LQ297" s="33"/>
      <c r="LR297" s="33"/>
      <c r="LS297" s="33"/>
      <c r="LT297" s="33"/>
      <c r="LU297" s="33"/>
      <c r="LV297" s="33"/>
      <c r="LW297" s="33"/>
      <c r="LX297" s="33"/>
      <c r="LY297" s="33"/>
      <c r="LZ297" s="33"/>
      <c r="MA297" s="33"/>
      <c r="MB297" s="33"/>
      <c r="MC297" s="33"/>
      <c r="MD297" s="33"/>
      <c r="ME297" s="33"/>
      <c r="MF297" s="33"/>
      <c r="MG297" s="33"/>
      <c r="MH297" s="33"/>
      <c r="MI297" s="33"/>
      <c r="MJ297" s="33"/>
      <c r="MK297" s="33"/>
      <c r="ML297" s="33"/>
      <c r="MM297" s="33"/>
      <c r="MN297" s="33"/>
      <c r="MO297" s="33"/>
      <c r="MP297" s="33"/>
      <c r="MQ297" s="33"/>
      <c r="MR297" s="33"/>
      <c r="MS297" s="33"/>
      <c r="MT297" s="33"/>
      <c r="MU297" s="33"/>
      <c r="MV297" s="33"/>
      <c r="MW297" s="33"/>
      <c r="MX297" s="33"/>
      <c r="MY297" s="33"/>
      <c r="MZ297" s="33"/>
      <c r="NA297" s="33"/>
      <c r="NB297" s="33"/>
      <c r="NC297" s="33"/>
      <c r="ND297" s="33"/>
      <c r="NE297" s="33"/>
      <c r="NF297" s="33"/>
      <c r="NG297" s="33"/>
      <c r="NH297" s="33"/>
      <c r="NI297" s="33"/>
      <c r="NJ297" s="33"/>
      <c r="NK297" s="33"/>
      <c r="NL297" s="33"/>
      <c r="NM297" s="33"/>
      <c r="NN297" s="33"/>
      <c r="NO297" s="33"/>
      <c r="NP297" s="33"/>
      <c r="NQ297" s="33"/>
      <c r="NR297" s="33"/>
      <c r="NS297" s="33"/>
      <c r="NT297" s="33"/>
      <c r="NU297" s="33"/>
      <c r="NV297" s="33"/>
      <c r="NW297" s="33"/>
      <c r="NX297" s="33"/>
      <c r="NY297" s="33"/>
      <c r="NZ297" s="33"/>
      <c r="OA297" s="33"/>
      <c r="OB297" s="33"/>
      <c r="OC297" s="33"/>
      <c r="OD297" s="33"/>
      <c r="OE297" s="33"/>
      <c r="OF297" s="33"/>
      <c r="OG297" s="33"/>
      <c r="OH297" s="33"/>
      <c r="OI297" s="33"/>
      <c r="OJ297" s="33"/>
      <c r="OK297" s="33"/>
      <c r="OL297" s="33"/>
      <c r="OM297" s="33"/>
      <c r="ON297" s="33"/>
      <c r="OO297" s="33"/>
      <c r="OP297" s="33"/>
      <c r="OQ297" s="33"/>
      <c r="OR297" s="33"/>
      <c r="OS297" s="33"/>
      <c r="OT297" s="33"/>
      <c r="OU297" s="33"/>
      <c r="OV297" s="33"/>
      <c r="OW297" s="33"/>
      <c r="OX297" s="33"/>
      <c r="OY297" s="33"/>
      <c r="OZ297" s="33"/>
      <c r="PA297" s="33"/>
      <c r="PB297" s="33"/>
      <c r="PC297" s="33"/>
      <c r="PD297" s="33"/>
      <c r="PE297" s="33"/>
      <c r="PF297" s="33"/>
      <c r="PG297" s="33"/>
      <c r="PH297" s="33"/>
      <c r="PI297" s="33"/>
      <c r="PJ297" s="33"/>
      <c r="PK297" s="33"/>
      <c r="PL297" s="33"/>
      <c r="PM297" s="33"/>
      <c r="PN297" s="33"/>
      <c r="PO297" s="33"/>
      <c r="PP297" s="33"/>
      <c r="PQ297" s="33"/>
      <c r="PR297" s="33"/>
      <c r="PS297" s="33"/>
      <c r="PT297" s="33"/>
      <c r="PU297" s="33"/>
      <c r="PV297" s="33"/>
      <c r="PW297" s="33"/>
      <c r="PX297" s="33"/>
      <c r="PY297" s="33"/>
      <c r="PZ297" s="33"/>
      <c r="QA297" s="33"/>
      <c r="QB297" s="33"/>
      <c r="QC297" s="33"/>
      <c r="QD297" s="33"/>
      <c r="QE297" s="33"/>
      <c r="QF297" s="33"/>
      <c r="QG297" s="33"/>
      <c r="QH297" s="33"/>
      <c r="QI297" s="33"/>
      <c r="QJ297" s="33"/>
      <c r="QK297" s="33"/>
      <c r="QL297" s="33"/>
      <c r="QM297" s="33"/>
      <c r="QN297" s="33"/>
      <c r="QO297" s="33"/>
      <c r="QP297" s="33"/>
      <c r="QQ297" s="33"/>
      <c r="QR297" s="33"/>
      <c r="QS297" s="33"/>
      <c r="QT297" s="33"/>
      <c r="QU297" s="33"/>
      <c r="QV297" s="33"/>
      <c r="QW297" s="33"/>
      <c r="QX297" s="33"/>
      <c r="QY297" s="33"/>
      <c r="QZ297" s="33"/>
      <c r="RA297" s="33"/>
      <c r="RB297" s="33"/>
      <c r="RC297" s="33"/>
      <c r="RD297" s="33"/>
      <c r="RE297" s="33"/>
      <c r="RF297" s="33"/>
      <c r="RG297" s="33"/>
      <c r="RH297" s="33"/>
      <c r="RI297" s="33"/>
      <c r="RJ297" s="33"/>
      <c r="RK297" s="33"/>
      <c r="RL297" s="33"/>
      <c r="RM297" s="33"/>
      <c r="RN297" s="33"/>
      <c r="RO297" s="33"/>
      <c r="RP297" s="33"/>
      <c r="RQ297" s="33"/>
      <c r="RR297" s="33"/>
      <c r="RS297" s="33"/>
      <c r="RT297" s="33"/>
      <c r="RU297" s="33"/>
      <c r="RV297" s="33"/>
      <c r="RW297" s="33"/>
      <c r="RX297" s="33"/>
      <c r="RY297" s="33"/>
      <c r="RZ297" s="33"/>
      <c r="SA297" s="33"/>
      <c r="SB297" s="33"/>
      <c r="SC297" s="33"/>
      <c r="SD297" s="33"/>
      <c r="SE297" s="33"/>
      <c r="SF297" s="33"/>
      <c r="SG297" s="33"/>
      <c r="SH297" s="33"/>
      <c r="SI297" s="33"/>
      <c r="SJ297" s="33"/>
      <c r="SK297" s="33"/>
      <c r="SL297" s="33"/>
      <c r="SM297" s="33"/>
      <c r="SN297" s="33"/>
      <c r="SO297" s="33"/>
      <c r="SP297" s="33"/>
      <c r="SQ297" s="33"/>
      <c r="SR297" s="33"/>
      <c r="SS297" s="33"/>
      <c r="ST297" s="33"/>
      <c r="SU297" s="33"/>
      <c r="SV297" s="33"/>
      <c r="SW297" s="33"/>
      <c r="SX297" s="33"/>
      <c r="SY297" s="33"/>
      <c r="SZ297" s="33"/>
      <c r="TA297" s="33"/>
      <c r="TB297" s="33"/>
      <c r="TC297" s="33"/>
      <c r="TD297" s="33"/>
      <c r="TE297" s="33"/>
      <c r="TF297" s="33"/>
      <c r="TG297" s="33"/>
    </row>
    <row r="298" spans="1:527" s="22" customFormat="1" ht="46.5" customHeight="1" x14ac:dyDescent="0.25">
      <c r="A298" s="60" t="s">
        <v>222</v>
      </c>
      <c r="B298" s="97" t="str">
        <f>'дод 5'!A20</f>
        <v>0160</v>
      </c>
      <c r="C298" s="97" t="str">
        <f>'дод 5'!B20</f>
        <v>0111</v>
      </c>
      <c r="D298" s="36" t="s">
        <v>503</v>
      </c>
      <c r="E298" s="103">
        <f t="shared" ref="E298:E303" si="177">F298+I298</f>
        <v>20146673</v>
      </c>
      <c r="F298" s="103">
        <f>20122100+1000000-1000000+10000+14573</f>
        <v>20146673</v>
      </c>
      <c r="G298" s="103">
        <v>15760200</v>
      </c>
      <c r="H298" s="103">
        <f>257700+14573</f>
        <v>272273</v>
      </c>
      <c r="I298" s="103"/>
      <c r="J298" s="103">
        <f>L298+O298</f>
        <v>0</v>
      </c>
      <c r="K298" s="103"/>
      <c r="L298" s="103"/>
      <c r="M298" s="103"/>
      <c r="N298" s="103"/>
      <c r="O298" s="103"/>
      <c r="P298" s="103">
        <f t="shared" ref="P298:P305" si="178">E298+J298</f>
        <v>20146673</v>
      </c>
      <c r="Q298" s="187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  <c r="IW298" s="23"/>
      <c r="IX298" s="23"/>
      <c r="IY298" s="23"/>
      <c r="IZ298" s="23"/>
      <c r="JA298" s="23"/>
      <c r="JB298" s="23"/>
      <c r="JC298" s="23"/>
      <c r="JD298" s="23"/>
      <c r="JE298" s="23"/>
      <c r="JF298" s="23"/>
      <c r="JG298" s="23"/>
      <c r="JH298" s="23"/>
      <c r="JI298" s="23"/>
      <c r="JJ298" s="23"/>
      <c r="JK298" s="23"/>
      <c r="JL298" s="23"/>
      <c r="JM298" s="23"/>
      <c r="JN298" s="23"/>
      <c r="JO298" s="23"/>
      <c r="JP298" s="23"/>
      <c r="JQ298" s="23"/>
      <c r="JR298" s="23"/>
      <c r="JS298" s="23"/>
      <c r="JT298" s="23"/>
      <c r="JU298" s="23"/>
      <c r="JV298" s="23"/>
      <c r="JW298" s="23"/>
      <c r="JX298" s="23"/>
      <c r="JY298" s="23"/>
      <c r="JZ298" s="23"/>
      <c r="KA298" s="23"/>
      <c r="KB298" s="23"/>
      <c r="KC298" s="23"/>
      <c r="KD298" s="23"/>
      <c r="KE298" s="23"/>
      <c r="KF298" s="23"/>
      <c r="KG298" s="23"/>
      <c r="KH298" s="23"/>
      <c r="KI298" s="23"/>
      <c r="KJ298" s="23"/>
      <c r="KK298" s="23"/>
      <c r="KL298" s="23"/>
      <c r="KM298" s="23"/>
      <c r="KN298" s="23"/>
      <c r="KO298" s="23"/>
      <c r="KP298" s="23"/>
      <c r="KQ298" s="23"/>
      <c r="KR298" s="23"/>
      <c r="KS298" s="23"/>
      <c r="KT298" s="23"/>
      <c r="KU298" s="23"/>
      <c r="KV298" s="23"/>
      <c r="KW298" s="23"/>
      <c r="KX298" s="23"/>
      <c r="KY298" s="23"/>
      <c r="KZ298" s="23"/>
      <c r="LA298" s="23"/>
      <c r="LB298" s="23"/>
      <c r="LC298" s="23"/>
      <c r="LD298" s="23"/>
      <c r="LE298" s="23"/>
      <c r="LF298" s="23"/>
      <c r="LG298" s="23"/>
      <c r="LH298" s="23"/>
      <c r="LI298" s="23"/>
      <c r="LJ298" s="23"/>
      <c r="LK298" s="23"/>
      <c r="LL298" s="23"/>
      <c r="LM298" s="23"/>
      <c r="LN298" s="23"/>
      <c r="LO298" s="23"/>
      <c r="LP298" s="23"/>
      <c r="LQ298" s="23"/>
      <c r="LR298" s="23"/>
      <c r="LS298" s="23"/>
      <c r="LT298" s="23"/>
      <c r="LU298" s="23"/>
      <c r="LV298" s="23"/>
      <c r="LW298" s="23"/>
      <c r="LX298" s="23"/>
      <c r="LY298" s="23"/>
      <c r="LZ298" s="23"/>
      <c r="MA298" s="23"/>
      <c r="MB298" s="23"/>
      <c r="MC298" s="23"/>
      <c r="MD298" s="23"/>
      <c r="ME298" s="23"/>
      <c r="MF298" s="23"/>
      <c r="MG298" s="23"/>
      <c r="MH298" s="23"/>
      <c r="MI298" s="23"/>
      <c r="MJ298" s="23"/>
      <c r="MK298" s="23"/>
      <c r="ML298" s="23"/>
      <c r="MM298" s="23"/>
      <c r="MN298" s="23"/>
      <c r="MO298" s="23"/>
      <c r="MP298" s="23"/>
      <c r="MQ298" s="23"/>
      <c r="MR298" s="23"/>
      <c r="MS298" s="23"/>
      <c r="MT298" s="23"/>
      <c r="MU298" s="23"/>
      <c r="MV298" s="23"/>
      <c r="MW298" s="23"/>
      <c r="MX298" s="23"/>
      <c r="MY298" s="23"/>
      <c r="MZ298" s="23"/>
      <c r="NA298" s="23"/>
      <c r="NB298" s="23"/>
      <c r="NC298" s="23"/>
      <c r="ND298" s="23"/>
      <c r="NE298" s="23"/>
      <c r="NF298" s="23"/>
      <c r="NG298" s="23"/>
      <c r="NH298" s="23"/>
      <c r="NI298" s="23"/>
      <c r="NJ298" s="23"/>
      <c r="NK298" s="23"/>
      <c r="NL298" s="23"/>
      <c r="NM298" s="23"/>
      <c r="NN298" s="23"/>
      <c r="NO298" s="23"/>
      <c r="NP298" s="23"/>
      <c r="NQ298" s="23"/>
      <c r="NR298" s="23"/>
      <c r="NS298" s="23"/>
      <c r="NT298" s="23"/>
      <c r="NU298" s="23"/>
      <c r="NV298" s="23"/>
      <c r="NW298" s="23"/>
      <c r="NX298" s="23"/>
      <c r="NY298" s="23"/>
      <c r="NZ298" s="23"/>
      <c r="OA298" s="23"/>
      <c r="OB298" s="23"/>
      <c r="OC298" s="23"/>
      <c r="OD298" s="23"/>
      <c r="OE298" s="23"/>
      <c r="OF298" s="23"/>
      <c r="OG298" s="23"/>
      <c r="OH298" s="23"/>
      <c r="OI298" s="23"/>
      <c r="OJ298" s="23"/>
      <c r="OK298" s="23"/>
      <c r="OL298" s="23"/>
      <c r="OM298" s="23"/>
      <c r="ON298" s="23"/>
      <c r="OO298" s="23"/>
      <c r="OP298" s="23"/>
      <c r="OQ298" s="23"/>
      <c r="OR298" s="23"/>
      <c r="OS298" s="23"/>
      <c r="OT298" s="23"/>
      <c r="OU298" s="23"/>
      <c r="OV298" s="23"/>
      <c r="OW298" s="23"/>
      <c r="OX298" s="23"/>
      <c r="OY298" s="23"/>
      <c r="OZ298" s="23"/>
      <c r="PA298" s="23"/>
      <c r="PB298" s="23"/>
      <c r="PC298" s="23"/>
      <c r="PD298" s="23"/>
      <c r="PE298" s="23"/>
      <c r="PF298" s="23"/>
      <c r="PG298" s="23"/>
      <c r="PH298" s="23"/>
      <c r="PI298" s="23"/>
      <c r="PJ298" s="23"/>
      <c r="PK298" s="23"/>
      <c r="PL298" s="23"/>
      <c r="PM298" s="23"/>
      <c r="PN298" s="23"/>
      <c r="PO298" s="23"/>
      <c r="PP298" s="23"/>
      <c r="PQ298" s="23"/>
      <c r="PR298" s="23"/>
      <c r="PS298" s="23"/>
      <c r="PT298" s="23"/>
      <c r="PU298" s="23"/>
      <c r="PV298" s="23"/>
      <c r="PW298" s="23"/>
      <c r="PX298" s="23"/>
      <c r="PY298" s="23"/>
      <c r="PZ298" s="23"/>
      <c r="QA298" s="23"/>
      <c r="QB298" s="23"/>
      <c r="QC298" s="23"/>
      <c r="QD298" s="23"/>
      <c r="QE298" s="23"/>
      <c r="QF298" s="23"/>
      <c r="QG298" s="23"/>
      <c r="QH298" s="23"/>
      <c r="QI298" s="23"/>
      <c r="QJ298" s="23"/>
      <c r="QK298" s="23"/>
      <c r="QL298" s="23"/>
      <c r="QM298" s="23"/>
      <c r="QN298" s="23"/>
      <c r="QO298" s="23"/>
      <c r="QP298" s="23"/>
      <c r="QQ298" s="23"/>
      <c r="QR298" s="23"/>
      <c r="QS298" s="23"/>
      <c r="QT298" s="23"/>
      <c r="QU298" s="23"/>
      <c r="QV298" s="23"/>
      <c r="QW298" s="23"/>
      <c r="QX298" s="23"/>
      <c r="QY298" s="23"/>
      <c r="QZ298" s="23"/>
      <c r="RA298" s="23"/>
      <c r="RB298" s="23"/>
      <c r="RC298" s="23"/>
      <c r="RD298" s="23"/>
      <c r="RE298" s="23"/>
      <c r="RF298" s="23"/>
      <c r="RG298" s="23"/>
      <c r="RH298" s="23"/>
      <c r="RI298" s="23"/>
      <c r="RJ298" s="23"/>
      <c r="RK298" s="23"/>
      <c r="RL298" s="23"/>
      <c r="RM298" s="23"/>
      <c r="RN298" s="23"/>
      <c r="RO298" s="23"/>
      <c r="RP298" s="23"/>
      <c r="RQ298" s="23"/>
      <c r="RR298" s="23"/>
      <c r="RS298" s="23"/>
      <c r="RT298" s="23"/>
      <c r="RU298" s="23"/>
      <c r="RV298" s="23"/>
      <c r="RW298" s="23"/>
      <c r="RX298" s="23"/>
      <c r="RY298" s="23"/>
      <c r="RZ298" s="23"/>
      <c r="SA298" s="23"/>
      <c r="SB298" s="23"/>
      <c r="SC298" s="23"/>
      <c r="SD298" s="23"/>
      <c r="SE298" s="23"/>
      <c r="SF298" s="23"/>
      <c r="SG298" s="23"/>
      <c r="SH298" s="23"/>
      <c r="SI298" s="23"/>
      <c r="SJ298" s="23"/>
      <c r="SK298" s="23"/>
      <c r="SL298" s="23"/>
      <c r="SM298" s="23"/>
      <c r="SN298" s="23"/>
      <c r="SO298" s="23"/>
      <c r="SP298" s="23"/>
      <c r="SQ298" s="23"/>
      <c r="SR298" s="23"/>
      <c r="SS298" s="23"/>
      <c r="ST298" s="23"/>
      <c r="SU298" s="23"/>
      <c r="SV298" s="23"/>
      <c r="SW298" s="23"/>
      <c r="SX298" s="23"/>
      <c r="SY298" s="23"/>
      <c r="SZ298" s="23"/>
      <c r="TA298" s="23"/>
      <c r="TB298" s="23"/>
      <c r="TC298" s="23"/>
      <c r="TD298" s="23"/>
      <c r="TE298" s="23"/>
      <c r="TF298" s="23"/>
      <c r="TG298" s="23"/>
    </row>
    <row r="299" spans="1:527" s="22" customFormat="1" ht="21" customHeight="1" x14ac:dyDescent="0.25">
      <c r="A299" s="60" t="s">
        <v>260</v>
      </c>
      <c r="B299" s="97" t="str">
        <f>'дод 5'!A203</f>
        <v>7640</v>
      </c>
      <c r="C299" s="97" t="str">
        <f>'дод 5'!B203</f>
        <v>0470</v>
      </c>
      <c r="D299" s="61" t="s">
        <v>424</v>
      </c>
      <c r="E299" s="103">
        <f t="shared" si="177"/>
        <v>416200</v>
      </c>
      <c r="F299" s="103">
        <f>426000-9800</f>
        <v>416200</v>
      </c>
      <c r="G299" s="103"/>
      <c r="H299" s="103"/>
      <c r="I299" s="103"/>
      <c r="J299" s="103">
        <f t="shared" ref="J299:J305" si="179">L299+O299</f>
        <v>0</v>
      </c>
      <c r="K299" s="103"/>
      <c r="L299" s="103"/>
      <c r="M299" s="103"/>
      <c r="N299" s="103"/>
      <c r="O299" s="103"/>
      <c r="P299" s="103">
        <f t="shared" si="178"/>
        <v>416200</v>
      </c>
      <c r="Q299" s="187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  <c r="SQ299" s="23"/>
      <c r="SR299" s="23"/>
      <c r="SS299" s="23"/>
      <c r="ST299" s="23"/>
      <c r="SU299" s="23"/>
      <c r="SV299" s="23"/>
      <c r="SW299" s="23"/>
      <c r="SX299" s="23"/>
      <c r="SY299" s="23"/>
      <c r="SZ299" s="23"/>
      <c r="TA299" s="23"/>
      <c r="TB299" s="23"/>
      <c r="TC299" s="23"/>
      <c r="TD299" s="23"/>
      <c r="TE299" s="23"/>
      <c r="TF299" s="23"/>
      <c r="TG299" s="23"/>
    </row>
    <row r="300" spans="1:527" s="22" customFormat="1" ht="29.25" customHeight="1" x14ac:dyDescent="0.25">
      <c r="A300" s="60" t="s">
        <v>332</v>
      </c>
      <c r="B300" s="97" t="str">
        <f>'дод 5'!A211</f>
        <v>7693</v>
      </c>
      <c r="C300" s="97" t="str">
        <f>'дод 5'!B211</f>
        <v>0490</v>
      </c>
      <c r="D300" s="61" t="str">
        <f>'дод 5'!C211</f>
        <v>Інші заходи, пов'язані з економічною діяльністю</v>
      </c>
      <c r="E300" s="103">
        <f t="shared" si="177"/>
        <v>293000</v>
      </c>
      <c r="F300" s="103">
        <f>483750-130750-10000-50000</f>
        <v>293000</v>
      </c>
      <c r="G300" s="103"/>
      <c r="H300" s="103"/>
      <c r="I300" s="103"/>
      <c r="J300" s="103">
        <f t="shared" si="179"/>
        <v>0</v>
      </c>
      <c r="K300" s="103"/>
      <c r="L300" s="103"/>
      <c r="M300" s="103"/>
      <c r="N300" s="103"/>
      <c r="O300" s="103"/>
      <c r="P300" s="103">
        <f t="shared" si="178"/>
        <v>293000</v>
      </c>
      <c r="Q300" s="187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  <c r="SQ300" s="23"/>
      <c r="SR300" s="23"/>
      <c r="SS300" s="23"/>
      <c r="ST300" s="23"/>
      <c r="SU300" s="23"/>
      <c r="SV300" s="23"/>
      <c r="SW300" s="23"/>
      <c r="SX300" s="23"/>
      <c r="SY300" s="23"/>
      <c r="SZ300" s="23"/>
      <c r="TA300" s="23"/>
      <c r="TB300" s="23"/>
      <c r="TC300" s="23"/>
      <c r="TD300" s="23"/>
      <c r="TE300" s="23"/>
      <c r="TF300" s="23"/>
      <c r="TG300" s="23"/>
    </row>
    <row r="301" spans="1:527" s="22" customFormat="1" ht="42.75" customHeight="1" x14ac:dyDescent="0.25">
      <c r="A301" s="60">
        <v>3718330</v>
      </c>
      <c r="B301" s="97">
        <f>'дод 5'!A224</f>
        <v>8330</v>
      </c>
      <c r="C301" s="60" t="s">
        <v>94</v>
      </c>
      <c r="D301" s="61" t="str">
        <f>'дод 5'!C224</f>
        <v xml:space="preserve">Інша діяльність у сфері екології та охорони природних ресурсів </v>
      </c>
      <c r="E301" s="103">
        <f t="shared" si="177"/>
        <v>75000</v>
      </c>
      <c r="F301" s="103">
        <v>75000</v>
      </c>
      <c r="G301" s="103"/>
      <c r="H301" s="103"/>
      <c r="I301" s="103"/>
      <c r="J301" s="103">
        <f t="shared" si="179"/>
        <v>0</v>
      </c>
      <c r="K301" s="103"/>
      <c r="L301" s="103"/>
      <c r="M301" s="103"/>
      <c r="N301" s="103"/>
      <c r="O301" s="103"/>
      <c r="P301" s="103">
        <f t="shared" si="178"/>
        <v>75000</v>
      </c>
      <c r="Q301" s="187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  <c r="SQ301" s="23"/>
      <c r="SR301" s="23"/>
      <c r="SS301" s="23"/>
      <c r="ST301" s="23"/>
      <c r="SU301" s="23"/>
      <c r="SV301" s="23"/>
      <c r="SW301" s="23"/>
      <c r="SX301" s="23"/>
      <c r="SY301" s="23"/>
      <c r="SZ301" s="23"/>
      <c r="TA301" s="23"/>
      <c r="TB301" s="23"/>
      <c r="TC301" s="23"/>
      <c r="TD301" s="23"/>
      <c r="TE301" s="23"/>
      <c r="TF301" s="23"/>
      <c r="TG301" s="23"/>
    </row>
    <row r="302" spans="1:527" s="22" customFormat="1" ht="30.75" customHeight="1" x14ac:dyDescent="0.25">
      <c r="A302" s="60" t="s">
        <v>223</v>
      </c>
      <c r="B302" s="97" t="str">
        <f>'дод 5'!A225</f>
        <v>8340</v>
      </c>
      <c r="C302" s="60" t="str">
        <f>'дод 5'!B225</f>
        <v>0540</v>
      </c>
      <c r="D302" s="61" t="str">
        <f>'дод 5'!C225</f>
        <v>Природоохоронні заходи за рахунок цільових фондів</v>
      </c>
      <c r="E302" s="103">
        <f t="shared" si="177"/>
        <v>0</v>
      </c>
      <c r="F302" s="103"/>
      <c r="G302" s="103"/>
      <c r="H302" s="103"/>
      <c r="I302" s="103"/>
      <c r="J302" s="103">
        <f t="shared" si="179"/>
        <v>502000</v>
      </c>
      <c r="K302" s="103"/>
      <c r="L302" s="103">
        <f>103000+399000</f>
        <v>502000</v>
      </c>
      <c r="M302" s="103"/>
      <c r="N302" s="103"/>
      <c r="O302" s="103"/>
      <c r="P302" s="103">
        <f t="shared" si="178"/>
        <v>502000</v>
      </c>
      <c r="Q302" s="187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  <c r="SQ302" s="23"/>
      <c r="SR302" s="23"/>
      <c r="SS302" s="23"/>
      <c r="ST302" s="23"/>
      <c r="SU302" s="23"/>
      <c r="SV302" s="23"/>
      <c r="SW302" s="23"/>
      <c r="SX302" s="23"/>
      <c r="SY302" s="23"/>
      <c r="SZ302" s="23"/>
      <c r="TA302" s="23"/>
      <c r="TB302" s="23"/>
      <c r="TC302" s="23"/>
      <c r="TD302" s="23"/>
      <c r="TE302" s="23"/>
      <c r="TF302" s="23"/>
      <c r="TG302" s="23"/>
    </row>
    <row r="303" spans="1:527" s="22" customFormat="1" ht="21.75" customHeight="1" x14ac:dyDescent="0.25">
      <c r="A303" s="60" t="s">
        <v>224</v>
      </c>
      <c r="B303" s="97" t="str">
        <f>'дод 5'!A228</f>
        <v>8600</v>
      </c>
      <c r="C303" s="97" t="str">
        <f>'дод 5'!B228</f>
        <v>0170</v>
      </c>
      <c r="D303" s="61" t="str">
        <f>'дод 5'!C228</f>
        <v>Обслуговування місцевого боргу</v>
      </c>
      <c r="E303" s="103">
        <f t="shared" si="177"/>
        <v>1964239</v>
      </c>
      <c r="F303" s="103">
        <f>1833489+130750</f>
        <v>1964239</v>
      </c>
      <c r="G303" s="103"/>
      <c r="H303" s="103"/>
      <c r="I303" s="103"/>
      <c r="J303" s="103">
        <f t="shared" si="179"/>
        <v>0</v>
      </c>
      <c r="K303" s="103"/>
      <c r="L303" s="103"/>
      <c r="M303" s="103"/>
      <c r="N303" s="103"/>
      <c r="O303" s="103"/>
      <c r="P303" s="103">
        <f t="shared" si="178"/>
        <v>1964239</v>
      </c>
      <c r="Q303" s="187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  <c r="HC303" s="23"/>
      <c r="HD303" s="23"/>
      <c r="HE303" s="23"/>
      <c r="HF303" s="23"/>
      <c r="HG303" s="23"/>
      <c r="HH303" s="23"/>
      <c r="HI303" s="23"/>
      <c r="HJ303" s="23"/>
      <c r="HK303" s="23"/>
      <c r="HL303" s="23"/>
      <c r="HM303" s="23"/>
      <c r="HN303" s="23"/>
      <c r="HO303" s="23"/>
      <c r="HP303" s="23"/>
      <c r="HQ303" s="23"/>
      <c r="HR303" s="23"/>
      <c r="HS303" s="23"/>
      <c r="HT303" s="23"/>
      <c r="HU303" s="23"/>
      <c r="HV303" s="23"/>
      <c r="HW303" s="23"/>
      <c r="HX303" s="23"/>
      <c r="HY303" s="23"/>
      <c r="HZ303" s="23"/>
      <c r="IA303" s="23"/>
      <c r="IB303" s="23"/>
      <c r="IC303" s="23"/>
      <c r="ID303" s="23"/>
      <c r="IE303" s="23"/>
      <c r="IF303" s="23"/>
      <c r="IG303" s="23"/>
      <c r="IH303" s="23"/>
      <c r="II303" s="23"/>
      <c r="IJ303" s="23"/>
      <c r="IK303" s="23"/>
      <c r="IL303" s="23"/>
      <c r="IM303" s="23"/>
      <c r="IN303" s="23"/>
      <c r="IO303" s="23"/>
      <c r="IP303" s="23"/>
      <c r="IQ303" s="23"/>
      <c r="IR303" s="23"/>
      <c r="IS303" s="23"/>
      <c r="IT303" s="23"/>
      <c r="IU303" s="23"/>
      <c r="IV303" s="23"/>
      <c r="IW303" s="23"/>
      <c r="IX303" s="23"/>
      <c r="IY303" s="23"/>
      <c r="IZ303" s="23"/>
      <c r="JA303" s="23"/>
      <c r="JB303" s="23"/>
      <c r="JC303" s="23"/>
      <c r="JD303" s="23"/>
      <c r="JE303" s="23"/>
      <c r="JF303" s="23"/>
      <c r="JG303" s="23"/>
      <c r="JH303" s="23"/>
      <c r="JI303" s="23"/>
      <c r="JJ303" s="23"/>
      <c r="JK303" s="23"/>
      <c r="JL303" s="23"/>
      <c r="JM303" s="23"/>
      <c r="JN303" s="23"/>
      <c r="JO303" s="23"/>
      <c r="JP303" s="23"/>
      <c r="JQ303" s="23"/>
      <c r="JR303" s="23"/>
      <c r="JS303" s="23"/>
      <c r="JT303" s="23"/>
      <c r="JU303" s="23"/>
      <c r="JV303" s="23"/>
      <c r="JW303" s="23"/>
      <c r="JX303" s="23"/>
      <c r="JY303" s="23"/>
      <c r="JZ303" s="23"/>
      <c r="KA303" s="23"/>
      <c r="KB303" s="23"/>
      <c r="KC303" s="23"/>
      <c r="KD303" s="23"/>
      <c r="KE303" s="23"/>
      <c r="KF303" s="23"/>
      <c r="KG303" s="23"/>
      <c r="KH303" s="23"/>
      <c r="KI303" s="23"/>
      <c r="KJ303" s="23"/>
      <c r="KK303" s="23"/>
      <c r="KL303" s="23"/>
      <c r="KM303" s="23"/>
      <c r="KN303" s="23"/>
      <c r="KO303" s="23"/>
      <c r="KP303" s="23"/>
      <c r="KQ303" s="23"/>
      <c r="KR303" s="23"/>
      <c r="KS303" s="23"/>
      <c r="KT303" s="23"/>
      <c r="KU303" s="23"/>
      <c r="KV303" s="23"/>
      <c r="KW303" s="23"/>
      <c r="KX303" s="23"/>
      <c r="KY303" s="23"/>
      <c r="KZ303" s="23"/>
      <c r="LA303" s="23"/>
      <c r="LB303" s="23"/>
      <c r="LC303" s="23"/>
      <c r="LD303" s="23"/>
      <c r="LE303" s="23"/>
      <c r="LF303" s="23"/>
      <c r="LG303" s="23"/>
      <c r="LH303" s="23"/>
      <c r="LI303" s="23"/>
      <c r="LJ303" s="23"/>
      <c r="LK303" s="23"/>
      <c r="LL303" s="23"/>
      <c r="LM303" s="23"/>
      <c r="LN303" s="23"/>
      <c r="LO303" s="23"/>
      <c r="LP303" s="23"/>
      <c r="LQ303" s="23"/>
      <c r="LR303" s="23"/>
      <c r="LS303" s="23"/>
      <c r="LT303" s="23"/>
      <c r="LU303" s="23"/>
      <c r="LV303" s="23"/>
      <c r="LW303" s="23"/>
      <c r="LX303" s="23"/>
      <c r="LY303" s="23"/>
      <c r="LZ303" s="23"/>
      <c r="MA303" s="23"/>
      <c r="MB303" s="23"/>
      <c r="MC303" s="23"/>
      <c r="MD303" s="23"/>
      <c r="ME303" s="23"/>
      <c r="MF303" s="23"/>
      <c r="MG303" s="23"/>
      <c r="MH303" s="23"/>
      <c r="MI303" s="23"/>
      <c r="MJ303" s="23"/>
      <c r="MK303" s="23"/>
      <c r="ML303" s="23"/>
      <c r="MM303" s="23"/>
      <c r="MN303" s="23"/>
      <c r="MO303" s="23"/>
      <c r="MP303" s="23"/>
      <c r="MQ303" s="23"/>
      <c r="MR303" s="23"/>
      <c r="MS303" s="23"/>
      <c r="MT303" s="23"/>
      <c r="MU303" s="23"/>
      <c r="MV303" s="23"/>
      <c r="MW303" s="23"/>
      <c r="MX303" s="23"/>
      <c r="MY303" s="23"/>
      <c r="MZ303" s="23"/>
      <c r="NA303" s="23"/>
      <c r="NB303" s="23"/>
      <c r="NC303" s="23"/>
      <c r="ND303" s="23"/>
      <c r="NE303" s="23"/>
      <c r="NF303" s="23"/>
      <c r="NG303" s="23"/>
      <c r="NH303" s="23"/>
      <c r="NI303" s="23"/>
      <c r="NJ303" s="23"/>
      <c r="NK303" s="23"/>
      <c r="NL303" s="23"/>
      <c r="NM303" s="23"/>
      <c r="NN303" s="23"/>
      <c r="NO303" s="23"/>
      <c r="NP303" s="23"/>
      <c r="NQ303" s="23"/>
      <c r="NR303" s="23"/>
      <c r="NS303" s="23"/>
      <c r="NT303" s="23"/>
      <c r="NU303" s="23"/>
      <c r="NV303" s="23"/>
      <c r="NW303" s="23"/>
      <c r="NX303" s="23"/>
      <c r="NY303" s="23"/>
      <c r="NZ303" s="23"/>
      <c r="OA303" s="23"/>
      <c r="OB303" s="23"/>
      <c r="OC303" s="23"/>
      <c r="OD303" s="23"/>
      <c r="OE303" s="23"/>
      <c r="OF303" s="23"/>
      <c r="OG303" s="23"/>
      <c r="OH303" s="23"/>
      <c r="OI303" s="23"/>
      <c r="OJ303" s="23"/>
      <c r="OK303" s="23"/>
      <c r="OL303" s="23"/>
      <c r="OM303" s="23"/>
      <c r="ON303" s="23"/>
      <c r="OO303" s="23"/>
      <c r="OP303" s="23"/>
      <c r="OQ303" s="23"/>
      <c r="OR303" s="23"/>
      <c r="OS303" s="23"/>
      <c r="OT303" s="23"/>
      <c r="OU303" s="23"/>
      <c r="OV303" s="23"/>
      <c r="OW303" s="23"/>
      <c r="OX303" s="23"/>
      <c r="OY303" s="23"/>
      <c r="OZ303" s="23"/>
      <c r="PA303" s="23"/>
      <c r="PB303" s="23"/>
      <c r="PC303" s="23"/>
      <c r="PD303" s="23"/>
      <c r="PE303" s="23"/>
      <c r="PF303" s="23"/>
      <c r="PG303" s="23"/>
      <c r="PH303" s="23"/>
      <c r="PI303" s="23"/>
      <c r="PJ303" s="23"/>
      <c r="PK303" s="23"/>
      <c r="PL303" s="23"/>
      <c r="PM303" s="23"/>
      <c r="PN303" s="23"/>
      <c r="PO303" s="23"/>
      <c r="PP303" s="23"/>
      <c r="PQ303" s="23"/>
      <c r="PR303" s="23"/>
      <c r="PS303" s="23"/>
      <c r="PT303" s="23"/>
      <c r="PU303" s="23"/>
      <c r="PV303" s="23"/>
      <c r="PW303" s="23"/>
      <c r="PX303" s="23"/>
      <c r="PY303" s="23"/>
      <c r="PZ303" s="23"/>
      <c r="QA303" s="23"/>
      <c r="QB303" s="23"/>
      <c r="QC303" s="23"/>
      <c r="QD303" s="23"/>
      <c r="QE303" s="23"/>
      <c r="QF303" s="23"/>
      <c r="QG303" s="23"/>
      <c r="QH303" s="23"/>
      <c r="QI303" s="23"/>
      <c r="QJ303" s="23"/>
      <c r="QK303" s="23"/>
      <c r="QL303" s="23"/>
      <c r="QM303" s="23"/>
      <c r="QN303" s="23"/>
      <c r="QO303" s="23"/>
      <c r="QP303" s="23"/>
      <c r="QQ303" s="23"/>
      <c r="QR303" s="23"/>
      <c r="QS303" s="23"/>
      <c r="QT303" s="23"/>
      <c r="QU303" s="23"/>
      <c r="QV303" s="23"/>
      <c r="QW303" s="23"/>
      <c r="QX303" s="23"/>
      <c r="QY303" s="23"/>
      <c r="QZ303" s="23"/>
      <c r="RA303" s="23"/>
      <c r="RB303" s="23"/>
      <c r="RC303" s="23"/>
      <c r="RD303" s="23"/>
      <c r="RE303" s="23"/>
      <c r="RF303" s="23"/>
      <c r="RG303" s="23"/>
      <c r="RH303" s="23"/>
      <c r="RI303" s="23"/>
      <c r="RJ303" s="23"/>
      <c r="RK303" s="23"/>
      <c r="RL303" s="23"/>
      <c r="RM303" s="23"/>
      <c r="RN303" s="23"/>
      <c r="RO303" s="23"/>
      <c r="RP303" s="23"/>
      <c r="RQ303" s="23"/>
      <c r="RR303" s="23"/>
      <c r="RS303" s="23"/>
      <c r="RT303" s="23"/>
      <c r="RU303" s="23"/>
      <c r="RV303" s="23"/>
      <c r="RW303" s="23"/>
      <c r="RX303" s="23"/>
      <c r="RY303" s="23"/>
      <c r="RZ303" s="23"/>
      <c r="SA303" s="23"/>
      <c r="SB303" s="23"/>
      <c r="SC303" s="23"/>
      <c r="SD303" s="23"/>
      <c r="SE303" s="23"/>
      <c r="SF303" s="23"/>
      <c r="SG303" s="23"/>
      <c r="SH303" s="23"/>
      <c r="SI303" s="23"/>
      <c r="SJ303" s="23"/>
      <c r="SK303" s="23"/>
      <c r="SL303" s="23"/>
      <c r="SM303" s="23"/>
      <c r="SN303" s="23"/>
      <c r="SO303" s="23"/>
      <c r="SP303" s="23"/>
      <c r="SQ303" s="23"/>
      <c r="SR303" s="23"/>
      <c r="SS303" s="23"/>
      <c r="ST303" s="23"/>
      <c r="SU303" s="23"/>
      <c r="SV303" s="23"/>
      <c r="SW303" s="23"/>
      <c r="SX303" s="23"/>
      <c r="SY303" s="23"/>
      <c r="SZ303" s="23"/>
      <c r="TA303" s="23"/>
      <c r="TB303" s="23"/>
      <c r="TC303" s="23"/>
      <c r="TD303" s="23"/>
      <c r="TE303" s="23"/>
      <c r="TF303" s="23"/>
      <c r="TG303" s="23"/>
    </row>
    <row r="304" spans="1:527" s="22" customFormat="1" ht="22.5" customHeight="1" x14ac:dyDescent="0.25">
      <c r="A304" s="60" t="s">
        <v>526</v>
      </c>
      <c r="B304" s="97">
        <v>8710</v>
      </c>
      <c r="C304" s="97" t="str">
        <f>'дод 5'!B229</f>
        <v>0133</v>
      </c>
      <c r="D304" s="61" t="str">
        <f>'дод 5'!C229</f>
        <v>Резервний фонд місцевого бюджету</v>
      </c>
      <c r="E304" s="103">
        <f>16076686.44+30260-2902100-6378100+81980-1553963+117260-370000-4100550-30000-1773800-1500000-1764511-50000+18143581</f>
        <v>14026743.439999999</v>
      </c>
      <c r="F304" s="103"/>
      <c r="G304" s="103"/>
      <c r="H304" s="103"/>
      <c r="I304" s="103"/>
      <c r="J304" s="103">
        <f t="shared" si="179"/>
        <v>0</v>
      </c>
      <c r="K304" s="103"/>
      <c r="L304" s="103"/>
      <c r="M304" s="103"/>
      <c r="N304" s="103"/>
      <c r="O304" s="103"/>
      <c r="P304" s="103">
        <f t="shared" si="178"/>
        <v>14026743.439999999</v>
      </c>
      <c r="Q304" s="187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  <c r="HQ304" s="23"/>
      <c r="HR304" s="23"/>
      <c r="HS304" s="23"/>
      <c r="HT304" s="23"/>
      <c r="HU304" s="23"/>
      <c r="HV304" s="23"/>
      <c r="HW304" s="23"/>
      <c r="HX304" s="23"/>
      <c r="HY304" s="23"/>
      <c r="HZ304" s="23"/>
      <c r="IA304" s="23"/>
      <c r="IB304" s="23"/>
      <c r="IC304" s="23"/>
      <c r="ID304" s="23"/>
      <c r="IE304" s="23"/>
      <c r="IF304" s="23"/>
      <c r="IG304" s="23"/>
      <c r="IH304" s="23"/>
      <c r="II304" s="23"/>
      <c r="IJ304" s="23"/>
      <c r="IK304" s="23"/>
      <c r="IL304" s="23"/>
      <c r="IM304" s="23"/>
      <c r="IN304" s="23"/>
      <c r="IO304" s="23"/>
      <c r="IP304" s="23"/>
      <c r="IQ304" s="23"/>
      <c r="IR304" s="23"/>
      <c r="IS304" s="23"/>
      <c r="IT304" s="23"/>
      <c r="IU304" s="23"/>
      <c r="IV304" s="23"/>
      <c r="IW304" s="23"/>
      <c r="IX304" s="23"/>
      <c r="IY304" s="23"/>
      <c r="IZ304" s="23"/>
      <c r="JA304" s="23"/>
      <c r="JB304" s="23"/>
      <c r="JC304" s="23"/>
      <c r="JD304" s="23"/>
      <c r="JE304" s="23"/>
      <c r="JF304" s="23"/>
      <c r="JG304" s="23"/>
      <c r="JH304" s="23"/>
      <c r="JI304" s="23"/>
      <c r="JJ304" s="23"/>
      <c r="JK304" s="23"/>
      <c r="JL304" s="23"/>
      <c r="JM304" s="23"/>
      <c r="JN304" s="23"/>
      <c r="JO304" s="23"/>
      <c r="JP304" s="23"/>
      <c r="JQ304" s="23"/>
      <c r="JR304" s="23"/>
      <c r="JS304" s="23"/>
      <c r="JT304" s="23"/>
      <c r="JU304" s="23"/>
      <c r="JV304" s="23"/>
      <c r="JW304" s="23"/>
      <c r="JX304" s="23"/>
      <c r="JY304" s="23"/>
      <c r="JZ304" s="23"/>
      <c r="KA304" s="23"/>
      <c r="KB304" s="23"/>
      <c r="KC304" s="23"/>
      <c r="KD304" s="23"/>
      <c r="KE304" s="23"/>
      <c r="KF304" s="23"/>
      <c r="KG304" s="23"/>
      <c r="KH304" s="23"/>
      <c r="KI304" s="23"/>
      <c r="KJ304" s="23"/>
      <c r="KK304" s="23"/>
      <c r="KL304" s="23"/>
      <c r="KM304" s="23"/>
      <c r="KN304" s="23"/>
      <c r="KO304" s="23"/>
      <c r="KP304" s="23"/>
      <c r="KQ304" s="23"/>
      <c r="KR304" s="23"/>
      <c r="KS304" s="23"/>
      <c r="KT304" s="23"/>
      <c r="KU304" s="23"/>
      <c r="KV304" s="23"/>
      <c r="KW304" s="23"/>
      <c r="KX304" s="23"/>
      <c r="KY304" s="23"/>
      <c r="KZ304" s="23"/>
      <c r="LA304" s="23"/>
      <c r="LB304" s="23"/>
      <c r="LC304" s="23"/>
      <c r="LD304" s="23"/>
      <c r="LE304" s="23"/>
      <c r="LF304" s="23"/>
      <c r="LG304" s="23"/>
      <c r="LH304" s="23"/>
      <c r="LI304" s="23"/>
      <c r="LJ304" s="23"/>
      <c r="LK304" s="23"/>
      <c r="LL304" s="23"/>
      <c r="LM304" s="23"/>
      <c r="LN304" s="23"/>
      <c r="LO304" s="23"/>
      <c r="LP304" s="23"/>
      <c r="LQ304" s="23"/>
      <c r="LR304" s="23"/>
      <c r="LS304" s="23"/>
      <c r="LT304" s="23"/>
      <c r="LU304" s="23"/>
      <c r="LV304" s="23"/>
      <c r="LW304" s="23"/>
      <c r="LX304" s="23"/>
      <c r="LY304" s="23"/>
      <c r="LZ304" s="23"/>
      <c r="MA304" s="23"/>
      <c r="MB304" s="23"/>
      <c r="MC304" s="23"/>
      <c r="MD304" s="23"/>
      <c r="ME304" s="23"/>
      <c r="MF304" s="23"/>
      <c r="MG304" s="23"/>
      <c r="MH304" s="23"/>
      <c r="MI304" s="23"/>
      <c r="MJ304" s="23"/>
      <c r="MK304" s="23"/>
      <c r="ML304" s="23"/>
      <c r="MM304" s="23"/>
      <c r="MN304" s="23"/>
      <c r="MO304" s="23"/>
      <c r="MP304" s="23"/>
      <c r="MQ304" s="23"/>
      <c r="MR304" s="23"/>
      <c r="MS304" s="23"/>
      <c r="MT304" s="23"/>
      <c r="MU304" s="23"/>
      <c r="MV304" s="23"/>
      <c r="MW304" s="23"/>
      <c r="MX304" s="23"/>
      <c r="MY304" s="23"/>
      <c r="MZ304" s="23"/>
      <c r="NA304" s="23"/>
      <c r="NB304" s="23"/>
      <c r="NC304" s="23"/>
      <c r="ND304" s="23"/>
      <c r="NE304" s="23"/>
      <c r="NF304" s="23"/>
      <c r="NG304" s="23"/>
      <c r="NH304" s="23"/>
      <c r="NI304" s="23"/>
      <c r="NJ304" s="23"/>
      <c r="NK304" s="23"/>
      <c r="NL304" s="23"/>
      <c r="NM304" s="23"/>
      <c r="NN304" s="23"/>
      <c r="NO304" s="23"/>
      <c r="NP304" s="23"/>
      <c r="NQ304" s="23"/>
      <c r="NR304" s="23"/>
      <c r="NS304" s="23"/>
      <c r="NT304" s="23"/>
      <c r="NU304" s="23"/>
      <c r="NV304" s="23"/>
      <c r="NW304" s="23"/>
      <c r="NX304" s="23"/>
      <c r="NY304" s="23"/>
      <c r="NZ304" s="23"/>
      <c r="OA304" s="23"/>
      <c r="OB304" s="23"/>
      <c r="OC304" s="23"/>
      <c r="OD304" s="23"/>
      <c r="OE304" s="23"/>
      <c r="OF304" s="23"/>
      <c r="OG304" s="23"/>
      <c r="OH304" s="23"/>
      <c r="OI304" s="23"/>
      <c r="OJ304" s="23"/>
      <c r="OK304" s="23"/>
      <c r="OL304" s="23"/>
      <c r="OM304" s="23"/>
      <c r="ON304" s="23"/>
      <c r="OO304" s="23"/>
      <c r="OP304" s="23"/>
      <c r="OQ304" s="23"/>
      <c r="OR304" s="23"/>
      <c r="OS304" s="23"/>
      <c r="OT304" s="23"/>
      <c r="OU304" s="23"/>
      <c r="OV304" s="23"/>
      <c r="OW304" s="23"/>
      <c r="OX304" s="23"/>
      <c r="OY304" s="23"/>
      <c r="OZ304" s="23"/>
      <c r="PA304" s="23"/>
      <c r="PB304" s="23"/>
      <c r="PC304" s="23"/>
      <c r="PD304" s="23"/>
      <c r="PE304" s="23"/>
      <c r="PF304" s="23"/>
      <c r="PG304" s="23"/>
      <c r="PH304" s="23"/>
      <c r="PI304" s="23"/>
      <c r="PJ304" s="23"/>
      <c r="PK304" s="23"/>
      <c r="PL304" s="23"/>
      <c r="PM304" s="23"/>
      <c r="PN304" s="23"/>
      <c r="PO304" s="23"/>
      <c r="PP304" s="23"/>
      <c r="PQ304" s="23"/>
      <c r="PR304" s="23"/>
      <c r="PS304" s="23"/>
      <c r="PT304" s="23"/>
      <c r="PU304" s="23"/>
      <c r="PV304" s="23"/>
      <c r="PW304" s="23"/>
      <c r="PX304" s="23"/>
      <c r="PY304" s="23"/>
      <c r="PZ304" s="23"/>
      <c r="QA304" s="23"/>
      <c r="QB304" s="23"/>
      <c r="QC304" s="23"/>
      <c r="QD304" s="23"/>
      <c r="QE304" s="23"/>
      <c r="QF304" s="23"/>
      <c r="QG304" s="23"/>
      <c r="QH304" s="23"/>
      <c r="QI304" s="23"/>
      <c r="QJ304" s="23"/>
      <c r="QK304" s="23"/>
      <c r="QL304" s="23"/>
      <c r="QM304" s="23"/>
      <c r="QN304" s="23"/>
      <c r="QO304" s="23"/>
      <c r="QP304" s="23"/>
      <c r="QQ304" s="23"/>
      <c r="QR304" s="23"/>
      <c r="QS304" s="23"/>
      <c r="QT304" s="23"/>
      <c r="QU304" s="23"/>
      <c r="QV304" s="23"/>
      <c r="QW304" s="23"/>
      <c r="QX304" s="23"/>
      <c r="QY304" s="23"/>
      <c r="QZ304" s="23"/>
      <c r="RA304" s="23"/>
      <c r="RB304" s="23"/>
      <c r="RC304" s="23"/>
      <c r="RD304" s="23"/>
      <c r="RE304" s="23"/>
      <c r="RF304" s="23"/>
      <c r="RG304" s="23"/>
      <c r="RH304" s="23"/>
      <c r="RI304" s="23"/>
      <c r="RJ304" s="23"/>
      <c r="RK304" s="23"/>
      <c r="RL304" s="23"/>
      <c r="RM304" s="23"/>
      <c r="RN304" s="23"/>
      <c r="RO304" s="23"/>
      <c r="RP304" s="23"/>
      <c r="RQ304" s="23"/>
      <c r="RR304" s="23"/>
      <c r="RS304" s="23"/>
      <c r="RT304" s="23"/>
      <c r="RU304" s="23"/>
      <c r="RV304" s="23"/>
      <c r="RW304" s="23"/>
      <c r="RX304" s="23"/>
      <c r="RY304" s="23"/>
      <c r="RZ304" s="23"/>
      <c r="SA304" s="23"/>
      <c r="SB304" s="23"/>
      <c r="SC304" s="23"/>
      <c r="SD304" s="23"/>
      <c r="SE304" s="23"/>
      <c r="SF304" s="23"/>
      <c r="SG304" s="23"/>
      <c r="SH304" s="23"/>
      <c r="SI304" s="23"/>
      <c r="SJ304" s="23"/>
      <c r="SK304" s="23"/>
      <c r="SL304" s="23"/>
      <c r="SM304" s="23"/>
      <c r="SN304" s="23"/>
      <c r="SO304" s="23"/>
      <c r="SP304" s="23"/>
      <c r="SQ304" s="23"/>
      <c r="SR304" s="23"/>
      <c r="SS304" s="23"/>
      <c r="ST304" s="23"/>
      <c r="SU304" s="23"/>
      <c r="SV304" s="23"/>
      <c r="SW304" s="23"/>
      <c r="SX304" s="23"/>
      <c r="SY304" s="23"/>
      <c r="SZ304" s="23"/>
      <c r="TA304" s="23"/>
      <c r="TB304" s="23"/>
      <c r="TC304" s="23"/>
      <c r="TD304" s="23"/>
      <c r="TE304" s="23"/>
      <c r="TF304" s="23"/>
      <c r="TG304" s="23"/>
    </row>
    <row r="305" spans="1:527" s="22" customFormat="1" ht="24.75" customHeight="1" x14ac:dyDescent="0.25">
      <c r="A305" s="60" t="s">
        <v>234</v>
      </c>
      <c r="B305" s="97" t="str">
        <f>'дод 5'!A233</f>
        <v>9110</v>
      </c>
      <c r="C305" s="97" t="str">
        <f>'дод 5'!B233</f>
        <v>0180</v>
      </c>
      <c r="D305" s="61" t="str">
        <f>'дод 5'!C233</f>
        <v>Реверсна дотація</v>
      </c>
      <c r="E305" s="103">
        <f>F305+I305</f>
        <v>100870700</v>
      </c>
      <c r="F305" s="103">
        <v>100870700</v>
      </c>
      <c r="G305" s="103"/>
      <c r="H305" s="103"/>
      <c r="I305" s="103"/>
      <c r="J305" s="103">
        <f t="shared" si="179"/>
        <v>0</v>
      </c>
      <c r="K305" s="103"/>
      <c r="L305" s="103"/>
      <c r="M305" s="103"/>
      <c r="N305" s="103"/>
      <c r="O305" s="103"/>
      <c r="P305" s="103">
        <f t="shared" si="178"/>
        <v>100870700</v>
      </c>
      <c r="Q305" s="187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  <c r="IW305" s="23"/>
      <c r="IX305" s="23"/>
      <c r="IY305" s="23"/>
      <c r="IZ305" s="23"/>
      <c r="JA305" s="23"/>
      <c r="JB305" s="23"/>
      <c r="JC305" s="23"/>
      <c r="JD305" s="23"/>
      <c r="JE305" s="23"/>
      <c r="JF305" s="23"/>
      <c r="JG305" s="23"/>
      <c r="JH305" s="23"/>
      <c r="JI305" s="23"/>
      <c r="JJ305" s="23"/>
      <c r="JK305" s="23"/>
      <c r="JL305" s="23"/>
      <c r="JM305" s="23"/>
      <c r="JN305" s="23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  <c r="KC305" s="23"/>
      <c r="KD305" s="23"/>
      <c r="KE305" s="23"/>
      <c r="KF305" s="23"/>
      <c r="KG305" s="23"/>
      <c r="KH305" s="23"/>
      <c r="KI305" s="23"/>
      <c r="KJ305" s="23"/>
      <c r="KK305" s="23"/>
      <c r="KL305" s="23"/>
      <c r="KM305" s="23"/>
      <c r="KN305" s="23"/>
      <c r="KO305" s="23"/>
      <c r="KP305" s="23"/>
      <c r="KQ305" s="23"/>
      <c r="KR305" s="23"/>
      <c r="KS305" s="23"/>
      <c r="KT305" s="23"/>
      <c r="KU305" s="23"/>
      <c r="KV305" s="23"/>
      <c r="KW305" s="23"/>
      <c r="KX305" s="23"/>
      <c r="KY305" s="23"/>
      <c r="KZ305" s="23"/>
      <c r="LA305" s="23"/>
      <c r="LB305" s="23"/>
      <c r="LC305" s="23"/>
      <c r="LD305" s="23"/>
      <c r="LE305" s="23"/>
      <c r="LF305" s="23"/>
      <c r="LG305" s="23"/>
      <c r="LH305" s="23"/>
      <c r="LI305" s="23"/>
      <c r="LJ305" s="23"/>
      <c r="LK305" s="23"/>
      <c r="LL305" s="23"/>
      <c r="LM305" s="23"/>
      <c r="LN305" s="23"/>
      <c r="LO305" s="23"/>
      <c r="LP305" s="23"/>
      <c r="LQ305" s="23"/>
      <c r="LR305" s="23"/>
      <c r="LS305" s="23"/>
      <c r="LT305" s="23"/>
      <c r="LU305" s="23"/>
      <c r="LV305" s="23"/>
      <c r="LW305" s="23"/>
      <c r="LX305" s="23"/>
      <c r="LY305" s="23"/>
      <c r="LZ305" s="23"/>
      <c r="MA305" s="23"/>
      <c r="MB305" s="23"/>
      <c r="MC305" s="23"/>
      <c r="MD305" s="23"/>
      <c r="ME305" s="23"/>
      <c r="MF305" s="23"/>
      <c r="MG305" s="23"/>
      <c r="MH305" s="23"/>
      <c r="MI305" s="23"/>
      <c r="MJ305" s="23"/>
      <c r="MK305" s="23"/>
      <c r="ML305" s="23"/>
      <c r="MM305" s="23"/>
      <c r="MN305" s="23"/>
      <c r="MO305" s="23"/>
      <c r="MP305" s="23"/>
      <c r="MQ305" s="23"/>
      <c r="MR305" s="23"/>
      <c r="MS305" s="23"/>
      <c r="MT305" s="23"/>
      <c r="MU305" s="23"/>
      <c r="MV305" s="23"/>
      <c r="MW305" s="23"/>
      <c r="MX305" s="23"/>
      <c r="MY305" s="23"/>
      <c r="MZ305" s="23"/>
      <c r="NA305" s="23"/>
      <c r="NB305" s="23"/>
      <c r="NC305" s="23"/>
      <c r="ND305" s="23"/>
      <c r="NE305" s="23"/>
      <c r="NF305" s="23"/>
      <c r="NG305" s="23"/>
      <c r="NH305" s="23"/>
      <c r="NI305" s="23"/>
      <c r="NJ305" s="23"/>
      <c r="NK305" s="23"/>
      <c r="NL305" s="23"/>
      <c r="NM305" s="23"/>
      <c r="NN305" s="23"/>
      <c r="NO305" s="23"/>
      <c r="NP305" s="23"/>
      <c r="NQ305" s="23"/>
      <c r="NR305" s="23"/>
      <c r="NS305" s="23"/>
      <c r="NT305" s="23"/>
      <c r="NU305" s="23"/>
      <c r="NV305" s="23"/>
      <c r="NW305" s="23"/>
      <c r="NX305" s="23"/>
      <c r="NY305" s="23"/>
      <c r="NZ305" s="23"/>
      <c r="OA305" s="23"/>
      <c r="OB305" s="23"/>
      <c r="OC305" s="23"/>
      <c r="OD305" s="23"/>
      <c r="OE305" s="23"/>
      <c r="OF305" s="23"/>
      <c r="OG305" s="23"/>
      <c r="OH305" s="23"/>
      <c r="OI305" s="23"/>
      <c r="OJ305" s="23"/>
      <c r="OK305" s="23"/>
      <c r="OL305" s="23"/>
      <c r="OM305" s="23"/>
      <c r="ON305" s="23"/>
      <c r="OO305" s="23"/>
      <c r="OP305" s="23"/>
      <c r="OQ305" s="23"/>
      <c r="OR305" s="23"/>
      <c r="OS305" s="23"/>
      <c r="OT305" s="23"/>
      <c r="OU305" s="23"/>
      <c r="OV305" s="23"/>
      <c r="OW305" s="23"/>
      <c r="OX305" s="23"/>
      <c r="OY305" s="23"/>
      <c r="OZ305" s="23"/>
      <c r="PA305" s="23"/>
      <c r="PB305" s="23"/>
      <c r="PC305" s="23"/>
      <c r="PD305" s="23"/>
      <c r="PE305" s="23"/>
      <c r="PF305" s="23"/>
      <c r="PG305" s="23"/>
      <c r="PH305" s="23"/>
      <c r="PI305" s="23"/>
      <c r="PJ305" s="23"/>
      <c r="PK305" s="23"/>
      <c r="PL305" s="23"/>
      <c r="PM305" s="23"/>
      <c r="PN305" s="23"/>
      <c r="PO305" s="23"/>
      <c r="PP305" s="23"/>
      <c r="PQ305" s="23"/>
      <c r="PR305" s="23"/>
      <c r="PS305" s="23"/>
      <c r="PT305" s="23"/>
      <c r="PU305" s="23"/>
      <c r="PV305" s="23"/>
      <c r="PW305" s="23"/>
      <c r="PX305" s="23"/>
      <c r="PY305" s="23"/>
      <c r="PZ305" s="23"/>
      <c r="QA305" s="23"/>
      <c r="QB305" s="23"/>
      <c r="QC305" s="23"/>
      <c r="QD305" s="23"/>
      <c r="QE305" s="23"/>
      <c r="QF305" s="23"/>
      <c r="QG305" s="23"/>
      <c r="QH305" s="23"/>
      <c r="QI305" s="23"/>
      <c r="QJ305" s="23"/>
      <c r="QK305" s="23"/>
      <c r="QL305" s="23"/>
      <c r="QM305" s="23"/>
      <c r="QN305" s="23"/>
      <c r="QO305" s="23"/>
      <c r="QP305" s="23"/>
      <c r="QQ305" s="23"/>
      <c r="QR305" s="23"/>
      <c r="QS305" s="23"/>
      <c r="QT305" s="23"/>
      <c r="QU305" s="23"/>
      <c r="QV305" s="23"/>
      <c r="QW305" s="23"/>
      <c r="QX305" s="23"/>
      <c r="QY305" s="23"/>
      <c r="QZ305" s="23"/>
      <c r="RA305" s="23"/>
      <c r="RB305" s="23"/>
      <c r="RC305" s="23"/>
      <c r="RD305" s="23"/>
      <c r="RE305" s="23"/>
      <c r="RF305" s="23"/>
      <c r="RG305" s="23"/>
      <c r="RH305" s="23"/>
      <c r="RI305" s="23"/>
      <c r="RJ305" s="23"/>
      <c r="RK305" s="23"/>
      <c r="RL305" s="23"/>
      <c r="RM305" s="23"/>
      <c r="RN305" s="23"/>
      <c r="RO305" s="23"/>
      <c r="RP305" s="23"/>
      <c r="RQ305" s="23"/>
      <c r="RR305" s="23"/>
      <c r="RS305" s="23"/>
      <c r="RT305" s="23"/>
      <c r="RU305" s="23"/>
      <c r="RV305" s="23"/>
      <c r="RW305" s="23"/>
      <c r="RX305" s="23"/>
      <c r="RY305" s="23"/>
      <c r="RZ305" s="23"/>
      <c r="SA305" s="23"/>
      <c r="SB305" s="23"/>
      <c r="SC305" s="23"/>
      <c r="SD305" s="23"/>
      <c r="SE305" s="23"/>
      <c r="SF305" s="23"/>
      <c r="SG305" s="23"/>
      <c r="SH305" s="23"/>
      <c r="SI305" s="23"/>
      <c r="SJ305" s="23"/>
      <c r="SK305" s="23"/>
      <c r="SL305" s="23"/>
      <c r="SM305" s="23"/>
      <c r="SN305" s="23"/>
      <c r="SO305" s="23"/>
      <c r="SP305" s="23"/>
      <c r="SQ305" s="23"/>
      <c r="SR305" s="23"/>
      <c r="SS305" s="23"/>
      <c r="ST305" s="23"/>
      <c r="SU305" s="23"/>
      <c r="SV305" s="23"/>
      <c r="SW305" s="23"/>
      <c r="SX305" s="23"/>
      <c r="SY305" s="23"/>
      <c r="SZ305" s="23"/>
      <c r="TA305" s="23"/>
      <c r="TB305" s="23"/>
      <c r="TC305" s="23"/>
      <c r="TD305" s="23"/>
      <c r="TE305" s="23"/>
      <c r="TF305" s="23"/>
      <c r="TG305" s="23"/>
    </row>
    <row r="306" spans="1:527" s="27" customFormat="1" ht="22.5" customHeight="1" x14ac:dyDescent="0.25">
      <c r="A306" s="122"/>
      <c r="B306" s="116"/>
      <c r="C306" s="143"/>
      <c r="D306" s="111" t="s">
        <v>410</v>
      </c>
      <c r="E306" s="99">
        <f t="shared" ref="E306:P306" si="180">E17+E62+E121+E155+E196+E204+E215+E252+E255+E275+E282+E285+E293+E296</f>
        <v>2296845778.4500003</v>
      </c>
      <c r="F306" s="99">
        <f t="shared" si="180"/>
        <v>2196977880.5299997</v>
      </c>
      <c r="G306" s="99">
        <f t="shared" si="180"/>
        <v>1078837255</v>
      </c>
      <c r="H306" s="99">
        <f t="shared" si="180"/>
        <v>107607651</v>
      </c>
      <c r="I306" s="99">
        <f t="shared" si="180"/>
        <v>85841154.480000004</v>
      </c>
      <c r="J306" s="99">
        <f t="shared" si="180"/>
        <v>713726839.55999994</v>
      </c>
      <c r="K306" s="99">
        <f t="shared" si="180"/>
        <v>648653545.03999996</v>
      </c>
      <c r="L306" s="99">
        <f t="shared" si="180"/>
        <v>47765901.869999997</v>
      </c>
      <c r="M306" s="99">
        <f t="shared" si="180"/>
        <v>6033355</v>
      </c>
      <c r="N306" s="99">
        <f t="shared" si="180"/>
        <v>266522</v>
      </c>
      <c r="O306" s="99">
        <f t="shared" si="180"/>
        <v>665960937.69000006</v>
      </c>
      <c r="P306" s="99">
        <f t="shared" si="180"/>
        <v>3010572618.0100002</v>
      </c>
      <c r="Q306" s="187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  <c r="GH306" s="32"/>
      <c r="GI306" s="32"/>
      <c r="GJ306" s="32"/>
      <c r="GK306" s="32"/>
      <c r="GL306" s="32"/>
      <c r="GM306" s="32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  <c r="IC306" s="32"/>
      <c r="ID306" s="32"/>
      <c r="IE306" s="32"/>
      <c r="IF306" s="32"/>
      <c r="IG306" s="32"/>
      <c r="IH306" s="32"/>
      <c r="II306" s="32"/>
      <c r="IJ306" s="32"/>
      <c r="IK306" s="32"/>
      <c r="IL306" s="32"/>
      <c r="IM306" s="32"/>
      <c r="IN306" s="32"/>
      <c r="IO306" s="32"/>
      <c r="IP306" s="32"/>
      <c r="IQ306" s="32"/>
      <c r="IR306" s="32"/>
      <c r="IS306" s="32"/>
      <c r="IT306" s="32"/>
      <c r="IU306" s="32"/>
      <c r="IV306" s="32"/>
      <c r="IW306" s="32"/>
      <c r="IX306" s="32"/>
      <c r="IY306" s="32"/>
      <c r="IZ306" s="32"/>
      <c r="JA306" s="32"/>
      <c r="JB306" s="32"/>
      <c r="JC306" s="32"/>
      <c r="JD306" s="32"/>
      <c r="JE306" s="32"/>
      <c r="JF306" s="32"/>
      <c r="JG306" s="32"/>
      <c r="JH306" s="32"/>
      <c r="JI306" s="32"/>
      <c r="JJ306" s="32"/>
      <c r="JK306" s="32"/>
      <c r="JL306" s="32"/>
      <c r="JM306" s="32"/>
      <c r="JN306" s="32"/>
      <c r="JO306" s="32"/>
      <c r="JP306" s="32"/>
      <c r="JQ306" s="32"/>
      <c r="JR306" s="32"/>
      <c r="JS306" s="32"/>
      <c r="JT306" s="32"/>
      <c r="JU306" s="32"/>
      <c r="JV306" s="32"/>
      <c r="JW306" s="32"/>
      <c r="JX306" s="32"/>
      <c r="JY306" s="32"/>
      <c r="JZ306" s="32"/>
      <c r="KA306" s="32"/>
      <c r="KB306" s="32"/>
      <c r="KC306" s="32"/>
      <c r="KD306" s="32"/>
      <c r="KE306" s="32"/>
      <c r="KF306" s="32"/>
      <c r="KG306" s="32"/>
      <c r="KH306" s="32"/>
      <c r="KI306" s="32"/>
      <c r="KJ306" s="32"/>
      <c r="KK306" s="32"/>
      <c r="KL306" s="32"/>
      <c r="KM306" s="32"/>
      <c r="KN306" s="32"/>
      <c r="KO306" s="32"/>
      <c r="KP306" s="32"/>
      <c r="KQ306" s="32"/>
      <c r="KR306" s="32"/>
      <c r="KS306" s="32"/>
      <c r="KT306" s="32"/>
      <c r="KU306" s="32"/>
      <c r="KV306" s="32"/>
      <c r="KW306" s="32"/>
      <c r="KX306" s="32"/>
      <c r="KY306" s="32"/>
      <c r="KZ306" s="32"/>
      <c r="LA306" s="32"/>
      <c r="LB306" s="32"/>
      <c r="LC306" s="32"/>
      <c r="LD306" s="32"/>
      <c r="LE306" s="32"/>
      <c r="LF306" s="32"/>
      <c r="LG306" s="32"/>
      <c r="LH306" s="32"/>
      <c r="LI306" s="32"/>
      <c r="LJ306" s="32"/>
      <c r="LK306" s="32"/>
      <c r="LL306" s="32"/>
      <c r="LM306" s="32"/>
      <c r="LN306" s="32"/>
      <c r="LO306" s="32"/>
      <c r="LP306" s="32"/>
      <c r="LQ306" s="32"/>
      <c r="LR306" s="32"/>
      <c r="LS306" s="32"/>
      <c r="LT306" s="32"/>
      <c r="LU306" s="32"/>
      <c r="LV306" s="32"/>
      <c r="LW306" s="32"/>
      <c r="LX306" s="32"/>
      <c r="LY306" s="32"/>
      <c r="LZ306" s="32"/>
      <c r="MA306" s="32"/>
      <c r="MB306" s="32"/>
      <c r="MC306" s="32"/>
      <c r="MD306" s="32"/>
      <c r="ME306" s="32"/>
      <c r="MF306" s="32"/>
      <c r="MG306" s="32"/>
      <c r="MH306" s="32"/>
      <c r="MI306" s="32"/>
      <c r="MJ306" s="32"/>
      <c r="MK306" s="32"/>
      <c r="ML306" s="32"/>
      <c r="MM306" s="32"/>
      <c r="MN306" s="32"/>
      <c r="MO306" s="32"/>
      <c r="MP306" s="32"/>
      <c r="MQ306" s="32"/>
      <c r="MR306" s="32"/>
      <c r="MS306" s="32"/>
      <c r="MT306" s="32"/>
      <c r="MU306" s="32"/>
      <c r="MV306" s="32"/>
      <c r="MW306" s="32"/>
      <c r="MX306" s="32"/>
      <c r="MY306" s="32"/>
      <c r="MZ306" s="32"/>
      <c r="NA306" s="32"/>
      <c r="NB306" s="32"/>
      <c r="NC306" s="32"/>
      <c r="ND306" s="32"/>
      <c r="NE306" s="32"/>
      <c r="NF306" s="32"/>
      <c r="NG306" s="32"/>
      <c r="NH306" s="32"/>
      <c r="NI306" s="32"/>
      <c r="NJ306" s="32"/>
      <c r="NK306" s="32"/>
      <c r="NL306" s="32"/>
      <c r="NM306" s="32"/>
      <c r="NN306" s="32"/>
      <c r="NO306" s="32"/>
      <c r="NP306" s="32"/>
      <c r="NQ306" s="32"/>
      <c r="NR306" s="32"/>
      <c r="NS306" s="32"/>
      <c r="NT306" s="32"/>
      <c r="NU306" s="32"/>
      <c r="NV306" s="32"/>
      <c r="NW306" s="32"/>
      <c r="NX306" s="32"/>
      <c r="NY306" s="32"/>
      <c r="NZ306" s="32"/>
      <c r="OA306" s="32"/>
      <c r="OB306" s="32"/>
      <c r="OC306" s="32"/>
      <c r="OD306" s="32"/>
      <c r="OE306" s="32"/>
      <c r="OF306" s="32"/>
      <c r="OG306" s="32"/>
      <c r="OH306" s="32"/>
      <c r="OI306" s="32"/>
      <c r="OJ306" s="32"/>
      <c r="OK306" s="32"/>
      <c r="OL306" s="32"/>
      <c r="OM306" s="32"/>
      <c r="ON306" s="32"/>
      <c r="OO306" s="32"/>
      <c r="OP306" s="32"/>
      <c r="OQ306" s="32"/>
      <c r="OR306" s="32"/>
      <c r="OS306" s="32"/>
      <c r="OT306" s="32"/>
      <c r="OU306" s="32"/>
      <c r="OV306" s="32"/>
      <c r="OW306" s="32"/>
      <c r="OX306" s="32"/>
      <c r="OY306" s="32"/>
      <c r="OZ306" s="32"/>
      <c r="PA306" s="32"/>
      <c r="PB306" s="32"/>
      <c r="PC306" s="32"/>
      <c r="PD306" s="32"/>
      <c r="PE306" s="32"/>
      <c r="PF306" s="32"/>
      <c r="PG306" s="32"/>
      <c r="PH306" s="32"/>
      <c r="PI306" s="32"/>
      <c r="PJ306" s="32"/>
      <c r="PK306" s="32"/>
      <c r="PL306" s="32"/>
      <c r="PM306" s="32"/>
      <c r="PN306" s="32"/>
      <c r="PO306" s="32"/>
      <c r="PP306" s="32"/>
      <c r="PQ306" s="32"/>
      <c r="PR306" s="32"/>
      <c r="PS306" s="32"/>
      <c r="PT306" s="32"/>
      <c r="PU306" s="32"/>
      <c r="PV306" s="32"/>
      <c r="PW306" s="32"/>
      <c r="PX306" s="32"/>
      <c r="PY306" s="32"/>
      <c r="PZ306" s="32"/>
      <c r="QA306" s="32"/>
      <c r="QB306" s="32"/>
      <c r="QC306" s="32"/>
      <c r="QD306" s="32"/>
      <c r="QE306" s="32"/>
      <c r="QF306" s="32"/>
      <c r="QG306" s="32"/>
      <c r="QH306" s="32"/>
      <c r="QI306" s="32"/>
      <c r="QJ306" s="32"/>
      <c r="QK306" s="32"/>
      <c r="QL306" s="32"/>
      <c r="QM306" s="32"/>
      <c r="QN306" s="32"/>
      <c r="QO306" s="32"/>
      <c r="QP306" s="32"/>
      <c r="QQ306" s="32"/>
      <c r="QR306" s="32"/>
      <c r="QS306" s="32"/>
      <c r="QT306" s="32"/>
      <c r="QU306" s="32"/>
      <c r="QV306" s="32"/>
      <c r="QW306" s="32"/>
      <c r="QX306" s="32"/>
      <c r="QY306" s="32"/>
      <c r="QZ306" s="32"/>
      <c r="RA306" s="32"/>
      <c r="RB306" s="32"/>
      <c r="RC306" s="32"/>
      <c r="RD306" s="32"/>
      <c r="RE306" s="32"/>
      <c r="RF306" s="32"/>
      <c r="RG306" s="32"/>
      <c r="RH306" s="32"/>
      <c r="RI306" s="32"/>
      <c r="RJ306" s="32"/>
      <c r="RK306" s="32"/>
      <c r="RL306" s="32"/>
      <c r="RM306" s="32"/>
      <c r="RN306" s="32"/>
      <c r="RO306" s="32"/>
      <c r="RP306" s="32"/>
      <c r="RQ306" s="32"/>
      <c r="RR306" s="32"/>
      <c r="RS306" s="32"/>
      <c r="RT306" s="32"/>
      <c r="RU306" s="32"/>
      <c r="RV306" s="32"/>
      <c r="RW306" s="32"/>
      <c r="RX306" s="32"/>
      <c r="RY306" s="32"/>
      <c r="RZ306" s="32"/>
      <c r="SA306" s="32"/>
      <c r="SB306" s="32"/>
      <c r="SC306" s="32"/>
      <c r="SD306" s="32"/>
      <c r="SE306" s="32"/>
      <c r="SF306" s="32"/>
      <c r="SG306" s="32"/>
      <c r="SH306" s="32"/>
      <c r="SI306" s="32"/>
      <c r="SJ306" s="32"/>
      <c r="SK306" s="32"/>
      <c r="SL306" s="32"/>
      <c r="SM306" s="32"/>
      <c r="SN306" s="32"/>
      <c r="SO306" s="32"/>
      <c r="SP306" s="32"/>
      <c r="SQ306" s="32"/>
      <c r="SR306" s="32"/>
      <c r="SS306" s="32"/>
      <c r="ST306" s="32"/>
      <c r="SU306" s="32"/>
      <c r="SV306" s="32"/>
      <c r="SW306" s="32"/>
      <c r="SX306" s="32"/>
      <c r="SY306" s="32"/>
      <c r="SZ306" s="32"/>
      <c r="TA306" s="32"/>
      <c r="TB306" s="32"/>
      <c r="TC306" s="32"/>
      <c r="TD306" s="32"/>
      <c r="TE306" s="32"/>
      <c r="TF306" s="32"/>
      <c r="TG306" s="32"/>
    </row>
    <row r="307" spans="1:527" s="34" customFormat="1" ht="39.75" customHeight="1" x14ac:dyDescent="0.25">
      <c r="A307" s="123"/>
      <c r="B307" s="113"/>
      <c r="C307" s="101"/>
      <c r="D307" s="81" t="s">
        <v>403</v>
      </c>
      <c r="E307" s="102">
        <f t="shared" ref="E307:P307" si="181">E64+E71+E219+E220+E74+E128</f>
        <v>485377355.60000002</v>
      </c>
      <c r="F307" s="102">
        <f t="shared" si="181"/>
        <v>485377355.60000002</v>
      </c>
      <c r="G307" s="102">
        <f t="shared" si="181"/>
        <v>396066000</v>
      </c>
      <c r="H307" s="102">
        <f t="shared" si="181"/>
        <v>0</v>
      </c>
      <c r="I307" s="102">
        <f t="shared" si="181"/>
        <v>0</v>
      </c>
      <c r="J307" s="102">
        <f t="shared" si="181"/>
        <v>14076649.18</v>
      </c>
      <c r="K307" s="102">
        <f t="shared" si="181"/>
        <v>14076649.18</v>
      </c>
      <c r="L307" s="102">
        <f t="shared" si="181"/>
        <v>0</v>
      </c>
      <c r="M307" s="102">
        <f t="shared" si="181"/>
        <v>0</v>
      </c>
      <c r="N307" s="102">
        <f t="shared" si="181"/>
        <v>0</v>
      </c>
      <c r="O307" s="102">
        <f t="shared" si="181"/>
        <v>14076649.18</v>
      </c>
      <c r="P307" s="102">
        <f t="shared" si="181"/>
        <v>499454004.77999997</v>
      </c>
      <c r="Q307" s="187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  <c r="DF307" s="33"/>
      <c r="DG307" s="33"/>
      <c r="DH307" s="33"/>
      <c r="DI307" s="33"/>
      <c r="DJ307" s="33"/>
      <c r="DK307" s="33"/>
      <c r="DL307" s="33"/>
      <c r="DM307" s="33"/>
      <c r="DN307" s="33"/>
      <c r="DO307" s="33"/>
      <c r="DP307" s="33"/>
      <c r="DQ307" s="33"/>
      <c r="DR307" s="33"/>
      <c r="DS307" s="33"/>
      <c r="DT307" s="33"/>
      <c r="DU307" s="33"/>
      <c r="DV307" s="33"/>
      <c r="DW307" s="33"/>
      <c r="DX307" s="33"/>
      <c r="DY307" s="33"/>
      <c r="DZ307" s="33"/>
      <c r="EA307" s="33"/>
      <c r="EB307" s="33"/>
      <c r="EC307" s="33"/>
      <c r="ED307" s="33"/>
      <c r="EE307" s="33"/>
      <c r="EF307" s="33"/>
      <c r="EG307" s="33"/>
      <c r="EH307" s="33"/>
      <c r="EI307" s="33"/>
      <c r="EJ307" s="33"/>
      <c r="EK307" s="33"/>
      <c r="EL307" s="33"/>
      <c r="EM307" s="33"/>
      <c r="EN307" s="33"/>
      <c r="EO307" s="33"/>
      <c r="EP307" s="33"/>
      <c r="EQ307" s="33"/>
      <c r="ER307" s="33"/>
      <c r="ES307" s="33"/>
      <c r="ET307" s="33"/>
      <c r="EU307" s="33"/>
      <c r="EV307" s="33"/>
      <c r="EW307" s="33"/>
      <c r="EX307" s="33"/>
      <c r="EY307" s="33"/>
      <c r="EZ307" s="33"/>
      <c r="FA307" s="33"/>
      <c r="FB307" s="33"/>
      <c r="FC307" s="33"/>
      <c r="FD307" s="33"/>
      <c r="FE307" s="33"/>
      <c r="FF307" s="33"/>
      <c r="FG307" s="33"/>
      <c r="FH307" s="33"/>
      <c r="FI307" s="33"/>
      <c r="FJ307" s="33"/>
      <c r="FK307" s="33"/>
      <c r="FL307" s="33"/>
      <c r="FM307" s="33"/>
      <c r="FN307" s="33"/>
      <c r="FO307" s="33"/>
      <c r="FP307" s="33"/>
      <c r="FQ307" s="33"/>
      <c r="FR307" s="33"/>
      <c r="FS307" s="33"/>
      <c r="FT307" s="33"/>
      <c r="FU307" s="33"/>
      <c r="FV307" s="33"/>
      <c r="FW307" s="33"/>
      <c r="FX307" s="33"/>
      <c r="FY307" s="33"/>
      <c r="FZ307" s="33"/>
      <c r="GA307" s="33"/>
      <c r="GB307" s="33"/>
      <c r="GC307" s="33"/>
      <c r="GD307" s="33"/>
      <c r="GE307" s="33"/>
      <c r="GF307" s="33"/>
      <c r="GG307" s="33"/>
      <c r="GH307" s="33"/>
      <c r="GI307" s="33"/>
      <c r="GJ307" s="33"/>
      <c r="GK307" s="33"/>
      <c r="GL307" s="33"/>
      <c r="GM307" s="33"/>
      <c r="GN307" s="33"/>
      <c r="GO307" s="33"/>
      <c r="GP307" s="33"/>
      <c r="GQ307" s="33"/>
      <c r="GR307" s="33"/>
      <c r="GS307" s="33"/>
      <c r="GT307" s="33"/>
      <c r="GU307" s="33"/>
      <c r="GV307" s="33"/>
      <c r="GW307" s="33"/>
      <c r="GX307" s="33"/>
      <c r="GY307" s="33"/>
      <c r="GZ307" s="33"/>
      <c r="HA307" s="33"/>
      <c r="HB307" s="33"/>
      <c r="HC307" s="33"/>
      <c r="HD307" s="33"/>
      <c r="HE307" s="33"/>
      <c r="HF307" s="33"/>
      <c r="HG307" s="33"/>
      <c r="HH307" s="33"/>
      <c r="HI307" s="33"/>
      <c r="HJ307" s="33"/>
      <c r="HK307" s="33"/>
      <c r="HL307" s="33"/>
      <c r="HM307" s="33"/>
      <c r="HN307" s="33"/>
      <c r="HO307" s="33"/>
      <c r="HP307" s="33"/>
      <c r="HQ307" s="33"/>
      <c r="HR307" s="33"/>
      <c r="HS307" s="33"/>
      <c r="HT307" s="33"/>
      <c r="HU307" s="33"/>
      <c r="HV307" s="33"/>
      <c r="HW307" s="33"/>
      <c r="HX307" s="33"/>
      <c r="HY307" s="33"/>
      <c r="HZ307" s="33"/>
      <c r="IA307" s="33"/>
      <c r="IB307" s="33"/>
      <c r="IC307" s="33"/>
      <c r="ID307" s="33"/>
      <c r="IE307" s="33"/>
      <c r="IF307" s="33"/>
      <c r="IG307" s="33"/>
      <c r="IH307" s="33"/>
      <c r="II307" s="33"/>
      <c r="IJ307" s="33"/>
      <c r="IK307" s="33"/>
      <c r="IL307" s="33"/>
      <c r="IM307" s="33"/>
      <c r="IN307" s="33"/>
      <c r="IO307" s="33"/>
      <c r="IP307" s="33"/>
      <c r="IQ307" s="33"/>
      <c r="IR307" s="33"/>
      <c r="IS307" s="33"/>
      <c r="IT307" s="33"/>
      <c r="IU307" s="33"/>
      <c r="IV307" s="33"/>
      <c r="IW307" s="33"/>
      <c r="IX307" s="33"/>
      <c r="IY307" s="33"/>
      <c r="IZ307" s="33"/>
      <c r="JA307" s="33"/>
      <c r="JB307" s="33"/>
      <c r="JC307" s="33"/>
      <c r="JD307" s="33"/>
      <c r="JE307" s="33"/>
      <c r="JF307" s="33"/>
      <c r="JG307" s="33"/>
      <c r="JH307" s="33"/>
      <c r="JI307" s="33"/>
      <c r="JJ307" s="33"/>
      <c r="JK307" s="33"/>
      <c r="JL307" s="33"/>
      <c r="JM307" s="33"/>
      <c r="JN307" s="33"/>
      <c r="JO307" s="33"/>
      <c r="JP307" s="33"/>
      <c r="JQ307" s="33"/>
      <c r="JR307" s="33"/>
      <c r="JS307" s="33"/>
      <c r="JT307" s="33"/>
      <c r="JU307" s="33"/>
      <c r="JV307" s="33"/>
      <c r="JW307" s="33"/>
      <c r="JX307" s="33"/>
      <c r="JY307" s="33"/>
      <c r="JZ307" s="33"/>
      <c r="KA307" s="33"/>
      <c r="KB307" s="33"/>
      <c r="KC307" s="33"/>
      <c r="KD307" s="33"/>
      <c r="KE307" s="33"/>
      <c r="KF307" s="33"/>
      <c r="KG307" s="33"/>
      <c r="KH307" s="33"/>
      <c r="KI307" s="33"/>
      <c r="KJ307" s="33"/>
      <c r="KK307" s="33"/>
      <c r="KL307" s="33"/>
      <c r="KM307" s="33"/>
      <c r="KN307" s="33"/>
      <c r="KO307" s="33"/>
      <c r="KP307" s="33"/>
      <c r="KQ307" s="33"/>
      <c r="KR307" s="33"/>
      <c r="KS307" s="33"/>
      <c r="KT307" s="33"/>
      <c r="KU307" s="33"/>
      <c r="KV307" s="33"/>
      <c r="KW307" s="33"/>
      <c r="KX307" s="33"/>
      <c r="KY307" s="33"/>
      <c r="KZ307" s="33"/>
      <c r="LA307" s="33"/>
      <c r="LB307" s="33"/>
      <c r="LC307" s="33"/>
      <c r="LD307" s="33"/>
      <c r="LE307" s="33"/>
      <c r="LF307" s="33"/>
      <c r="LG307" s="33"/>
      <c r="LH307" s="33"/>
      <c r="LI307" s="33"/>
      <c r="LJ307" s="33"/>
      <c r="LK307" s="33"/>
      <c r="LL307" s="33"/>
      <c r="LM307" s="33"/>
      <c r="LN307" s="33"/>
      <c r="LO307" s="33"/>
      <c r="LP307" s="33"/>
      <c r="LQ307" s="33"/>
      <c r="LR307" s="33"/>
      <c r="LS307" s="33"/>
      <c r="LT307" s="33"/>
      <c r="LU307" s="33"/>
      <c r="LV307" s="33"/>
      <c r="LW307" s="33"/>
      <c r="LX307" s="33"/>
      <c r="LY307" s="33"/>
      <c r="LZ307" s="33"/>
      <c r="MA307" s="33"/>
      <c r="MB307" s="33"/>
      <c r="MC307" s="33"/>
      <c r="MD307" s="33"/>
      <c r="ME307" s="33"/>
      <c r="MF307" s="33"/>
      <c r="MG307" s="33"/>
      <c r="MH307" s="33"/>
      <c r="MI307" s="33"/>
      <c r="MJ307" s="33"/>
      <c r="MK307" s="33"/>
      <c r="ML307" s="33"/>
      <c r="MM307" s="33"/>
      <c r="MN307" s="33"/>
      <c r="MO307" s="33"/>
      <c r="MP307" s="33"/>
      <c r="MQ307" s="33"/>
      <c r="MR307" s="33"/>
      <c r="MS307" s="33"/>
      <c r="MT307" s="33"/>
      <c r="MU307" s="33"/>
      <c r="MV307" s="33"/>
      <c r="MW307" s="33"/>
      <c r="MX307" s="33"/>
      <c r="MY307" s="33"/>
      <c r="MZ307" s="33"/>
      <c r="NA307" s="33"/>
      <c r="NB307" s="33"/>
      <c r="NC307" s="33"/>
      <c r="ND307" s="33"/>
      <c r="NE307" s="33"/>
      <c r="NF307" s="33"/>
      <c r="NG307" s="33"/>
      <c r="NH307" s="33"/>
      <c r="NI307" s="33"/>
      <c r="NJ307" s="33"/>
      <c r="NK307" s="33"/>
      <c r="NL307" s="33"/>
      <c r="NM307" s="33"/>
      <c r="NN307" s="33"/>
      <c r="NO307" s="33"/>
      <c r="NP307" s="33"/>
      <c r="NQ307" s="33"/>
      <c r="NR307" s="33"/>
      <c r="NS307" s="33"/>
      <c r="NT307" s="33"/>
      <c r="NU307" s="33"/>
      <c r="NV307" s="33"/>
      <c r="NW307" s="33"/>
      <c r="NX307" s="33"/>
      <c r="NY307" s="33"/>
      <c r="NZ307" s="33"/>
      <c r="OA307" s="33"/>
      <c r="OB307" s="33"/>
      <c r="OC307" s="33"/>
      <c r="OD307" s="33"/>
      <c r="OE307" s="33"/>
      <c r="OF307" s="33"/>
      <c r="OG307" s="33"/>
      <c r="OH307" s="33"/>
      <c r="OI307" s="33"/>
      <c r="OJ307" s="33"/>
      <c r="OK307" s="33"/>
      <c r="OL307" s="33"/>
      <c r="OM307" s="33"/>
      <c r="ON307" s="33"/>
      <c r="OO307" s="33"/>
      <c r="OP307" s="33"/>
      <c r="OQ307" s="33"/>
      <c r="OR307" s="33"/>
      <c r="OS307" s="33"/>
      <c r="OT307" s="33"/>
      <c r="OU307" s="33"/>
      <c r="OV307" s="33"/>
      <c r="OW307" s="33"/>
      <c r="OX307" s="33"/>
      <c r="OY307" s="33"/>
      <c r="OZ307" s="33"/>
      <c r="PA307" s="33"/>
      <c r="PB307" s="33"/>
      <c r="PC307" s="33"/>
      <c r="PD307" s="33"/>
      <c r="PE307" s="33"/>
      <c r="PF307" s="33"/>
      <c r="PG307" s="33"/>
      <c r="PH307" s="33"/>
      <c r="PI307" s="33"/>
      <c r="PJ307" s="33"/>
      <c r="PK307" s="33"/>
      <c r="PL307" s="33"/>
      <c r="PM307" s="33"/>
      <c r="PN307" s="33"/>
      <c r="PO307" s="33"/>
      <c r="PP307" s="33"/>
      <c r="PQ307" s="33"/>
      <c r="PR307" s="33"/>
      <c r="PS307" s="33"/>
      <c r="PT307" s="33"/>
      <c r="PU307" s="33"/>
      <c r="PV307" s="33"/>
      <c r="PW307" s="33"/>
      <c r="PX307" s="33"/>
      <c r="PY307" s="33"/>
      <c r="PZ307" s="33"/>
      <c r="QA307" s="33"/>
      <c r="QB307" s="33"/>
      <c r="QC307" s="33"/>
      <c r="QD307" s="33"/>
      <c r="QE307" s="33"/>
      <c r="QF307" s="33"/>
      <c r="QG307" s="33"/>
      <c r="QH307" s="33"/>
      <c r="QI307" s="33"/>
      <c r="QJ307" s="33"/>
      <c r="QK307" s="33"/>
      <c r="QL307" s="33"/>
      <c r="QM307" s="33"/>
      <c r="QN307" s="33"/>
      <c r="QO307" s="33"/>
      <c r="QP307" s="33"/>
      <c r="QQ307" s="33"/>
      <c r="QR307" s="33"/>
      <c r="QS307" s="33"/>
      <c r="QT307" s="33"/>
      <c r="QU307" s="33"/>
      <c r="QV307" s="33"/>
      <c r="QW307" s="33"/>
      <c r="QX307" s="33"/>
      <c r="QY307" s="33"/>
      <c r="QZ307" s="33"/>
      <c r="RA307" s="33"/>
      <c r="RB307" s="33"/>
      <c r="RC307" s="33"/>
      <c r="RD307" s="33"/>
      <c r="RE307" s="33"/>
      <c r="RF307" s="33"/>
      <c r="RG307" s="33"/>
      <c r="RH307" s="33"/>
      <c r="RI307" s="33"/>
      <c r="RJ307" s="33"/>
      <c r="RK307" s="33"/>
      <c r="RL307" s="33"/>
      <c r="RM307" s="33"/>
      <c r="RN307" s="33"/>
      <c r="RO307" s="33"/>
      <c r="RP307" s="33"/>
      <c r="RQ307" s="33"/>
      <c r="RR307" s="33"/>
      <c r="RS307" s="33"/>
      <c r="RT307" s="33"/>
      <c r="RU307" s="33"/>
      <c r="RV307" s="33"/>
      <c r="RW307" s="33"/>
      <c r="RX307" s="33"/>
      <c r="RY307" s="33"/>
      <c r="RZ307" s="33"/>
      <c r="SA307" s="33"/>
      <c r="SB307" s="33"/>
      <c r="SC307" s="33"/>
      <c r="SD307" s="33"/>
      <c r="SE307" s="33"/>
      <c r="SF307" s="33"/>
      <c r="SG307" s="33"/>
      <c r="SH307" s="33"/>
      <c r="SI307" s="33"/>
      <c r="SJ307" s="33"/>
      <c r="SK307" s="33"/>
      <c r="SL307" s="33"/>
      <c r="SM307" s="33"/>
      <c r="SN307" s="33"/>
      <c r="SO307" s="33"/>
      <c r="SP307" s="33"/>
      <c r="SQ307" s="33"/>
      <c r="SR307" s="33"/>
      <c r="SS307" s="33"/>
      <c r="ST307" s="33"/>
      <c r="SU307" s="33"/>
      <c r="SV307" s="33"/>
      <c r="SW307" s="33"/>
      <c r="SX307" s="33"/>
      <c r="SY307" s="33"/>
      <c r="SZ307" s="33"/>
      <c r="TA307" s="33"/>
      <c r="TB307" s="33"/>
      <c r="TC307" s="33"/>
      <c r="TD307" s="33"/>
      <c r="TE307" s="33"/>
      <c r="TF307" s="33"/>
      <c r="TG307" s="33"/>
    </row>
    <row r="308" spans="1:527" s="34" customFormat="1" ht="37.5" customHeight="1" x14ac:dyDescent="0.25">
      <c r="A308" s="123"/>
      <c r="B308" s="113"/>
      <c r="C308" s="101"/>
      <c r="D308" s="81" t="s">
        <v>404</v>
      </c>
      <c r="E308" s="102">
        <f>E19+E67+E69+E159+E66+E70+E127+E72+E73+E75+E160+E161</f>
        <v>30695366.240000002</v>
      </c>
      <c r="F308" s="102">
        <f t="shared" ref="F308:P308" si="182">F19+F67+F69+F159+F66+F70+F127+F72+F73+F75+F160+F161</f>
        <v>30695366.240000002</v>
      </c>
      <c r="G308" s="102">
        <f t="shared" si="182"/>
        <v>4133559</v>
      </c>
      <c r="H308" s="102">
        <f t="shared" si="182"/>
        <v>0</v>
      </c>
      <c r="I308" s="102">
        <f t="shared" si="182"/>
        <v>0</v>
      </c>
      <c r="J308" s="102">
        <f t="shared" si="182"/>
        <v>7933192.0500000007</v>
      </c>
      <c r="K308" s="102">
        <f t="shared" si="182"/>
        <v>7933192.0500000007</v>
      </c>
      <c r="L308" s="102">
        <f t="shared" si="182"/>
        <v>0</v>
      </c>
      <c r="M308" s="102">
        <f t="shared" si="182"/>
        <v>0</v>
      </c>
      <c r="N308" s="102">
        <f t="shared" si="182"/>
        <v>0</v>
      </c>
      <c r="O308" s="102">
        <f t="shared" si="182"/>
        <v>7933192.0500000007</v>
      </c>
      <c r="P308" s="102">
        <f t="shared" si="182"/>
        <v>38628558.290000007</v>
      </c>
      <c r="Q308" s="187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CW308" s="33"/>
      <c r="CX308" s="33"/>
      <c r="CY308" s="33"/>
      <c r="CZ308" s="33"/>
      <c r="DA308" s="33"/>
      <c r="DB308" s="33"/>
      <c r="DC308" s="33"/>
      <c r="DD308" s="33"/>
      <c r="DE308" s="33"/>
      <c r="DF308" s="33"/>
      <c r="DG308" s="33"/>
      <c r="DH308" s="33"/>
      <c r="DI308" s="33"/>
      <c r="DJ308" s="33"/>
      <c r="DK308" s="33"/>
      <c r="DL308" s="33"/>
      <c r="DM308" s="33"/>
      <c r="DN308" s="33"/>
      <c r="DO308" s="33"/>
      <c r="DP308" s="33"/>
      <c r="DQ308" s="33"/>
      <c r="DR308" s="33"/>
      <c r="DS308" s="33"/>
      <c r="DT308" s="33"/>
      <c r="DU308" s="33"/>
      <c r="DV308" s="33"/>
      <c r="DW308" s="33"/>
      <c r="DX308" s="33"/>
      <c r="DY308" s="33"/>
      <c r="DZ308" s="33"/>
      <c r="EA308" s="33"/>
      <c r="EB308" s="33"/>
      <c r="EC308" s="33"/>
      <c r="ED308" s="33"/>
      <c r="EE308" s="33"/>
      <c r="EF308" s="33"/>
      <c r="EG308" s="33"/>
      <c r="EH308" s="33"/>
      <c r="EI308" s="33"/>
      <c r="EJ308" s="33"/>
      <c r="EK308" s="33"/>
      <c r="EL308" s="33"/>
      <c r="EM308" s="33"/>
      <c r="EN308" s="33"/>
      <c r="EO308" s="33"/>
      <c r="EP308" s="33"/>
      <c r="EQ308" s="33"/>
      <c r="ER308" s="33"/>
      <c r="ES308" s="33"/>
      <c r="ET308" s="33"/>
      <c r="EU308" s="33"/>
      <c r="EV308" s="33"/>
      <c r="EW308" s="33"/>
      <c r="EX308" s="33"/>
      <c r="EY308" s="33"/>
      <c r="EZ308" s="33"/>
      <c r="FA308" s="33"/>
      <c r="FB308" s="33"/>
      <c r="FC308" s="33"/>
      <c r="FD308" s="33"/>
      <c r="FE308" s="33"/>
      <c r="FF308" s="33"/>
      <c r="FG308" s="33"/>
      <c r="FH308" s="33"/>
      <c r="FI308" s="33"/>
      <c r="FJ308" s="33"/>
      <c r="FK308" s="33"/>
      <c r="FL308" s="33"/>
      <c r="FM308" s="33"/>
      <c r="FN308" s="33"/>
      <c r="FO308" s="33"/>
      <c r="FP308" s="33"/>
      <c r="FQ308" s="33"/>
      <c r="FR308" s="33"/>
      <c r="FS308" s="33"/>
      <c r="FT308" s="33"/>
      <c r="FU308" s="33"/>
      <c r="FV308" s="33"/>
      <c r="FW308" s="33"/>
      <c r="FX308" s="33"/>
      <c r="FY308" s="33"/>
      <c r="FZ308" s="33"/>
      <c r="GA308" s="33"/>
      <c r="GB308" s="33"/>
      <c r="GC308" s="33"/>
      <c r="GD308" s="33"/>
      <c r="GE308" s="33"/>
      <c r="GF308" s="33"/>
      <c r="GG308" s="33"/>
      <c r="GH308" s="33"/>
      <c r="GI308" s="33"/>
      <c r="GJ308" s="33"/>
      <c r="GK308" s="33"/>
      <c r="GL308" s="33"/>
      <c r="GM308" s="33"/>
      <c r="GN308" s="33"/>
      <c r="GO308" s="33"/>
      <c r="GP308" s="33"/>
      <c r="GQ308" s="33"/>
      <c r="GR308" s="33"/>
      <c r="GS308" s="33"/>
      <c r="GT308" s="33"/>
      <c r="GU308" s="33"/>
      <c r="GV308" s="33"/>
      <c r="GW308" s="33"/>
      <c r="GX308" s="33"/>
      <c r="GY308" s="33"/>
      <c r="GZ308" s="33"/>
      <c r="HA308" s="33"/>
      <c r="HB308" s="33"/>
      <c r="HC308" s="33"/>
      <c r="HD308" s="33"/>
      <c r="HE308" s="33"/>
      <c r="HF308" s="33"/>
      <c r="HG308" s="33"/>
      <c r="HH308" s="33"/>
      <c r="HI308" s="33"/>
      <c r="HJ308" s="33"/>
      <c r="HK308" s="33"/>
      <c r="HL308" s="33"/>
      <c r="HM308" s="33"/>
      <c r="HN308" s="33"/>
      <c r="HO308" s="33"/>
      <c r="HP308" s="33"/>
      <c r="HQ308" s="33"/>
      <c r="HR308" s="33"/>
      <c r="HS308" s="33"/>
      <c r="HT308" s="33"/>
      <c r="HU308" s="33"/>
      <c r="HV308" s="33"/>
      <c r="HW308" s="33"/>
      <c r="HX308" s="33"/>
      <c r="HY308" s="33"/>
      <c r="HZ308" s="33"/>
      <c r="IA308" s="33"/>
      <c r="IB308" s="33"/>
      <c r="IC308" s="33"/>
      <c r="ID308" s="33"/>
      <c r="IE308" s="33"/>
      <c r="IF308" s="33"/>
      <c r="IG308" s="33"/>
      <c r="IH308" s="33"/>
      <c r="II308" s="33"/>
      <c r="IJ308" s="33"/>
      <c r="IK308" s="33"/>
      <c r="IL308" s="33"/>
      <c r="IM308" s="33"/>
      <c r="IN308" s="33"/>
      <c r="IO308" s="33"/>
      <c r="IP308" s="33"/>
      <c r="IQ308" s="33"/>
      <c r="IR308" s="33"/>
      <c r="IS308" s="33"/>
      <c r="IT308" s="33"/>
      <c r="IU308" s="33"/>
      <c r="IV308" s="33"/>
      <c r="IW308" s="33"/>
      <c r="IX308" s="33"/>
      <c r="IY308" s="33"/>
      <c r="IZ308" s="33"/>
      <c r="JA308" s="33"/>
      <c r="JB308" s="33"/>
      <c r="JC308" s="33"/>
      <c r="JD308" s="33"/>
      <c r="JE308" s="33"/>
      <c r="JF308" s="33"/>
      <c r="JG308" s="33"/>
      <c r="JH308" s="33"/>
      <c r="JI308" s="33"/>
      <c r="JJ308" s="33"/>
      <c r="JK308" s="33"/>
      <c r="JL308" s="33"/>
      <c r="JM308" s="33"/>
      <c r="JN308" s="33"/>
      <c r="JO308" s="33"/>
      <c r="JP308" s="33"/>
      <c r="JQ308" s="33"/>
      <c r="JR308" s="33"/>
      <c r="JS308" s="33"/>
      <c r="JT308" s="33"/>
      <c r="JU308" s="33"/>
      <c r="JV308" s="33"/>
      <c r="JW308" s="33"/>
      <c r="JX308" s="33"/>
      <c r="JY308" s="33"/>
      <c r="JZ308" s="33"/>
      <c r="KA308" s="33"/>
      <c r="KB308" s="33"/>
      <c r="KC308" s="33"/>
      <c r="KD308" s="33"/>
      <c r="KE308" s="33"/>
      <c r="KF308" s="33"/>
      <c r="KG308" s="33"/>
      <c r="KH308" s="33"/>
      <c r="KI308" s="33"/>
      <c r="KJ308" s="33"/>
      <c r="KK308" s="33"/>
      <c r="KL308" s="33"/>
      <c r="KM308" s="33"/>
      <c r="KN308" s="33"/>
      <c r="KO308" s="33"/>
      <c r="KP308" s="33"/>
      <c r="KQ308" s="33"/>
      <c r="KR308" s="33"/>
      <c r="KS308" s="33"/>
      <c r="KT308" s="33"/>
      <c r="KU308" s="33"/>
      <c r="KV308" s="33"/>
      <c r="KW308" s="33"/>
      <c r="KX308" s="33"/>
      <c r="KY308" s="33"/>
      <c r="KZ308" s="33"/>
      <c r="LA308" s="33"/>
      <c r="LB308" s="33"/>
      <c r="LC308" s="33"/>
      <c r="LD308" s="33"/>
      <c r="LE308" s="33"/>
      <c r="LF308" s="33"/>
      <c r="LG308" s="33"/>
      <c r="LH308" s="33"/>
      <c r="LI308" s="33"/>
      <c r="LJ308" s="33"/>
      <c r="LK308" s="33"/>
      <c r="LL308" s="33"/>
      <c r="LM308" s="33"/>
      <c r="LN308" s="33"/>
      <c r="LO308" s="33"/>
      <c r="LP308" s="33"/>
      <c r="LQ308" s="33"/>
      <c r="LR308" s="33"/>
      <c r="LS308" s="33"/>
      <c r="LT308" s="33"/>
      <c r="LU308" s="33"/>
      <c r="LV308" s="33"/>
      <c r="LW308" s="33"/>
      <c r="LX308" s="33"/>
      <c r="LY308" s="33"/>
      <c r="LZ308" s="33"/>
      <c r="MA308" s="33"/>
      <c r="MB308" s="33"/>
      <c r="MC308" s="33"/>
      <c r="MD308" s="33"/>
      <c r="ME308" s="33"/>
      <c r="MF308" s="33"/>
      <c r="MG308" s="33"/>
      <c r="MH308" s="33"/>
      <c r="MI308" s="33"/>
      <c r="MJ308" s="33"/>
      <c r="MK308" s="33"/>
      <c r="ML308" s="33"/>
      <c r="MM308" s="33"/>
      <c r="MN308" s="33"/>
      <c r="MO308" s="33"/>
      <c r="MP308" s="33"/>
      <c r="MQ308" s="33"/>
      <c r="MR308" s="33"/>
      <c r="MS308" s="33"/>
      <c r="MT308" s="33"/>
      <c r="MU308" s="33"/>
      <c r="MV308" s="33"/>
      <c r="MW308" s="33"/>
      <c r="MX308" s="33"/>
      <c r="MY308" s="33"/>
      <c r="MZ308" s="33"/>
      <c r="NA308" s="33"/>
      <c r="NB308" s="33"/>
      <c r="NC308" s="33"/>
      <c r="ND308" s="33"/>
      <c r="NE308" s="33"/>
      <c r="NF308" s="33"/>
      <c r="NG308" s="33"/>
      <c r="NH308" s="33"/>
      <c r="NI308" s="33"/>
      <c r="NJ308" s="33"/>
      <c r="NK308" s="33"/>
      <c r="NL308" s="33"/>
      <c r="NM308" s="33"/>
      <c r="NN308" s="33"/>
      <c r="NO308" s="33"/>
      <c r="NP308" s="33"/>
      <c r="NQ308" s="33"/>
      <c r="NR308" s="33"/>
      <c r="NS308" s="33"/>
      <c r="NT308" s="33"/>
      <c r="NU308" s="33"/>
      <c r="NV308" s="33"/>
      <c r="NW308" s="33"/>
      <c r="NX308" s="33"/>
      <c r="NY308" s="33"/>
      <c r="NZ308" s="33"/>
      <c r="OA308" s="33"/>
      <c r="OB308" s="33"/>
      <c r="OC308" s="33"/>
      <c r="OD308" s="33"/>
      <c r="OE308" s="33"/>
      <c r="OF308" s="33"/>
      <c r="OG308" s="33"/>
      <c r="OH308" s="33"/>
      <c r="OI308" s="33"/>
      <c r="OJ308" s="33"/>
      <c r="OK308" s="33"/>
      <c r="OL308" s="33"/>
      <c r="OM308" s="33"/>
      <c r="ON308" s="33"/>
      <c r="OO308" s="33"/>
      <c r="OP308" s="33"/>
      <c r="OQ308" s="33"/>
      <c r="OR308" s="33"/>
      <c r="OS308" s="33"/>
      <c r="OT308" s="33"/>
      <c r="OU308" s="33"/>
      <c r="OV308" s="33"/>
      <c r="OW308" s="33"/>
      <c r="OX308" s="33"/>
      <c r="OY308" s="33"/>
      <c r="OZ308" s="33"/>
      <c r="PA308" s="33"/>
      <c r="PB308" s="33"/>
      <c r="PC308" s="33"/>
      <c r="PD308" s="33"/>
      <c r="PE308" s="33"/>
      <c r="PF308" s="33"/>
      <c r="PG308" s="33"/>
      <c r="PH308" s="33"/>
      <c r="PI308" s="33"/>
      <c r="PJ308" s="33"/>
      <c r="PK308" s="33"/>
      <c r="PL308" s="33"/>
      <c r="PM308" s="33"/>
      <c r="PN308" s="33"/>
      <c r="PO308" s="33"/>
      <c r="PP308" s="33"/>
      <c r="PQ308" s="33"/>
      <c r="PR308" s="33"/>
      <c r="PS308" s="33"/>
      <c r="PT308" s="33"/>
      <c r="PU308" s="33"/>
      <c r="PV308" s="33"/>
      <c r="PW308" s="33"/>
      <c r="PX308" s="33"/>
      <c r="PY308" s="33"/>
      <c r="PZ308" s="33"/>
      <c r="QA308" s="33"/>
      <c r="QB308" s="33"/>
      <c r="QC308" s="33"/>
      <c r="QD308" s="33"/>
      <c r="QE308" s="33"/>
      <c r="QF308" s="33"/>
      <c r="QG308" s="33"/>
      <c r="QH308" s="33"/>
      <c r="QI308" s="33"/>
      <c r="QJ308" s="33"/>
      <c r="QK308" s="33"/>
      <c r="QL308" s="33"/>
      <c r="QM308" s="33"/>
      <c r="QN308" s="33"/>
      <c r="QO308" s="33"/>
      <c r="QP308" s="33"/>
      <c r="QQ308" s="33"/>
      <c r="QR308" s="33"/>
      <c r="QS308" s="33"/>
      <c r="QT308" s="33"/>
      <c r="QU308" s="33"/>
      <c r="QV308" s="33"/>
      <c r="QW308" s="33"/>
      <c r="QX308" s="33"/>
      <c r="QY308" s="33"/>
      <c r="QZ308" s="33"/>
      <c r="RA308" s="33"/>
      <c r="RB308" s="33"/>
      <c r="RC308" s="33"/>
      <c r="RD308" s="33"/>
      <c r="RE308" s="33"/>
      <c r="RF308" s="33"/>
      <c r="RG308" s="33"/>
      <c r="RH308" s="33"/>
      <c r="RI308" s="33"/>
      <c r="RJ308" s="33"/>
      <c r="RK308" s="33"/>
      <c r="RL308" s="33"/>
      <c r="RM308" s="33"/>
      <c r="RN308" s="33"/>
      <c r="RO308" s="33"/>
      <c r="RP308" s="33"/>
      <c r="RQ308" s="33"/>
      <c r="RR308" s="33"/>
      <c r="RS308" s="33"/>
      <c r="RT308" s="33"/>
      <c r="RU308" s="33"/>
      <c r="RV308" s="33"/>
      <c r="RW308" s="33"/>
      <c r="RX308" s="33"/>
      <c r="RY308" s="33"/>
      <c r="RZ308" s="33"/>
      <c r="SA308" s="33"/>
      <c r="SB308" s="33"/>
      <c r="SC308" s="33"/>
      <c r="SD308" s="33"/>
      <c r="SE308" s="33"/>
      <c r="SF308" s="33"/>
      <c r="SG308" s="33"/>
      <c r="SH308" s="33"/>
      <c r="SI308" s="33"/>
      <c r="SJ308" s="33"/>
      <c r="SK308" s="33"/>
      <c r="SL308" s="33"/>
      <c r="SM308" s="33"/>
      <c r="SN308" s="33"/>
      <c r="SO308" s="33"/>
      <c r="SP308" s="33"/>
      <c r="SQ308" s="33"/>
      <c r="SR308" s="33"/>
      <c r="SS308" s="33"/>
      <c r="ST308" s="33"/>
      <c r="SU308" s="33"/>
      <c r="SV308" s="33"/>
      <c r="SW308" s="33"/>
      <c r="SX308" s="33"/>
      <c r="SY308" s="33"/>
      <c r="SZ308" s="33"/>
      <c r="TA308" s="33"/>
      <c r="TB308" s="33"/>
      <c r="TC308" s="33"/>
      <c r="TD308" s="33"/>
      <c r="TE308" s="33"/>
      <c r="TF308" s="33"/>
      <c r="TG308" s="33"/>
    </row>
    <row r="309" spans="1:527" s="34" customFormat="1" ht="26.25" customHeight="1" x14ac:dyDescent="0.25">
      <c r="A309" s="100"/>
      <c r="B309" s="113"/>
      <c r="C309" s="113"/>
      <c r="D309" s="87" t="s">
        <v>421</v>
      </c>
      <c r="E309" s="102">
        <f t="shared" ref="E309:P309" si="183">E129+E257+E221</f>
        <v>0</v>
      </c>
      <c r="F309" s="102">
        <f t="shared" si="183"/>
        <v>0</v>
      </c>
      <c r="G309" s="102">
        <f t="shared" si="183"/>
        <v>0</v>
      </c>
      <c r="H309" s="102">
        <f t="shared" si="183"/>
        <v>0</v>
      </c>
      <c r="I309" s="102">
        <f t="shared" si="183"/>
        <v>0</v>
      </c>
      <c r="J309" s="102">
        <f t="shared" si="183"/>
        <v>127771665.12</v>
      </c>
      <c r="K309" s="102">
        <f t="shared" si="183"/>
        <v>127771665.12</v>
      </c>
      <c r="L309" s="102">
        <f t="shared" si="183"/>
        <v>0</v>
      </c>
      <c r="M309" s="102">
        <f t="shared" si="183"/>
        <v>0</v>
      </c>
      <c r="N309" s="102">
        <f t="shared" si="183"/>
        <v>0</v>
      </c>
      <c r="O309" s="102">
        <f t="shared" si="183"/>
        <v>127771665.12</v>
      </c>
      <c r="P309" s="102">
        <f t="shared" si="183"/>
        <v>127771665.12</v>
      </c>
      <c r="Q309" s="187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33"/>
      <c r="CS309" s="33"/>
      <c r="CT309" s="33"/>
      <c r="CU309" s="33"/>
      <c r="CV309" s="33"/>
      <c r="CW309" s="33"/>
      <c r="CX309" s="33"/>
      <c r="CY309" s="33"/>
      <c r="CZ309" s="33"/>
      <c r="DA309" s="33"/>
      <c r="DB309" s="33"/>
      <c r="DC309" s="33"/>
      <c r="DD309" s="33"/>
      <c r="DE309" s="33"/>
      <c r="DF309" s="33"/>
      <c r="DG309" s="33"/>
      <c r="DH309" s="33"/>
      <c r="DI309" s="33"/>
      <c r="DJ309" s="33"/>
      <c r="DK309" s="33"/>
      <c r="DL309" s="33"/>
      <c r="DM309" s="33"/>
      <c r="DN309" s="33"/>
      <c r="DO309" s="33"/>
      <c r="DP309" s="33"/>
      <c r="DQ309" s="33"/>
      <c r="DR309" s="33"/>
      <c r="DS309" s="33"/>
      <c r="DT309" s="33"/>
      <c r="DU309" s="33"/>
      <c r="DV309" s="33"/>
      <c r="DW309" s="33"/>
      <c r="DX309" s="33"/>
      <c r="DY309" s="33"/>
      <c r="DZ309" s="33"/>
      <c r="EA309" s="33"/>
      <c r="EB309" s="33"/>
      <c r="EC309" s="33"/>
      <c r="ED309" s="33"/>
      <c r="EE309" s="33"/>
      <c r="EF309" s="33"/>
      <c r="EG309" s="33"/>
      <c r="EH309" s="33"/>
      <c r="EI309" s="33"/>
      <c r="EJ309" s="33"/>
      <c r="EK309" s="33"/>
      <c r="EL309" s="33"/>
      <c r="EM309" s="33"/>
      <c r="EN309" s="33"/>
      <c r="EO309" s="33"/>
      <c r="EP309" s="33"/>
      <c r="EQ309" s="33"/>
      <c r="ER309" s="33"/>
      <c r="ES309" s="33"/>
      <c r="ET309" s="33"/>
      <c r="EU309" s="33"/>
      <c r="EV309" s="33"/>
      <c r="EW309" s="33"/>
      <c r="EX309" s="33"/>
      <c r="EY309" s="33"/>
      <c r="EZ309" s="33"/>
      <c r="FA309" s="33"/>
      <c r="FB309" s="33"/>
      <c r="FC309" s="33"/>
      <c r="FD309" s="33"/>
      <c r="FE309" s="33"/>
      <c r="FF309" s="33"/>
      <c r="FG309" s="33"/>
      <c r="FH309" s="33"/>
      <c r="FI309" s="33"/>
      <c r="FJ309" s="33"/>
      <c r="FK309" s="33"/>
      <c r="FL309" s="33"/>
      <c r="FM309" s="33"/>
      <c r="FN309" s="33"/>
      <c r="FO309" s="33"/>
      <c r="FP309" s="33"/>
      <c r="FQ309" s="33"/>
      <c r="FR309" s="33"/>
      <c r="FS309" s="33"/>
      <c r="FT309" s="33"/>
      <c r="FU309" s="33"/>
      <c r="FV309" s="33"/>
      <c r="FW309" s="33"/>
      <c r="FX309" s="33"/>
      <c r="FY309" s="33"/>
      <c r="FZ309" s="33"/>
      <c r="GA309" s="33"/>
      <c r="GB309" s="33"/>
      <c r="GC309" s="33"/>
      <c r="GD309" s="33"/>
      <c r="GE309" s="33"/>
      <c r="GF309" s="33"/>
      <c r="GG309" s="33"/>
      <c r="GH309" s="33"/>
      <c r="GI309" s="33"/>
      <c r="GJ309" s="33"/>
      <c r="GK309" s="33"/>
      <c r="GL309" s="33"/>
      <c r="GM309" s="33"/>
      <c r="GN309" s="33"/>
      <c r="GO309" s="33"/>
      <c r="GP309" s="33"/>
      <c r="GQ309" s="33"/>
      <c r="GR309" s="33"/>
      <c r="GS309" s="33"/>
      <c r="GT309" s="33"/>
      <c r="GU309" s="33"/>
      <c r="GV309" s="33"/>
      <c r="GW309" s="33"/>
      <c r="GX309" s="33"/>
      <c r="GY309" s="33"/>
      <c r="GZ309" s="33"/>
      <c r="HA309" s="33"/>
      <c r="HB309" s="33"/>
      <c r="HC309" s="33"/>
      <c r="HD309" s="33"/>
      <c r="HE309" s="33"/>
      <c r="HF309" s="33"/>
      <c r="HG309" s="33"/>
      <c r="HH309" s="33"/>
      <c r="HI309" s="33"/>
      <c r="HJ309" s="33"/>
      <c r="HK309" s="33"/>
      <c r="HL309" s="33"/>
      <c r="HM309" s="33"/>
      <c r="HN309" s="33"/>
      <c r="HO309" s="33"/>
      <c r="HP309" s="33"/>
      <c r="HQ309" s="33"/>
      <c r="HR309" s="33"/>
      <c r="HS309" s="33"/>
      <c r="HT309" s="33"/>
      <c r="HU309" s="33"/>
      <c r="HV309" s="33"/>
      <c r="HW309" s="33"/>
      <c r="HX309" s="33"/>
      <c r="HY309" s="33"/>
      <c r="HZ309" s="33"/>
      <c r="IA309" s="33"/>
      <c r="IB309" s="33"/>
      <c r="IC309" s="33"/>
      <c r="ID309" s="33"/>
      <c r="IE309" s="33"/>
      <c r="IF309" s="33"/>
      <c r="IG309" s="33"/>
      <c r="IH309" s="33"/>
      <c r="II309" s="33"/>
      <c r="IJ309" s="33"/>
      <c r="IK309" s="33"/>
      <c r="IL309" s="33"/>
      <c r="IM309" s="33"/>
      <c r="IN309" s="33"/>
      <c r="IO309" s="33"/>
      <c r="IP309" s="33"/>
      <c r="IQ309" s="33"/>
      <c r="IR309" s="33"/>
      <c r="IS309" s="33"/>
      <c r="IT309" s="33"/>
      <c r="IU309" s="33"/>
      <c r="IV309" s="33"/>
      <c r="IW309" s="33"/>
      <c r="IX309" s="33"/>
      <c r="IY309" s="33"/>
      <c r="IZ309" s="33"/>
      <c r="JA309" s="33"/>
      <c r="JB309" s="33"/>
      <c r="JC309" s="33"/>
      <c r="JD309" s="33"/>
      <c r="JE309" s="33"/>
      <c r="JF309" s="33"/>
      <c r="JG309" s="33"/>
      <c r="JH309" s="33"/>
      <c r="JI309" s="33"/>
      <c r="JJ309" s="33"/>
      <c r="JK309" s="33"/>
      <c r="JL309" s="33"/>
      <c r="JM309" s="33"/>
      <c r="JN309" s="33"/>
      <c r="JO309" s="33"/>
      <c r="JP309" s="33"/>
      <c r="JQ309" s="33"/>
      <c r="JR309" s="33"/>
      <c r="JS309" s="33"/>
      <c r="JT309" s="33"/>
      <c r="JU309" s="33"/>
      <c r="JV309" s="33"/>
      <c r="JW309" s="33"/>
      <c r="JX309" s="33"/>
      <c r="JY309" s="33"/>
      <c r="JZ309" s="33"/>
      <c r="KA309" s="33"/>
      <c r="KB309" s="33"/>
      <c r="KC309" s="33"/>
      <c r="KD309" s="33"/>
      <c r="KE309" s="33"/>
      <c r="KF309" s="33"/>
      <c r="KG309" s="33"/>
      <c r="KH309" s="33"/>
      <c r="KI309" s="33"/>
      <c r="KJ309" s="33"/>
      <c r="KK309" s="33"/>
      <c r="KL309" s="33"/>
      <c r="KM309" s="33"/>
      <c r="KN309" s="33"/>
      <c r="KO309" s="33"/>
      <c r="KP309" s="33"/>
      <c r="KQ309" s="33"/>
      <c r="KR309" s="33"/>
      <c r="KS309" s="33"/>
      <c r="KT309" s="33"/>
      <c r="KU309" s="33"/>
      <c r="KV309" s="33"/>
      <c r="KW309" s="33"/>
      <c r="KX309" s="33"/>
      <c r="KY309" s="33"/>
      <c r="KZ309" s="33"/>
      <c r="LA309" s="33"/>
      <c r="LB309" s="33"/>
      <c r="LC309" s="33"/>
      <c r="LD309" s="33"/>
      <c r="LE309" s="33"/>
      <c r="LF309" s="33"/>
      <c r="LG309" s="33"/>
      <c r="LH309" s="33"/>
      <c r="LI309" s="33"/>
      <c r="LJ309" s="33"/>
      <c r="LK309" s="33"/>
      <c r="LL309" s="33"/>
      <c r="LM309" s="33"/>
      <c r="LN309" s="33"/>
      <c r="LO309" s="33"/>
      <c r="LP309" s="33"/>
      <c r="LQ309" s="33"/>
      <c r="LR309" s="33"/>
      <c r="LS309" s="33"/>
      <c r="LT309" s="33"/>
      <c r="LU309" s="33"/>
      <c r="LV309" s="33"/>
      <c r="LW309" s="33"/>
      <c r="LX309" s="33"/>
      <c r="LY309" s="33"/>
      <c r="LZ309" s="33"/>
      <c r="MA309" s="33"/>
      <c r="MB309" s="33"/>
      <c r="MC309" s="33"/>
      <c r="MD309" s="33"/>
      <c r="ME309" s="33"/>
      <c r="MF309" s="33"/>
      <c r="MG309" s="33"/>
      <c r="MH309" s="33"/>
      <c r="MI309" s="33"/>
      <c r="MJ309" s="33"/>
      <c r="MK309" s="33"/>
      <c r="ML309" s="33"/>
      <c r="MM309" s="33"/>
      <c r="MN309" s="33"/>
      <c r="MO309" s="33"/>
      <c r="MP309" s="33"/>
      <c r="MQ309" s="33"/>
      <c r="MR309" s="33"/>
      <c r="MS309" s="33"/>
      <c r="MT309" s="33"/>
      <c r="MU309" s="33"/>
      <c r="MV309" s="33"/>
      <c r="MW309" s="33"/>
      <c r="MX309" s="33"/>
      <c r="MY309" s="33"/>
      <c r="MZ309" s="33"/>
      <c r="NA309" s="33"/>
      <c r="NB309" s="33"/>
      <c r="NC309" s="33"/>
      <c r="ND309" s="33"/>
      <c r="NE309" s="33"/>
      <c r="NF309" s="33"/>
      <c r="NG309" s="33"/>
      <c r="NH309" s="33"/>
      <c r="NI309" s="33"/>
      <c r="NJ309" s="33"/>
      <c r="NK309" s="33"/>
      <c r="NL309" s="33"/>
      <c r="NM309" s="33"/>
      <c r="NN309" s="33"/>
      <c r="NO309" s="33"/>
      <c r="NP309" s="33"/>
      <c r="NQ309" s="33"/>
      <c r="NR309" s="33"/>
      <c r="NS309" s="33"/>
      <c r="NT309" s="33"/>
      <c r="NU309" s="33"/>
      <c r="NV309" s="33"/>
      <c r="NW309" s="33"/>
      <c r="NX309" s="33"/>
      <c r="NY309" s="33"/>
      <c r="NZ309" s="33"/>
      <c r="OA309" s="33"/>
      <c r="OB309" s="33"/>
      <c r="OC309" s="33"/>
      <c r="OD309" s="33"/>
      <c r="OE309" s="33"/>
      <c r="OF309" s="33"/>
      <c r="OG309" s="33"/>
      <c r="OH309" s="33"/>
      <c r="OI309" s="33"/>
      <c r="OJ309" s="33"/>
      <c r="OK309" s="33"/>
      <c r="OL309" s="33"/>
      <c r="OM309" s="33"/>
      <c r="ON309" s="33"/>
      <c r="OO309" s="33"/>
      <c r="OP309" s="33"/>
      <c r="OQ309" s="33"/>
      <c r="OR309" s="33"/>
      <c r="OS309" s="33"/>
      <c r="OT309" s="33"/>
      <c r="OU309" s="33"/>
      <c r="OV309" s="33"/>
      <c r="OW309" s="33"/>
      <c r="OX309" s="33"/>
      <c r="OY309" s="33"/>
      <c r="OZ309" s="33"/>
      <c r="PA309" s="33"/>
      <c r="PB309" s="33"/>
      <c r="PC309" s="33"/>
      <c r="PD309" s="33"/>
      <c r="PE309" s="33"/>
      <c r="PF309" s="33"/>
      <c r="PG309" s="33"/>
      <c r="PH309" s="33"/>
      <c r="PI309" s="33"/>
      <c r="PJ309" s="33"/>
      <c r="PK309" s="33"/>
      <c r="PL309" s="33"/>
      <c r="PM309" s="33"/>
      <c r="PN309" s="33"/>
      <c r="PO309" s="33"/>
      <c r="PP309" s="33"/>
      <c r="PQ309" s="33"/>
      <c r="PR309" s="33"/>
      <c r="PS309" s="33"/>
      <c r="PT309" s="33"/>
      <c r="PU309" s="33"/>
      <c r="PV309" s="33"/>
      <c r="PW309" s="33"/>
      <c r="PX309" s="33"/>
      <c r="PY309" s="33"/>
      <c r="PZ309" s="33"/>
      <c r="QA309" s="33"/>
      <c r="QB309" s="33"/>
      <c r="QC309" s="33"/>
      <c r="QD309" s="33"/>
      <c r="QE309" s="33"/>
      <c r="QF309" s="33"/>
      <c r="QG309" s="33"/>
      <c r="QH309" s="33"/>
      <c r="QI309" s="33"/>
      <c r="QJ309" s="33"/>
      <c r="QK309" s="33"/>
      <c r="QL309" s="33"/>
      <c r="QM309" s="33"/>
      <c r="QN309" s="33"/>
      <c r="QO309" s="33"/>
      <c r="QP309" s="33"/>
      <c r="QQ309" s="33"/>
      <c r="QR309" s="33"/>
      <c r="QS309" s="33"/>
      <c r="QT309" s="33"/>
      <c r="QU309" s="33"/>
      <c r="QV309" s="33"/>
      <c r="QW309" s="33"/>
      <c r="QX309" s="33"/>
      <c r="QY309" s="33"/>
      <c r="QZ309" s="33"/>
      <c r="RA309" s="33"/>
      <c r="RB309" s="33"/>
      <c r="RC309" s="33"/>
      <c r="RD309" s="33"/>
      <c r="RE309" s="33"/>
      <c r="RF309" s="33"/>
      <c r="RG309" s="33"/>
      <c r="RH309" s="33"/>
      <c r="RI309" s="33"/>
      <c r="RJ309" s="33"/>
      <c r="RK309" s="33"/>
      <c r="RL309" s="33"/>
      <c r="RM309" s="33"/>
      <c r="RN309" s="33"/>
      <c r="RO309" s="33"/>
      <c r="RP309" s="33"/>
      <c r="RQ309" s="33"/>
      <c r="RR309" s="33"/>
      <c r="RS309" s="33"/>
      <c r="RT309" s="33"/>
      <c r="RU309" s="33"/>
      <c r="RV309" s="33"/>
      <c r="RW309" s="33"/>
      <c r="RX309" s="33"/>
      <c r="RY309" s="33"/>
      <c r="RZ309" s="33"/>
      <c r="SA309" s="33"/>
      <c r="SB309" s="33"/>
      <c r="SC309" s="33"/>
      <c r="SD309" s="33"/>
      <c r="SE309" s="33"/>
      <c r="SF309" s="33"/>
      <c r="SG309" s="33"/>
      <c r="SH309" s="33"/>
      <c r="SI309" s="33"/>
      <c r="SJ309" s="33"/>
      <c r="SK309" s="33"/>
      <c r="SL309" s="33"/>
      <c r="SM309" s="33"/>
      <c r="SN309" s="33"/>
      <c r="SO309" s="33"/>
      <c r="SP309" s="33"/>
      <c r="SQ309" s="33"/>
      <c r="SR309" s="33"/>
      <c r="SS309" s="33"/>
      <c r="ST309" s="33"/>
      <c r="SU309" s="33"/>
      <c r="SV309" s="33"/>
      <c r="SW309" s="33"/>
      <c r="SX309" s="33"/>
      <c r="SY309" s="33"/>
      <c r="SZ309" s="33"/>
      <c r="TA309" s="33"/>
      <c r="TB309" s="33"/>
      <c r="TC309" s="33"/>
      <c r="TD309" s="33"/>
      <c r="TE309" s="33"/>
      <c r="TF309" s="33"/>
      <c r="TG309" s="33"/>
    </row>
    <row r="310" spans="1:527" s="27" customFormat="1" ht="39" customHeight="1" x14ac:dyDescent="0.2">
      <c r="A310" s="70"/>
      <c r="B310" s="71"/>
      <c r="C310" s="72"/>
      <c r="D310" s="73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187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32"/>
      <c r="DD310" s="32"/>
      <c r="DE310" s="32"/>
      <c r="DF310" s="32"/>
      <c r="DG310" s="32"/>
      <c r="DH310" s="32"/>
      <c r="DI310" s="32"/>
      <c r="DJ310" s="32"/>
      <c r="DK310" s="32"/>
      <c r="DL310" s="32"/>
      <c r="DM310" s="32"/>
      <c r="DN310" s="32"/>
      <c r="DO310" s="32"/>
      <c r="DP310" s="32"/>
      <c r="DQ310" s="32"/>
      <c r="DR310" s="32"/>
      <c r="DS310" s="32"/>
      <c r="DT310" s="32"/>
      <c r="DU310" s="32"/>
      <c r="DV310" s="32"/>
      <c r="DW310" s="32"/>
      <c r="DX310" s="32"/>
      <c r="DY310" s="32"/>
      <c r="DZ310" s="32"/>
      <c r="EA310" s="32"/>
      <c r="EB310" s="32"/>
      <c r="EC310" s="32"/>
      <c r="ED310" s="32"/>
      <c r="EE310" s="32"/>
      <c r="EF310" s="32"/>
      <c r="EG310" s="32"/>
      <c r="EH310" s="32"/>
      <c r="EI310" s="32"/>
      <c r="EJ310" s="32"/>
      <c r="EK310" s="32"/>
      <c r="EL310" s="32"/>
      <c r="EM310" s="32"/>
      <c r="EN310" s="32"/>
      <c r="EO310" s="32"/>
      <c r="EP310" s="32"/>
      <c r="EQ310" s="32"/>
      <c r="ER310" s="32"/>
      <c r="ES310" s="32"/>
      <c r="ET310" s="32"/>
      <c r="EU310" s="32"/>
      <c r="EV310" s="32"/>
      <c r="EW310" s="32"/>
      <c r="EX310" s="32"/>
      <c r="EY310" s="32"/>
      <c r="EZ310" s="32"/>
      <c r="FA310" s="32"/>
      <c r="FB310" s="32"/>
      <c r="FC310" s="32"/>
      <c r="FD310" s="32"/>
      <c r="FE310" s="32"/>
      <c r="FF310" s="32"/>
      <c r="FG310" s="32"/>
      <c r="FH310" s="32"/>
      <c r="FI310" s="32"/>
      <c r="FJ310" s="32"/>
      <c r="FK310" s="32"/>
      <c r="FL310" s="32"/>
      <c r="FM310" s="32"/>
      <c r="FN310" s="32"/>
      <c r="FO310" s="32"/>
      <c r="FP310" s="32"/>
      <c r="FQ310" s="32"/>
      <c r="FR310" s="32"/>
      <c r="FS310" s="32"/>
      <c r="FT310" s="32"/>
      <c r="FU310" s="32"/>
      <c r="FV310" s="32"/>
      <c r="FW310" s="32"/>
      <c r="FX310" s="32"/>
      <c r="FY310" s="32"/>
      <c r="FZ310" s="32"/>
      <c r="GA310" s="32"/>
      <c r="GB310" s="32"/>
      <c r="GC310" s="32"/>
      <c r="GD310" s="32"/>
      <c r="GE310" s="32"/>
      <c r="GF310" s="32"/>
      <c r="GG310" s="32"/>
      <c r="GH310" s="32"/>
      <c r="GI310" s="32"/>
      <c r="GJ310" s="32"/>
      <c r="GK310" s="32"/>
      <c r="GL310" s="32"/>
      <c r="GM310" s="32"/>
      <c r="GN310" s="32"/>
      <c r="GO310" s="32"/>
      <c r="GP310" s="32"/>
      <c r="GQ310" s="32"/>
      <c r="GR310" s="32"/>
      <c r="GS310" s="32"/>
      <c r="GT310" s="32"/>
      <c r="GU310" s="32"/>
      <c r="GV310" s="32"/>
      <c r="GW310" s="32"/>
      <c r="GX310" s="32"/>
      <c r="GY310" s="32"/>
      <c r="GZ310" s="32"/>
      <c r="HA310" s="32"/>
      <c r="HB310" s="32"/>
      <c r="HC310" s="32"/>
      <c r="HD310" s="32"/>
      <c r="HE310" s="32"/>
      <c r="HF310" s="32"/>
      <c r="HG310" s="32"/>
      <c r="HH310" s="32"/>
      <c r="HI310" s="32"/>
      <c r="HJ310" s="32"/>
      <c r="HK310" s="32"/>
      <c r="HL310" s="32"/>
      <c r="HM310" s="32"/>
      <c r="HN310" s="32"/>
      <c r="HO310" s="32"/>
      <c r="HP310" s="32"/>
      <c r="HQ310" s="32"/>
      <c r="HR310" s="32"/>
      <c r="HS310" s="32"/>
      <c r="HT310" s="32"/>
      <c r="HU310" s="32"/>
      <c r="HV310" s="32"/>
      <c r="HW310" s="32"/>
      <c r="HX310" s="32"/>
      <c r="HY310" s="32"/>
      <c r="HZ310" s="32"/>
      <c r="IA310" s="32"/>
      <c r="IB310" s="32"/>
      <c r="IC310" s="32"/>
      <c r="ID310" s="32"/>
      <c r="IE310" s="32"/>
      <c r="IF310" s="32"/>
      <c r="IG310" s="32"/>
      <c r="IH310" s="32"/>
      <c r="II310" s="32"/>
      <c r="IJ310" s="32"/>
      <c r="IK310" s="32"/>
      <c r="IL310" s="32"/>
      <c r="IM310" s="32"/>
      <c r="IN310" s="32"/>
      <c r="IO310" s="32"/>
      <c r="IP310" s="32"/>
      <c r="IQ310" s="32"/>
      <c r="IR310" s="32"/>
      <c r="IS310" s="32"/>
      <c r="IT310" s="32"/>
      <c r="IU310" s="32"/>
      <c r="IV310" s="32"/>
      <c r="IW310" s="32"/>
      <c r="IX310" s="32"/>
      <c r="IY310" s="32"/>
      <c r="IZ310" s="32"/>
      <c r="JA310" s="32"/>
      <c r="JB310" s="32"/>
      <c r="JC310" s="32"/>
      <c r="JD310" s="32"/>
      <c r="JE310" s="32"/>
      <c r="JF310" s="32"/>
      <c r="JG310" s="32"/>
      <c r="JH310" s="32"/>
      <c r="JI310" s="32"/>
      <c r="JJ310" s="32"/>
      <c r="JK310" s="32"/>
      <c r="JL310" s="32"/>
      <c r="JM310" s="32"/>
      <c r="JN310" s="32"/>
      <c r="JO310" s="32"/>
      <c r="JP310" s="32"/>
      <c r="JQ310" s="32"/>
      <c r="JR310" s="32"/>
      <c r="JS310" s="32"/>
      <c r="JT310" s="32"/>
      <c r="JU310" s="32"/>
      <c r="JV310" s="32"/>
      <c r="JW310" s="32"/>
      <c r="JX310" s="32"/>
      <c r="JY310" s="32"/>
      <c r="JZ310" s="32"/>
      <c r="KA310" s="32"/>
      <c r="KB310" s="32"/>
      <c r="KC310" s="32"/>
      <c r="KD310" s="32"/>
      <c r="KE310" s="32"/>
      <c r="KF310" s="32"/>
      <c r="KG310" s="32"/>
      <c r="KH310" s="32"/>
      <c r="KI310" s="32"/>
      <c r="KJ310" s="32"/>
      <c r="KK310" s="32"/>
      <c r="KL310" s="32"/>
      <c r="KM310" s="32"/>
      <c r="KN310" s="32"/>
      <c r="KO310" s="32"/>
      <c r="KP310" s="32"/>
      <c r="KQ310" s="32"/>
      <c r="KR310" s="32"/>
      <c r="KS310" s="32"/>
      <c r="KT310" s="32"/>
      <c r="KU310" s="32"/>
      <c r="KV310" s="32"/>
      <c r="KW310" s="32"/>
      <c r="KX310" s="32"/>
      <c r="KY310" s="32"/>
      <c r="KZ310" s="32"/>
      <c r="LA310" s="32"/>
      <c r="LB310" s="32"/>
      <c r="LC310" s="32"/>
      <c r="LD310" s="32"/>
      <c r="LE310" s="32"/>
      <c r="LF310" s="32"/>
      <c r="LG310" s="32"/>
      <c r="LH310" s="32"/>
      <c r="LI310" s="32"/>
      <c r="LJ310" s="32"/>
      <c r="LK310" s="32"/>
      <c r="LL310" s="32"/>
      <c r="LM310" s="32"/>
      <c r="LN310" s="32"/>
      <c r="LO310" s="32"/>
      <c r="LP310" s="32"/>
      <c r="LQ310" s="32"/>
      <c r="LR310" s="32"/>
      <c r="LS310" s="32"/>
      <c r="LT310" s="32"/>
      <c r="LU310" s="32"/>
      <c r="LV310" s="32"/>
      <c r="LW310" s="32"/>
      <c r="LX310" s="32"/>
      <c r="LY310" s="32"/>
      <c r="LZ310" s="32"/>
      <c r="MA310" s="32"/>
      <c r="MB310" s="32"/>
      <c r="MC310" s="32"/>
      <c r="MD310" s="32"/>
      <c r="ME310" s="32"/>
      <c r="MF310" s="32"/>
      <c r="MG310" s="32"/>
      <c r="MH310" s="32"/>
      <c r="MI310" s="32"/>
      <c r="MJ310" s="32"/>
      <c r="MK310" s="32"/>
      <c r="ML310" s="32"/>
      <c r="MM310" s="32"/>
      <c r="MN310" s="32"/>
      <c r="MO310" s="32"/>
      <c r="MP310" s="32"/>
      <c r="MQ310" s="32"/>
      <c r="MR310" s="32"/>
      <c r="MS310" s="32"/>
      <c r="MT310" s="32"/>
      <c r="MU310" s="32"/>
      <c r="MV310" s="32"/>
      <c r="MW310" s="32"/>
      <c r="MX310" s="32"/>
      <c r="MY310" s="32"/>
      <c r="MZ310" s="32"/>
      <c r="NA310" s="32"/>
      <c r="NB310" s="32"/>
      <c r="NC310" s="32"/>
      <c r="ND310" s="32"/>
      <c r="NE310" s="32"/>
      <c r="NF310" s="32"/>
      <c r="NG310" s="32"/>
      <c r="NH310" s="32"/>
      <c r="NI310" s="32"/>
      <c r="NJ310" s="32"/>
      <c r="NK310" s="32"/>
      <c r="NL310" s="32"/>
      <c r="NM310" s="32"/>
      <c r="NN310" s="32"/>
      <c r="NO310" s="32"/>
      <c r="NP310" s="32"/>
      <c r="NQ310" s="32"/>
      <c r="NR310" s="32"/>
      <c r="NS310" s="32"/>
      <c r="NT310" s="32"/>
      <c r="NU310" s="32"/>
      <c r="NV310" s="32"/>
      <c r="NW310" s="32"/>
      <c r="NX310" s="32"/>
      <c r="NY310" s="32"/>
      <c r="NZ310" s="32"/>
      <c r="OA310" s="32"/>
      <c r="OB310" s="32"/>
      <c r="OC310" s="32"/>
      <c r="OD310" s="32"/>
      <c r="OE310" s="32"/>
      <c r="OF310" s="32"/>
      <c r="OG310" s="32"/>
      <c r="OH310" s="32"/>
      <c r="OI310" s="32"/>
      <c r="OJ310" s="32"/>
      <c r="OK310" s="32"/>
      <c r="OL310" s="32"/>
      <c r="OM310" s="32"/>
      <c r="ON310" s="32"/>
      <c r="OO310" s="32"/>
      <c r="OP310" s="32"/>
      <c r="OQ310" s="32"/>
      <c r="OR310" s="32"/>
      <c r="OS310" s="32"/>
      <c r="OT310" s="32"/>
      <c r="OU310" s="32"/>
      <c r="OV310" s="32"/>
      <c r="OW310" s="32"/>
      <c r="OX310" s="32"/>
      <c r="OY310" s="32"/>
      <c r="OZ310" s="32"/>
      <c r="PA310" s="32"/>
      <c r="PB310" s="32"/>
      <c r="PC310" s="32"/>
      <c r="PD310" s="32"/>
      <c r="PE310" s="32"/>
      <c r="PF310" s="32"/>
      <c r="PG310" s="32"/>
      <c r="PH310" s="32"/>
      <c r="PI310" s="32"/>
      <c r="PJ310" s="32"/>
      <c r="PK310" s="32"/>
      <c r="PL310" s="32"/>
      <c r="PM310" s="32"/>
      <c r="PN310" s="32"/>
      <c r="PO310" s="32"/>
      <c r="PP310" s="32"/>
      <c r="PQ310" s="32"/>
      <c r="PR310" s="32"/>
      <c r="PS310" s="32"/>
      <c r="PT310" s="32"/>
      <c r="PU310" s="32"/>
      <c r="PV310" s="32"/>
      <c r="PW310" s="32"/>
      <c r="PX310" s="32"/>
      <c r="PY310" s="32"/>
      <c r="PZ310" s="32"/>
      <c r="QA310" s="32"/>
      <c r="QB310" s="32"/>
      <c r="QC310" s="32"/>
      <c r="QD310" s="32"/>
      <c r="QE310" s="32"/>
      <c r="QF310" s="32"/>
      <c r="QG310" s="32"/>
      <c r="QH310" s="32"/>
      <c r="QI310" s="32"/>
      <c r="QJ310" s="32"/>
      <c r="QK310" s="32"/>
      <c r="QL310" s="32"/>
      <c r="QM310" s="32"/>
      <c r="QN310" s="32"/>
      <c r="QO310" s="32"/>
      <c r="QP310" s="32"/>
      <c r="QQ310" s="32"/>
      <c r="QR310" s="32"/>
      <c r="QS310" s="32"/>
      <c r="QT310" s="32"/>
      <c r="QU310" s="32"/>
      <c r="QV310" s="32"/>
      <c r="QW310" s="32"/>
      <c r="QX310" s="32"/>
      <c r="QY310" s="32"/>
      <c r="QZ310" s="32"/>
      <c r="RA310" s="32"/>
      <c r="RB310" s="32"/>
      <c r="RC310" s="32"/>
      <c r="RD310" s="32"/>
      <c r="RE310" s="32"/>
      <c r="RF310" s="32"/>
      <c r="RG310" s="32"/>
      <c r="RH310" s="32"/>
      <c r="RI310" s="32"/>
      <c r="RJ310" s="32"/>
      <c r="RK310" s="32"/>
      <c r="RL310" s="32"/>
      <c r="RM310" s="32"/>
      <c r="RN310" s="32"/>
      <c r="RO310" s="32"/>
      <c r="RP310" s="32"/>
      <c r="RQ310" s="32"/>
      <c r="RR310" s="32"/>
      <c r="RS310" s="32"/>
      <c r="RT310" s="32"/>
      <c r="RU310" s="32"/>
      <c r="RV310" s="32"/>
      <c r="RW310" s="32"/>
      <c r="RX310" s="32"/>
      <c r="RY310" s="32"/>
      <c r="RZ310" s="32"/>
      <c r="SA310" s="32"/>
      <c r="SB310" s="32"/>
      <c r="SC310" s="32"/>
      <c r="SD310" s="32"/>
      <c r="SE310" s="32"/>
      <c r="SF310" s="32"/>
      <c r="SG310" s="32"/>
      <c r="SH310" s="32"/>
      <c r="SI310" s="32"/>
      <c r="SJ310" s="32"/>
      <c r="SK310" s="32"/>
      <c r="SL310" s="32"/>
      <c r="SM310" s="32"/>
      <c r="SN310" s="32"/>
      <c r="SO310" s="32"/>
      <c r="SP310" s="32"/>
      <c r="SQ310" s="32"/>
      <c r="SR310" s="32"/>
      <c r="SS310" s="32"/>
      <c r="ST310" s="32"/>
      <c r="SU310" s="32"/>
      <c r="SV310" s="32"/>
      <c r="SW310" s="32"/>
      <c r="SX310" s="32"/>
      <c r="SY310" s="32"/>
      <c r="SZ310" s="32"/>
      <c r="TA310" s="32"/>
      <c r="TB310" s="32"/>
      <c r="TC310" s="32"/>
      <c r="TD310" s="32"/>
      <c r="TE310" s="32"/>
      <c r="TF310" s="32"/>
      <c r="TG310" s="32"/>
    </row>
    <row r="311" spans="1:527" s="27" customFormat="1" ht="39" customHeight="1" x14ac:dyDescent="0.25">
      <c r="A311" s="70"/>
      <c r="B311" s="71"/>
      <c r="C311" s="72"/>
      <c r="D311" s="73"/>
      <c r="E311" s="157">
        <f>E307-'дод 5'!D244</f>
        <v>0</v>
      </c>
      <c r="F311" s="157">
        <f>F307-'дод 5'!E244</f>
        <v>0</v>
      </c>
      <c r="G311" s="157">
        <f>G307-'дод 5'!F244</f>
        <v>0</v>
      </c>
      <c r="H311" s="157">
        <f>H307-'дод 5'!G244</f>
        <v>0</v>
      </c>
      <c r="I311" s="157">
        <f>I307-'дод 5'!H244</f>
        <v>0</v>
      </c>
      <c r="J311" s="157">
        <f>J307-'дод 5'!I244</f>
        <v>0</v>
      </c>
      <c r="K311" s="157">
        <f>K307-'дод 5'!J244</f>
        <v>0</v>
      </c>
      <c r="L311" s="157">
        <f>L307-'дод 5'!K244</f>
        <v>0</v>
      </c>
      <c r="M311" s="157">
        <f>M307-'дод 5'!L244</f>
        <v>0</v>
      </c>
      <c r="N311" s="157">
        <f>N307-'дод 5'!M244</f>
        <v>0</v>
      </c>
      <c r="O311" s="157">
        <f>O307-'дод 5'!N244</f>
        <v>0</v>
      </c>
      <c r="P311" s="157">
        <f>P307-'дод 5'!O244</f>
        <v>0</v>
      </c>
      <c r="Q311" s="187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/>
      <c r="DY311" s="32"/>
      <c r="DZ311" s="32"/>
      <c r="EA311" s="32"/>
      <c r="EB311" s="32"/>
      <c r="EC311" s="32"/>
      <c r="ED311" s="32"/>
      <c r="EE311" s="32"/>
      <c r="EF311" s="32"/>
      <c r="EG311" s="32"/>
      <c r="EH311" s="32"/>
      <c r="EI311" s="32"/>
      <c r="EJ311" s="32"/>
      <c r="EK311" s="32"/>
      <c r="EL311" s="32"/>
      <c r="EM311" s="32"/>
      <c r="EN311" s="32"/>
      <c r="EO311" s="32"/>
      <c r="EP311" s="32"/>
      <c r="EQ311" s="32"/>
      <c r="ER311" s="32"/>
      <c r="ES311" s="32"/>
      <c r="ET311" s="32"/>
      <c r="EU311" s="32"/>
      <c r="EV311" s="32"/>
      <c r="EW311" s="32"/>
      <c r="EX311" s="32"/>
      <c r="EY311" s="32"/>
      <c r="EZ311" s="32"/>
      <c r="FA311" s="32"/>
      <c r="FB311" s="32"/>
      <c r="FC311" s="32"/>
      <c r="FD311" s="32"/>
      <c r="FE311" s="32"/>
      <c r="FF311" s="32"/>
      <c r="FG311" s="32"/>
      <c r="FH311" s="32"/>
      <c r="FI311" s="32"/>
      <c r="FJ311" s="32"/>
      <c r="FK311" s="32"/>
      <c r="FL311" s="32"/>
      <c r="FM311" s="32"/>
      <c r="FN311" s="32"/>
      <c r="FO311" s="32"/>
      <c r="FP311" s="32"/>
      <c r="FQ311" s="32"/>
      <c r="FR311" s="32"/>
      <c r="FS311" s="32"/>
      <c r="FT311" s="32"/>
      <c r="FU311" s="32"/>
      <c r="FV311" s="32"/>
      <c r="FW311" s="32"/>
      <c r="FX311" s="32"/>
      <c r="FY311" s="32"/>
      <c r="FZ311" s="32"/>
      <c r="GA311" s="32"/>
      <c r="GB311" s="32"/>
      <c r="GC311" s="32"/>
      <c r="GD311" s="32"/>
      <c r="GE311" s="32"/>
      <c r="GF311" s="32"/>
      <c r="GG311" s="32"/>
      <c r="GH311" s="32"/>
      <c r="GI311" s="32"/>
      <c r="GJ311" s="32"/>
      <c r="GK311" s="32"/>
      <c r="GL311" s="32"/>
      <c r="GM311" s="32"/>
      <c r="GN311" s="32"/>
      <c r="GO311" s="32"/>
      <c r="GP311" s="32"/>
      <c r="GQ311" s="32"/>
      <c r="GR311" s="32"/>
      <c r="GS311" s="32"/>
      <c r="GT311" s="32"/>
      <c r="GU311" s="32"/>
      <c r="GV311" s="32"/>
      <c r="GW311" s="32"/>
      <c r="GX311" s="32"/>
      <c r="GY311" s="32"/>
      <c r="GZ311" s="32"/>
      <c r="HA311" s="32"/>
      <c r="HB311" s="32"/>
      <c r="HC311" s="32"/>
      <c r="HD311" s="32"/>
      <c r="HE311" s="32"/>
      <c r="HF311" s="32"/>
      <c r="HG311" s="32"/>
      <c r="HH311" s="32"/>
      <c r="HI311" s="32"/>
      <c r="HJ311" s="32"/>
      <c r="HK311" s="32"/>
      <c r="HL311" s="32"/>
      <c r="HM311" s="32"/>
      <c r="HN311" s="32"/>
      <c r="HO311" s="32"/>
      <c r="HP311" s="32"/>
      <c r="HQ311" s="32"/>
      <c r="HR311" s="32"/>
      <c r="HS311" s="32"/>
      <c r="HT311" s="32"/>
      <c r="HU311" s="32"/>
      <c r="HV311" s="32"/>
      <c r="HW311" s="32"/>
      <c r="HX311" s="32"/>
      <c r="HY311" s="32"/>
      <c r="HZ311" s="32"/>
      <c r="IA311" s="32"/>
      <c r="IB311" s="32"/>
      <c r="IC311" s="32"/>
      <c r="ID311" s="32"/>
      <c r="IE311" s="32"/>
      <c r="IF311" s="32"/>
      <c r="IG311" s="32"/>
      <c r="IH311" s="32"/>
      <c r="II311" s="32"/>
      <c r="IJ311" s="32"/>
      <c r="IK311" s="32"/>
      <c r="IL311" s="32"/>
      <c r="IM311" s="32"/>
      <c r="IN311" s="32"/>
      <c r="IO311" s="32"/>
      <c r="IP311" s="32"/>
      <c r="IQ311" s="32"/>
      <c r="IR311" s="32"/>
      <c r="IS311" s="32"/>
      <c r="IT311" s="32"/>
      <c r="IU311" s="32"/>
      <c r="IV311" s="32"/>
      <c r="IW311" s="32"/>
      <c r="IX311" s="32"/>
      <c r="IY311" s="32"/>
      <c r="IZ311" s="32"/>
      <c r="JA311" s="32"/>
      <c r="JB311" s="32"/>
      <c r="JC311" s="32"/>
      <c r="JD311" s="32"/>
      <c r="JE311" s="32"/>
      <c r="JF311" s="32"/>
      <c r="JG311" s="32"/>
      <c r="JH311" s="32"/>
      <c r="JI311" s="32"/>
      <c r="JJ311" s="32"/>
      <c r="JK311" s="32"/>
      <c r="JL311" s="32"/>
      <c r="JM311" s="32"/>
      <c r="JN311" s="32"/>
      <c r="JO311" s="32"/>
      <c r="JP311" s="32"/>
      <c r="JQ311" s="32"/>
      <c r="JR311" s="32"/>
      <c r="JS311" s="32"/>
      <c r="JT311" s="32"/>
      <c r="JU311" s="32"/>
      <c r="JV311" s="32"/>
      <c r="JW311" s="32"/>
      <c r="JX311" s="32"/>
      <c r="JY311" s="32"/>
      <c r="JZ311" s="32"/>
      <c r="KA311" s="32"/>
      <c r="KB311" s="32"/>
      <c r="KC311" s="32"/>
      <c r="KD311" s="32"/>
      <c r="KE311" s="32"/>
      <c r="KF311" s="32"/>
      <c r="KG311" s="32"/>
      <c r="KH311" s="32"/>
      <c r="KI311" s="32"/>
      <c r="KJ311" s="32"/>
      <c r="KK311" s="32"/>
      <c r="KL311" s="32"/>
      <c r="KM311" s="32"/>
      <c r="KN311" s="32"/>
      <c r="KO311" s="32"/>
      <c r="KP311" s="32"/>
      <c r="KQ311" s="32"/>
      <c r="KR311" s="32"/>
      <c r="KS311" s="32"/>
      <c r="KT311" s="32"/>
      <c r="KU311" s="32"/>
      <c r="KV311" s="32"/>
      <c r="KW311" s="32"/>
      <c r="KX311" s="32"/>
      <c r="KY311" s="32"/>
      <c r="KZ311" s="32"/>
      <c r="LA311" s="32"/>
      <c r="LB311" s="32"/>
      <c r="LC311" s="32"/>
      <c r="LD311" s="32"/>
      <c r="LE311" s="32"/>
      <c r="LF311" s="32"/>
      <c r="LG311" s="32"/>
      <c r="LH311" s="32"/>
      <c r="LI311" s="32"/>
      <c r="LJ311" s="32"/>
      <c r="LK311" s="32"/>
      <c r="LL311" s="32"/>
      <c r="LM311" s="32"/>
      <c r="LN311" s="32"/>
      <c r="LO311" s="32"/>
      <c r="LP311" s="32"/>
      <c r="LQ311" s="32"/>
      <c r="LR311" s="32"/>
      <c r="LS311" s="32"/>
      <c r="LT311" s="32"/>
      <c r="LU311" s="32"/>
      <c r="LV311" s="32"/>
      <c r="LW311" s="32"/>
      <c r="LX311" s="32"/>
      <c r="LY311" s="32"/>
      <c r="LZ311" s="32"/>
      <c r="MA311" s="32"/>
      <c r="MB311" s="32"/>
      <c r="MC311" s="32"/>
      <c r="MD311" s="32"/>
      <c r="ME311" s="32"/>
      <c r="MF311" s="32"/>
      <c r="MG311" s="32"/>
      <c r="MH311" s="32"/>
      <c r="MI311" s="32"/>
      <c r="MJ311" s="32"/>
      <c r="MK311" s="32"/>
      <c r="ML311" s="32"/>
      <c r="MM311" s="32"/>
      <c r="MN311" s="32"/>
      <c r="MO311" s="32"/>
      <c r="MP311" s="32"/>
      <c r="MQ311" s="32"/>
      <c r="MR311" s="32"/>
      <c r="MS311" s="32"/>
      <c r="MT311" s="32"/>
      <c r="MU311" s="32"/>
      <c r="MV311" s="32"/>
      <c r="MW311" s="32"/>
      <c r="MX311" s="32"/>
      <c r="MY311" s="32"/>
      <c r="MZ311" s="32"/>
      <c r="NA311" s="32"/>
      <c r="NB311" s="32"/>
      <c r="NC311" s="32"/>
      <c r="ND311" s="32"/>
      <c r="NE311" s="32"/>
      <c r="NF311" s="32"/>
      <c r="NG311" s="32"/>
      <c r="NH311" s="32"/>
      <c r="NI311" s="32"/>
      <c r="NJ311" s="32"/>
      <c r="NK311" s="32"/>
      <c r="NL311" s="32"/>
      <c r="NM311" s="32"/>
      <c r="NN311" s="32"/>
      <c r="NO311" s="32"/>
      <c r="NP311" s="32"/>
      <c r="NQ311" s="32"/>
      <c r="NR311" s="32"/>
      <c r="NS311" s="32"/>
      <c r="NT311" s="32"/>
      <c r="NU311" s="32"/>
      <c r="NV311" s="32"/>
      <c r="NW311" s="32"/>
      <c r="NX311" s="32"/>
      <c r="NY311" s="32"/>
      <c r="NZ311" s="32"/>
      <c r="OA311" s="32"/>
      <c r="OB311" s="32"/>
      <c r="OC311" s="32"/>
      <c r="OD311" s="32"/>
      <c r="OE311" s="32"/>
      <c r="OF311" s="32"/>
      <c r="OG311" s="32"/>
      <c r="OH311" s="32"/>
      <c r="OI311" s="32"/>
      <c r="OJ311" s="32"/>
      <c r="OK311" s="32"/>
      <c r="OL311" s="32"/>
      <c r="OM311" s="32"/>
      <c r="ON311" s="32"/>
      <c r="OO311" s="32"/>
      <c r="OP311" s="32"/>
      <c r="OQ311" s="32"/>
      <c r="OR311" s="32"/>
      <c r="OS311" s="32"/>
      <c r="OT311" s="32"/>
      <c r="OU311" s="32"/>
      <c r="OV311" s="32"/>
      <c r="OW311" s="32"/>
      <c r="OX311" s="32"/>
      <c r="OY311" s="32"/>
      <c r="OZ311" s="32"/>
      <c r="PA311" s="32"/>
      <c r="PB311" s="32"/>
      <c r="PC311" s="32"/>
      <c r="PD311" s="32"/>
      <c r="PE311" s="32"/>
      <c r="PF311" s="32"/>
      <c r="PG311" s="32"/>
      <c r="PH311" s="32"/>
      <c r="PI311" s="32"/>
      <c r="PJ311" s="32"/>
      <c r="PK311" s="32"/>
      <c r="PL311" s="32"/>
      <c r="PM311" s="32"/>
      <c r="PN311" s="32"/>
      <c r="PO311" s="32"/>
      <c r="PP311" s="32"/>
      <c r="PQ311" s="32"/>
      <c r="PR311" s="32"/>
      <c r="PS311" s="32"/>
      <c r="PT311" s="32"/>
      <c r="PU311" s="32"/>
      <c r="PV311" s="32"/>
      <c r="PW311" s="32"/>
      <c r="PX311" s="32"/>
      <c r="PY311" s="32"/>
      <c r="PZ311" s="32"/>
      <c r="QA311" s="32"/>
      <c r="QB311" s="32"/>
      <c r="QC311" s="32"/>
      <c r="QD311" s="32"/>
      <c r="QE311" s="32"/>
      <c r="QF311" s="32"/>
      <c r="QG311" s="32"/>
      <c r="QH311" s="32"/>
      <c r="QI311" s="32"/>
      <c r="QJ311" s="32"/>
      <c r="QK311" s="32"/>
      <c r="QL311" s="32"/>
      <c r="QM311" s="32"/>
      <c r="QN311" s="32"/>
      <c r="QO311" s="32"/>
      <c r="QP311" s="32"/>
      <c r="QQ311" s="32"/>
      <c r="QR311" s="32"/>
      <c r="QS311" s="32"/>
      <c r="QT311" s="32"/>
      <c r="QU311" s="32"/>
      <c r="QV311" s="32"/>
      <c r="QW311" s="32"/>
      <c r="QX311" s="32"/>
      <c r="QY311" s="32"/>
      <c r="QZ311" s="32"/>
      <c r="RA311" s="32"/>
      <c r="RB311" s="32"/>
      <c r="RC311" s="32"/>
      <c r="RD311" s="32"/>
      <c r="RE311" s="32"/>
      <c r="RF311" s="32"/>
      <c r="RG311" s="32"/>
      <c r="RH311" s="32"/>
      <c r="RI311" s="32"/>
      <c r="RJ311" s="32"/>
      <c r="RK311" s="32"/>
      <c r="RL311" s="32"/>
      <c r="RM311" s="32"/>
      <c r="RN311" s="32"/>
      <c r="RO311" s="32"/>
      <c r="RP311" s="32"/>
      <c r="RQ311" s="32"/>
      <c r="RR311" s="32"/>
      <c r="RS311" s="32"/>
      <c r="RT311" s="32"/>
      <c r="RU311" s="32"/>
      <c r="RV311" s="32"/>
      <c r="RW311" s="32"/>
      <c r="RX311" s="32"/>
      <c r="RY311" s="32"/>
      <c r="RZ311" s="32"/>
      <c r="SA311" s="32"/>
      <c r="SB311" s="32"/>
      <c r="SC311" s="32"/>
      <c r="SD311" s="32"/>
      <c r="SE311" s="32"/>
      <c r="SF311" s="32"/>
      <c r="SG311" s="32"/>
      <c r="SH311" s="32"/>
      <c r="SI311" s="32"/>
      <c r="SJ311" s="32"/>
      <c r="SK311" s="32"/>
      <c r="SL311" s="32"/>
      <c r="SM311" s="32"/>
      <c r="SN311" s="32"/>
      <c r="SO311" s="32"/>
      <c r="SP311" s="32"/>
      <c r="SQ311" s="32"/>
      <c r="SR311" s="32"/>
      <c r="SS311" s="32"/>
      <c r="ST311" s="32"/>
      <c r="SU311" s="32"/>
      <c r="SV311" s="32"/>
      <c r="SW311" s="32"/>
      <c r="SX311" s="32"/>
      <c r="SY311" s="32"/>
      <c r="SZ311" s="32"/>
      <c r="TA311" s="32"/>
      <c r="TB311" s="32"/>
      <c r="TC311" s="32"/>
      <c r="TD311" s="32"/>
      <c r="TE311" s="32"/>
      <c r="TF311" s="32"/>
      <c r="TG311" s="32"/>
    </row>
    <row r="312" spans="1:527" s="27" customFormat="1" ht="43.5" customHeight="1" x14ac:dyDescent="0.25">
      <c r="A312" s="70"/>
      <c r="B312" s="71"/>
      <c r="C312" s="72"/>
      <c r="D312" s="73"/>
      <c r="E312" s="157">
        <f>E308-'дод 5'!D245</f>
        <v>0</v>
      </c>
      <c r="F312" s="157">
        <f>F308-'дод 5'!E245</f>
        <v>0</v>
      </c>
      <c r="G312" s="157">
        <f>G308-'дод 5'!F245</f>
        <v>0</v>
      </c>
      <c r="H312" s="157">
        <f>H308-'дод 5'!G245</f>
        <v>0</v>
      </c>
      <c r="I312" s="157">
        <f>I308-'дод 5'!H245</f>
        <v>0</v>
      </c>
      <c r="J312" s="157">
        <f>J308-'дод 5'!I245</f>
        <v>0</v>
      </c>
      <c r="K312" s="157">
        <f>K308-'дод 5'!J245</f>
        <v>0</v>
      </c>
      <c r="L312" s="157">
        <f>L308-'дод 5'!K245</f>
        <v>0</v>
      </c>
      <c r="M312" s="157">
        <f>M308-'дод 5'!L245</f>
        <v>0</v>
      </c>
      <c r="N312" s="157">
        <f>N308-'дод 5'!M245</f>
        <v>0</v>
      </c>
      <c r="O312" s="157">
        <f>O308-'дод 5'!N245</f>
        <v>0</v>
      </c>
      <c r="P312" s="157">
        <f>P308-'дод 5'!O245</f>
        <v>0</v>
      </c>
      <c r="Q312" s="187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  <c r="CV312" s="32"/>
      <c r="CW312" s="32"/>
      <c r="CX312" s="32"/>
      <c r="CY312" s="32"/>
      <c r="CZ312" s="32"/>
      <c r="DA312" s="32"/>
      <c r="DB312" s="32"/>
      <c r="DC312" s="32"/>
      <c r="DD312" s="32"/>
      <c r="DE312" s="32"/>
      <c r="DF312" s="32"/>
      <c r="DG312" s="32"/>
      <c r="DH312" s="32"/>
      <c r="DI312" s="32"/>
      <c r="DJ312" s="32"/>
      <c r="DK312" s="32"/>
      <c r="DL312" s="32"/>
      <c r="DM312" s="32"/>
      <c r="DN312" s="32"/>
      <c r="DO312" s="32"/>
      <c r="DP312" s="32"/>
      <c r="DQ312" s="32"/>
      <c r="DR312" s="32"/>
      <c r="DS312" s="32"/>
      <c r="DT312" s="32"/>
      <c r="DU312" s="32"/>
      <c r="DV312" s="32"/>
      <c r="DW312" s="32"/>
      <c r="DX312" s="32"/>
      <c r="DY312" s="32"/>
      <c r="DZ312" s="32"/>
      <c r="EA312" s="32"/>
      <c r="EB312" s="32"/>
      <c r="EC312" s="32"/>
      <c r="ED312" s="32"/>
      <c r="EE312" s="32"/>
      <c r="EF312" s="32"/>
      <c r="EG312" s="32"/>
      <c r="EH312" s="32"/>
      <c r="EI312" s="32"/>
      <c r="EJ312" s="32"/>
      <c r="EK312" s="32"/>
      <c r="EL312" s="32"/>
      <c r="EM312" s="32"/>
      <c r="EN312" s="32"/>
      <c r="EO312" s="32"/>
      <c r="EP312" s="32"/>
      <c r="EQ312" s="32"/>
      <c r="ER312" s="32"/>
      <c r="ES312" s="32"/>
      <c r="ET312" s="32"/>
      <c r="EU312" s="32"/>
      <c r="EV312" s="32"/>
      <c r="EW312" s="32"/>
      <c r="EX312" s="32"/>
      <c r="EY312" s="32"/>
      <c r="EZ312" s="32"/>
      <c r="FA312" s="32"/>
      <c r="FB312" s="32"/>
      <c r="FC312" s="32"/>
      <c r="FD312" s="32"/>
      <c r="FE312" s="32"/>
      <c r="FF312" s="32"/>
      <c r="FG312" s="32"/>
      <c r="FH312" s="32"/>
      <c r="FI312" s="32"/>
      <c r="FJ312" s="32"/>
      <c r="FK312" s="32"/>
      <c r="FL312" s="32"/>
      <c r="FM312" s="32"/>
      <c r="FN312" s="32"/>
      <c r="FO312" s="32"/>
      <c r="FP312" s="32"/>
      <c r="FQ312" s="32"/>
      <c r="FR312" s="32"/>
      <c r="FS312" s="32"/>
      <c r="FT312" s="32"/>
      <c r="FU312" s="32"/>
      <c r="FV312" s="32"/>
      <c r="FW312" s="32"/>
      <c r="FX312" s="32"/>
      <c r="FY312" s="32"/>
      <c r="FZ312" s="32"/>
      <c r="GA312" s="32"/>
      <c r="GB312" s="32"/>
      <c r="GC312" s="32"/>
      <c r="GD312" s="32"/>
      <c r="GE312" s="32"/>
      <c r="GF312" s="32"/>
      <c r="GG312" s="32"/>
      <c r="GH312" s="32"/>
      <c r="GI312" s="32"/>
      <c r="GJ312" s="32"/>
      <c r="GK312" s="32"/>
      <c r="GL312" s="32"/>
      <c r="GM312" s="32"/>
      <c r="GN312" s="32"/>
      <c r="GO312" s="32"/>
      <c r="GP312" s="32"/>
      <c r="GQ312" s="32"/>
      <c r="GR312" s="32"/>
      <c r="GS312" s="32"/>
      <c r="GT312" s="32"/>
      <c r="GU312" s="32"/>
      <c r="GV312" s="32"/>
      <c r="GW312" s="32"/>
      <c r="GX312" s="32"/>
      <c r="GY312" s="32"/>
      <c r="GZ312" s="32"/>
      <c r="HA312" s="32"/>
      <c r="HB312" s="32"/>
      <c r="HC312" s="32"/>
      <c r="HD312" s="32"/>
      <c r="HE312" s="32"/>
      <c r="HF312" s="32"/>
      <c r="HG312" s="32"/>
      <c r="HH312" s="32"/>
      <c r="HI312" s="32"/>
      <c r="HJ312" s="32"/>
      <c r="HK312" s="32"/>
      <c r="HL312" s="32"/>
      <c r="HM312" s="32"/>
      <c r="HN312" s="32"/>
      <c r="HO312" s="32"/>
      <c r="HP312" s="32"/>
      <c r="HQ312" s="32"/>
      <c r="HR312" s="32"/>
      <c r="HS312" s="32"/>
      <c r="HT312" s="32"/>
      <c r="HU312" s="32"/>
      <c r="HV312" s="32"/>
      <c r="HW312" s="32"/>
      <c r="HX312" s="32"/>
      <c r="HY312" s="32"/>
      <c r="HZ312" s="32"/>
      <c r="IA312" s="32"/>
      <c r="IB312" s="32"/>
      <c r="IC312" s="32"/>
      <c r="ID312" s="32"/>
      <c r="IE312" s="32"/>
      <c r="IF312" s="32"/>
      <c r="IG312" s="32"/>
      <c r="IH312" s="32"/>
      <c r="II312" s="32"/>
      <c r="IJ312" s="32"/>
      <c r="IK312" s="32"/>
      <c r="IL312" s="32"/>
      <c r="IM312" s="32"/>
      <c r="IN312" s="32"/>
      <c r="IO312" s="32"/>
      <c r="IP312" s="32"/>
      <c r="IQ312" s="32"/>
      <c r="IR312" s="32"/>
      <c r="IS312" s="32"/>
      <c r="IT312" s="32"/>
      <c r="IU312" s="32"/>
      <c r="IV312" s="32"/>
      <c r="IW312" s="32"/>
      <c r="IX312" s="32"/>
      <c r="IY312" s="32"/>
      <c r="IZ312" s="32"/>
      <c r="JA312" s="32"/>
      <c r="JB312" s="32"/>
      <c r="JC312" s="32"/>
      <c r="JD312" s="32"/>
      <c r="JE312" s="32"/>
      <c r="JF312" s="32"/>
      <c r="JG312" s="32"/>
      <c r="JH312" s="32"/>
      <c r="JI312" s="32"/>
      <c r="JJ312" s="32"/>
      <c r="JK312" s="32"/>
      <c r="JL312" s="32"/>
      <c r="JM312" s="32"/>
      <c r="JN312" s="32"/>
      <c r="JO312" s="32"/>
      <c r="JP312" s="32"/>
      <c r="JQ312" s="32"/>
      <c r="JR312" s="32"/>
      <c r="JS312" s="32"/>
      <c r="JT312" s="32"/>
      <c r="JU312" s="32"/>
      <c r="JV312" s="32"/>
      <c r="JW312" s="32"/>
      <c r="JX312" s="32"/>
      <c r="JY312" s="32"/>
      <c r="JZ312" s="32"/>
      <c r="KA312" s="32"/>
      <c r="KB312" s="32"/>
      <c r="KC312" s="32"/>
      <c r="KD312" s="32"/>
      <c r="KE312" s="32"/>
      <c r="KF312" s="32"/>
      <c r="KG312" s="32"/>
      <c r="KH312" s="32"/>
      <c r="KI312" s="32"/>
      <c r="KJ312" s="32"/>
      <c r="KK312" s="32"/>
      <c r="KL312" s="32"/>
      <c r="KM312" s="32"/>
      <c r="KN312" s="32"/>
      <c r="KO312" s="32"/>
      <c r="KP312" s="32"/>
      <c r="KQ312" s="32"/>
      <c r="KR312" s="32"/>
      <c r="KS312" s="32"/>
      <c r="KT312" s="32"/>
      <c r="KU312" s="32"/>
      <c r="KV312" s="32"/>
      <c r="KW312" s="32"/>
      <c r="KX312" s="32"/>
      <c r="KY312" s="32"/>
      <c r="KZ312" s="32"/>
      <c r="LA312" s="32"/>
      <c r="LB312" s="32"/>
      <c r="LC312" s="32"/>
      <c r="LD312" s="32"/>
      <c r="LE312" s="32"/>
      <c r="LF312" s="32"/>
      <c r="LG312" s="32"/>
      <c r="LH312" s="32"/>
      <c r="LI312" s="32"/>
      <c r="LJ312" s="32"/>
      <c r="LK312" s="32"/>
      <c r="LL312" s="32"/>
      <c r="LM312" s="32"/>
      <c r="LN312" s="32"/>
      <c r="LO312" s="32"/>
      <c r="LP312" s="32"/>
      <c r="LQ312" s="32"/>
      <c r="LR312" s="32"/>
      <c r="LS312" s="32"/>
      <c r="LT312" s="32"/>
      <c r="LU312" s="32"/>
      <c r="LV312" s="32"/>
      <c r="LW312" s="32"/>
      <c r="LX312" s="32"/>
      <c r="LY312" s="32"/>
      <c r="LZ312" s="32"/>
      <c r="MA312" s="32"/>
      <c r="MB312" s="32"/>
      <c r="MC312" s="32"/>
      <c r="MD312" s="32"/>
      <c r="ME312" s="32"/>
      <c r="MF312" s="32"/>
      <c r="MG312" s="32"/>
      <c r="MH312" s="32"/>
      <c r="MI312" s="32"/>
      <c r="MJ312" s="32"/>
      <c r="MK312" s="32"/>
      <c r="ML312" s="32"/>
      <c r="MM312" s="32"/>
      <c r="MN312" s="32"/>
      <c r="MO312" s="32"/>
      <c r="MP312" s="32"/>
      <c r="MQ312" s="32"/>
      <c r="MR312" s="32"/>
      <c r="MS312" s="32"/>
      <c r="MT312" s="32"/>
      <c r="MU312" s="32"/>
      <c r="MV312" s="32"/>
      <c r="MW312" s="32"/>
      <c r="MX312" s="32"/>
      <c r="MY312" s="32"/>
      <c r="MZ312" s="32"/>
      <c r="NA312" s="32"/>
      <c r="NB312" s="32"/>
      <c r="NC312" s="32"/>
      <c r="ND312" s="32"/>
      <c r="NE312" s="32"/>
      <c r="NF312" s="32"/>
      <c r="NG312" s="32"/>
      <c r="NH312" s="32"/>
      <c r="NI312" s="32"/>
      <c r="NJ312" s="32"/>
      <c r="NK312" s="32"/>
      <c r="NL312" s="32"/>
      <c r="NM312" s="32"/>
      <c r="NN312" s="32"/>
      <c r="NO312" s="32"/>
      <c r="NP312" s="32"/>
      <c r="NQ312" s="32"/>
      <c r="NR312" s="32"/>
      <c r="NS312" s="32"/>
      <c r="NT312" s="32"/>
      <c r="NU312" s="32"/>
      <c r="NV312" s="32"/>
      <c r="NW312" s="32"/>
      <c r="NX312" s="32"/>
      <c r="NY312" s="32"/>
      <c r="NZ312" s="32"/>
      <c r="OA312" s="32"/>
      <c r="OB312" s="32"/>
      <c r="OC312" s="32"/>
      <c r="OD312" s="32"/>
      <c r="OE312" s="32"/>
      <c r="OF312" s="32"/>
      <c r="OG312" s="32"/>
      <c r="OH312" s="32"/>
      <c r="OI312" s="32"/>
      <c r="OJ312" s="32"/>
      <c r="OK312" s="32"/>
      <c r="OL312" s="32"/>
      <c r="OM312" s="32"/>
      <c r="ON312" s="32"/>
      <c r="OO312" s="32"/>
      <c r="OP312" s="32"/>
      <c r="OQ312" s="32"/>
      <c r="OR312" s="32"/>
      <c r="OS312" s="32"/>
      <c r="OT312" s="32"/>
      <c r="OU312" s="32"/>
      <c r="OV312" s="32"/>
      <c r="OW312" s="32"/>
      <c r="OX312" s="32"/>
      <c r="OY312" s="32"/>
      <c r="OZ312" s="32"/>
      <c r="PA312" s="32"/>
      <c r="PB312" s="32"/>
      <c r="PC312" s="32"/>
      <c r="PD312" s="32"/>
      <c r="PE312" s="32"/>
      <c r="PF312" s="32"/>
      <c r="PG312" s="32"/>
      <c r="PH312" s="32"/>
      <c r="PI312" s="32"/>
      <c r="PJ312" s="32"/>
      <c r="PK312" s="32"/>
      <c r="PL312" s="32"/>
      <c r="PM312" s="32"/>
      <c r="PN312" s="32"/>
      <c r="PO312" s="32"/>
      <c r="PP312" s="32"/>
      <c r="PQ312" s="32"/>
      <c r="PR312" s="32"/>
      <c r="PS312" s="32"/>
      <c r="PT312" s="32"/>
      <c r="PU312" s="32"/>
      <c r="PV312" s="32"/>
      <c r="PW312" s="32"/>
      <c r="PX312" s="32"/>
      <c r="PY312" s="32"/>
      <c r="PZ312" s="32"/>
      <c r="QA312" s="32"/>
      <c r="QB312" s="32"/>
      <c r="QC312" s="32"/>
      <c r="QD312" s="32"/>
      <c r="QE312" s="32"/>
      <c r="QF312" s="32"/>
      <c r="QG312" s="32"/>
      <c r="QH312" s="32"/>
      <c r="QI312" s="32"/>
      <c r="QJ312" s="32"/>
      <c r="QK312" s="32"/>
      <c r="QL312" s="32"/>
      <c r="QM312" s="32"/>
      <c r="QN312" s="32"/>
      <c r="QO312" s="32"/>
      <c r="QP312" s="32"/>
      <c r="QQ312" s="32"/>
      <c r="QR312" s="32"/>
      <c r="QS312" s="32"/>
      <c r="QT312" s="32"/>
      <c r="QU312" s="32"/>
      <c r="QV312" s="32"/>
      <c r="QW312" s="32"/>
      <c r="QX312" s="32"/>
      <c r="QY312" s="32"/>
      <c r="QZ312" s="32"/>
      <c r="RA312" s="32"/>
      <c r="RB312" s="32"/>
      <c r="RC312" s="32"/>
      <c r="RD312" s="32"/>
      <c r="RE312" s="32"/>
      <c r="RF312" s="32"/>
      <c r="RG312" s="32"/>
      <c r="RH312" s="32"/>
      <c r="RI312" s="32"/>
      <c r="RJ312" s="32"/>
      <c r="RK312" s="32"/>
      <c r="RL312" s="32"/>
      <c r="RM312" s="32"/>
      <c r="RN312" s="32"/>
      <c r="RO312" s="32"/>
      <c r="RP312" s="32"/>
      <c r="RQ312" s="32"/>
      <c r="RR312" s="32"/>
      <c r="RS312" s="32"/>
      <c r="RT312" s="32"/>
      <c r="RU312" s="32"/>
      <c r="RV312" s="32"/>
      <c r="RW312" s="32"/>
      <c r="RX312" s="32"/>
      <c r="RY312" s="32"/>
      <c r="RZ312" s="32"/>
      <c r="SA312" s="32"/>
      <c r="SB312" s="32"/>
      <c r="SC312" s="32"/>
      <c r="SD312" s="32"/>
      <c r="SE312" s="32"/>
      <c r="SF312" s="32"/>
      <c r="SG312" s="32"/>
      <c r="SH312" s="32"/>
      <c r="SI312" s="32"/>
      <c r="SJ312" s="32"/>
      <c r="SK312" s="32"/>
      <c r="SL312" s="32"/>
      <c r="SM312" s="32"/>
      <c r="SN312" s="32"/>
      <c r="SO312" s="32"/>
      <c r="SP312" s="32"/>
      <c r="SQ312" s="32"/>
      <c r="SR312" s="32"/>
      <c r="SS312" s="32"/>
      <c r="ST312" s="32"/>
      <c r="SU312" s="32"/>
      <c r="SV312" s="32"/>
      <c r="SW312" s="32"/>
      <c r="SX312" s="32"/>
      <c r="SY312" s="32"/>
      <c r="SZ312" s="32"/>
      <c r="TA312" s="32"/>
      <c r="TB312" s="32"/>
      <c r="TC312" s="32"/>
      <c r="TD312" s="32"/>
      <c r="TE312" s="32"/>
      <c r="TF312" s="32"/>
      <c r="TG312" s="32"/>
    </row>
    <row r="313" spans="1:527" s="27" customFormat="1" ht="45" customHeight="1" x14ac:dyDescent="0.25">
      <c r="A313" s="70"/>
      <c r="B313" s="71"/>
      <c r="C313" s="72"/>
      <c r="D313" s="73"/>
      <c r="E313" s="157">
        <f>E309-'дод 5'!D246</f>
        <v>0</v>
      </c>
      <c r="F313" s="157">
        <f>F309-'дод 5'!E246</f>
        <v>0</v>
      </c>
      <c r="G313" s="157">
        <f>G309-'дод 5'!F246</f>
        <v>0</v>
      </c>
      <c r="H313" s="157">
        <f>H309-'дод 5'!G246</f>
        <v>0</v>
      </c>
      <c r="I313" s="157">
        <f>I309-'дод 5'!H246</f>
        <v>0</v>
      </c>
      <c r="J313" s="157">
        <f>J309-'дод 5'!I246</f>
        <v>0</v>
      </c>
      <c r="K313" s="157">
        <f>K309-'дод 5'!J246</f>
        <v>0</v>
      </c>
      <c r="L313" s="157">
        <f>L309-'дод 5'!K246</f>
        <v>0</v>
      </c>
      <c r="M313" s="157">
        <f>M309-'дод 5'!L246</f>
        <v>0</v>
      </c>
      <c r="N313" s="157">
        <f>N309-'дод 5'!M246</f>
        <v>0</v>
      </c>
      <c r="O313" s="157">
        <f>O309-'дод 5'!N246</f>
        <v>0</v>
      </c>
      <c r="P313" s="157">
        <f>P309-'дод 5'!O246</f>
        <v>0</v>
      </c>
      <c r="Q313" s="187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32"/>
      <c r="DD313" s="32"/>
      <c r="DE313" s="32"/>
      <c r="DF313" s="32"/>
      <c r="DG313" s="32"/>
      <c r="DH313" s="32"/>
      <c r="DI313" s="32"/>
      <c r="DJ313" s="32"/>
      <c r="DK313" s="32"/>
      <c r="DL313" s="32"/>
      <c r="DM313" s="32"/>
      <c r="DN313" s="32"/>
      <c r="DO313" s="32"/>
      <c r="DP313" s="32"/>
      <c r="DQ313" s="32"/>
      <c r="DR313" s="32"/>
      <c r="DS313" s="32"/>
      <c r="DT313" s="32"/>
      <c r="DU313" s="32"/>
      <c r="DV313" s="32"/>
      <c r="DW313" s="32"/>
      <c r="DX313" s="32"/>
      <c r="DY313" s="32"/>
      <c r="DZ313" s="32"/>
      <c r="EA313" s="32"/>
      <c r="EB313" s="32"/>
      <c r="EC313" s="32"/>
      <c r="ED313" s="32"/>
      <c r="EE313" s="32"/>
      <c r="EF313" s="32"/>
      <c r="EG313" s="32"/>
      <c r="EH313" s="32"/>
      <c r="EI313" s="32"/>
      <c r="EJ313" s="32"/>
      <c r="EK313" s="32"/>
      <c r="EL313" s="32"/>
      <c r="EM313" s="32"/>
      <c r="EN313" s="32"/>
      <c r="EO313" s="32"/>
      <c r="EP313" s="32"/>
      <c r="EQ313" s="32"/>
      <c r="ER313" s="32"/>
      <c r="ES313" s="32"/>
      <c r="ET313" s="32"/>
      <c r="EU313" s="32"/>
      <c r="EV313" s="32"/>
      <c r="EW313" s="32"/>
      <c r="EX313" s="32"/>
      <c r="EY313" s="32"/>
      <c r="EZ313" s="32"/>
      <c r="FA313" s="32"/>
      <c r="FB313" s="32"/>
      <c r="FC313" s="32"/>
      <c r="FD313" s="32"/>
      <c r="FE313" s="32"/>
      <c r="FF313" s="32"/>
      <c r="FG313" s="32"/>
      <c r="FH313" s="32"/>
      <c r="FI313" s="32"/>
      <c r="FJ313" s="32"/>
      <c r="FK313" s="32"/>
      <c r="FL313" s="32"/>
      <c r="FM313" s="32"/>
      <c r="FN313" s="32"/>
      <c r="FO313" s="32"/>
      <c r="FP313" s="32"/>
      <c r="FQ313" s="32"/>
      <c r="FR313" s="32"/>
      <c r="FS313" s="32"/>
      <c r="FT313" s="32"/>
      <c r="FU313" s="32"/>
      <c r="FV313" s="32"/>
      <c r="FW313" s="32"/>
      <c r="FX313" s="32"/>
      <c r="FY313" s="32"/>
      <c r="FZ313" s="32"/>
      <c r="GA313" s="32"/>
      <c r="GB313" s="32"/>
      <c r="GC313" s="32"/>
      <c r="GD313" s="32"/>
      <c r="GE313" s="32"/>
      <c r="GF313" s="32"/>
      <c r="GG313" s="32"/>
      <c r="GH313" s="32"/>
      <c r="GI313" s="32"/>
      <c r="GJ313" s="32"/>
      <c r="GK313" s="32"/>
      <c r="GL313" s="32"/>
      <c r="GM313" s="32"/>
      <c r="GN313" s="32"/>
      <c r="GO313" s="32"/>
      <c r="GP313" s="32"/>
      <c r="GQ313" s="32"/>
      <c r="GR313" s="32"/>
      <c r="GS313" s="32"/>
      <c r="GT313" s="32"/>
      <c r="GU313" s="32"/>
      <c r="GV313" s="32"/>
      <c r="GW313" s="32"/>
      <c r="GX313" s="32"/>
      <c r="GY313" s="32"/>
      <c r="GZ313" s="32"/>
      <c r="HA313" s="32"/>
      <c r="HB313" s="32"/>
      <c r="HC313" s="32"/>
      <c r="HD313" s="32"/>
      <c r="HE313" s="32"/>
      <c r="HF313" s="32"/>
      <c r="HG313" s="32"/>
      <c r="HH313" s="32"/>
      <c r="HI313" s="32"/>
      <c r="HJ313" s="32"/>
      <c r="HK313" s="32"/>
      <c r="HL313" s="32"/>
      <c r="HM313" s="32"/>
      <c r="HN313" s="32"/>
      <c r="HO313" s="32"/>
      <c r="HP313" s="32"/>
      <c r="HQ313" s="32"/>
      <c r="HR313" s="32"/>
      <c r="HS313" s="32"/>
      <c r="HT313" s="32"/>
      <c r="HU313" s="32"/>
      <c r="HV313" s="32"/>
      <c r="HW313" s="32"/>
      <c r="HX313" s="32"/>
      <c r="HY313" s="32"/>
      <c r="HZ313" s="32"/>
      <c r="IA313" s="32"/>
      <c r="IB313" s="32"/>
      <c r="IC313" s="32"/>
      <c r="ID313" s="32"/>
      <c r="IE313" s="32"/>
      <c r="IF313" s="32"/>
      <c r="IG313" s="32"/>
      <c r="IH313" s="32"/>
      <c r="II313" s="32"/>
      <c r="IJ313" s="32"/>
      <c r="IK313" s="32"/>
      <c r="IL313" s="32"/>
      <c r="IM313" s="32"/>
      <c r="IN313" s="32"/>
      <c r="IO313" s="32"/>
      <c r="IP313" s="32"/>
      <c r="IQ313" s="32"/>
      <c r="IR313" s="32"/>
      <c r="IS313" s="32"/>
      <c r="IT313" s="32"/>
      <c r="IU313" s="32"/>
      <c r="IV313" s="32"/>
      <c r="IW313" s="32"/>
      <c r="IX313" s="32"/>
      <c r="IY313" s="32"/>
      <c r="IZ313" s="32"/>
      <c r="JA313" s="32"/>
      <c r="JB313" s="32"/>
      <c r="JC313" s="32"/>
      <c r="JD313" s="32"/>
      <c r="JE313" s="32"/>
      <c r="JF313" s="32"/>
      <c r="JG313" s="32"/>
      <c r="JH313" s="32"/>
      <c r="JI313" s="32"/>
      <c r="JJ313" s="32"/>
      <c r="JK313" s="32"/>
      <c r="JL313" s="32"/>
      <c r="JM313" s="32"/>
      <c r="JN313" s="32"/>
      <c r="JO313" s="32"/>
      <c r="JP313" s="32"/>
      <c r="JQ313" s="32"/>
      <c r="JR313" s="32"/>
      <c r="JS313" s="32"/>
      <c r="JT313" s="32"/>
      <c r="JU313" s="32"/>
      <c r="JV313" s="32"/>
      <c r="JW313" s="32"/>
      <c r="JX313" s="32"/>
      <c r="JY313" s="32"/>
      <c r="JZ313" s="32"/>
      <c r="KA313" s="32"/>
      <c r="KB313" s="32"/>
      <c r="KC313" s="32"/>
      <c r="KD313" s="32"/>
      <c r="KE313" s="32"/>
      <c r="KF313" s="32"/>
      <c r="KG313" s="32"/>
      <c r="KH313" s="32"/>
      <c r="KI313" s="32"/>
      <c r="KJ313" s="32"/>
      <c r="KK313" s="32"/>
      <c r="KL313" s="32"/>
      <c r="KM313" s="32"/>
      <c r="KN313" s="32"/>
      <c r="KO313" s="32"/>
      <c r="KP313" s="32"/>
      <c r="KQ313" s="32"/>
      <c r="KR313" s="32"/>
      <c r="KS313" s="32"/>
      <c r="KT313" s="32"/>
      <c r="KU313" s="32"/>
      <c r="KV313" s="32"/>
      <c r="KW313" s="32"/>
      <c r="KX313" s="32"/>
      <c r="KY313" s="32"/>
      <c r="KZ313" s="32"/>
      <c r="LA313" s="32"/>
      <c r="LB313" s="32"/>
      <c r="LC313" s="32"/>
      <c r="LD313" s="32"/>
      <c r="LE313" s="32"/>
      <c r="LF313" s="32"/>
      <c r="LG313" s="32"/>
      <c r="LH313" s="32"/>
      <c r="LI313" s="32"/>
      <c r="LJ313" s="32"/>
      <c r="LK313" s="32"/>
      <c r="LL313" s="32"/>
      <c r="LM313" s="32"/>
      <c r="LN313" s="32"/>
      <c r="LO313" s="32"/>
      <c r="LP313" s="32"/>
      <c r="LQ313" s="32"/>
      <c r="LR313" s="32"/>
      <c r="LS313" s="32"/>
      <c r="LT313" s="32"/>
      <c r="LU313" s="32"/>
      <c r="LV313" s="32"/>
      <c r="LW313" s="32"/>
      <c r="LX313" s="32"/>
      <c r="LY313" s="32"/>
      <c r="LZ313" s="32"/>
      <c r="MA313" s="32"/>
      <c r="MB313" s="32"/>
      <c r="MC313" s="32"/>
      <c r="MD313" s="32"/>
      <c r="ME313" s="32"/>
      <c r="MF313" s="32"/>
      <c r="MG313" s="32"/>
      <c r="MH313" s="32"/>
      <c r="MI313" s="32"/>
      <c r="MJ313" s="32"/>
      <c r="MK313" s="32"/>
      <c r="ML313" s="32"/>
      <c r="MM313" s="32"/>
      <c r="MN313" s="32"/>
      <c r="MO313" s="32"/>
      <c r="MP313" s="32"/>
      <c r="MQ313" s="32"/>
      <c r="MR313" s="32"/>
      <c r="MS313" s="32"/>
      <c r="MT313" s="32"/>
      <c r="MU313" s="32"/>
      <c r="MV313" s="32"/>
      <c r="MW313" s="32"/>
      <c r="MX313" s="32"/>
      <c r="MY313" s="32"/>
      <c r="MZ313" s="32"/>
      <c r="NA313" s="32"/>
      <c r="NB313" s="32"/>
      <c r="NC313" s="32"/>
      <c r="ND313" s="32"/>
      <c r="NE313" s="32"/>
      <c r="NF313" s="32"/>
      <c r="NG313" s="32"/>
      <c r="NH313" s="32"/>
      <c r="NI313" s="32"/>
      <c r="NJ313" s="32"/>
      <c r="NK313" s="32"/>
      <c r="NL313" s="32"/>
      <c r="NM313" s="32"/>
      <c r="NN313" s="32"/>
      <c r="NO313" s="32"/>
      <c r="NP313" s="32"/>
      <c r="NQ313" s="32"/>
      <c r="NR313" s="32"/>
      <c r="NS313" s="32"/>
      <c r="NT313" s="32"/>
      <c r="NU313" s="32"/>
      <c r="NV313" s="32"/>
      <c r="NW313" s="32"/>
      <c r="NX313" s="32"/>
      <c r="NY313" s="32"/>
      <c r="NZ313" s="32"/>
      <c r="OA313" s="32"/>
      <c r="OB313" s="32"/>
      <c r="OC313" s="32"/>
      <c r="OD313" s="32"/>
      <c r="OE313" s="32"/>
      <c r="OF313" s="32"/>
      <c r="OG313" s="32"/>
      <c r="OH313" s="32"/>
      <c r="OI313" s="32"/>
      <c r="OJ313" s="32"/>
      <c r="OK313" s="32"/>
      <c r="OL313" s="32"/>
      <c r="OM313" s="32"/>
      <c r="ON313" s="32"/>
      <c r="OO313" s="32"/>
      <c r="OP313" s="32"/>
      <c r="OQ313" s="32"/>
      <c r="OR313" s="32"/>
      <c r="OS313" s="32"/>
      <c r="OT313" s="32"/>
      <c r="OU313" s="32"/>
      <c r="OV313" s="32"/>
      <c r="OW313" s="32"/>
      <c r="OX313" s="32"/>
      <c r="OY313" s="32"/>
      <c r="OZ313" s="32"/>
      <c r="PA313" s="32"/>
      <c r="PB313" s="32"/>
      <c r="PC313" s="32"/>
      <c r="PD313" s="32"/>
      <c r="PE313" s="32"/>
      <c r="PF313" s="32"/>
      <c r="PG313" s="32"/>
      <c r="PH313" s="32"/>
      <c r="PI313" s="32"/>
      <c r="PJ313" s="32"/>
      <c r="PK313" s="32"/>
      <c r="PL313" s="32"/>
      <c r="PM313" s="32"/>
      <c r="PN313" s="32"/>
      <c r="PO313" s="32"/>
      <c r="PP313" s="32"/>
      <c r="PQ313" s="32"/>
      <c r="PR313" s="32"/>
      <c r="PS313" s="32"/>
      <c r="PT313" s="32"/>
      <c r="PU313" s="32"/>
      <c r="PV313" s="32"/>
      <c r="PW313" s="32"/>
      <c r="PX313" s="32"/>
      <c r="PY313" s="32"/>
      <c r="PZ313" s="32"/>
      <c r="QA313" s="32"/>
      <c r="QB313" s="32"/>
      <c r="QC313" s="32"/>
      <c r="QD313" s="32"/>
      <c r="QE313" s="32"/>
      <c r="QF313" s="32"/>
      <c r="QG313" s="32"/>
      <c r="QH313" s="32"/>
      <c r="QI313" s="32"/>
      <c r="QJ313" s="32"/>
      <c r="QK313" s="32"/>
      <c r="QL313" s="32"/>
      <c r="QM313" s="32"/>
      <c r="QN313" s="32"/>
      <c r="QO313" s="32"/>
      <c r="QP313" s="32"/>
      <c r="QQ313" s="32"/>
      <c r="QR313" s="32"/>
      <c r="QS313" s="32"/>
      <c r="QT313" s="32"/>
      <c r="QU313" s="32"/>
      <c r="QV313" s="32"/>
      <c r="QW313" s="32"/>
      <c r="QX313" s="32"/>
      <c r="QY313" s="32"/>
      <c r="QZ313" s="32"/>
      <c r="RA313" s="32"/>
      <c r="RB313" s="32"/>
      <c r="RC313" s="32"/>
      <c r="RD313" s="32"/>
      <c r="RE313" s="32"/>
      <c r="RF313" s="32"/>
      <c r="RG313" s="32"/>
      <c r="RH313" s="32"/>
      <c r="RI313" s="32"/>
      <c r="RJ313" s="32"/>
      <c r="RK313" s="32"/>
      <c r="RL313" s="32"/>
      <c r="RM313" s="32"/>
      <c r="RN313" s="32"/>
      <c r="RO313" s="32"/>
      <c r="RP313" s="32"/>
      <c r="RQ313" s="32"/>
      <c r="RR313" s="32"/>
      <c r="RS313" s="32"/>
      <c r="RT313" s="32"/>
      <c r="RU313" s="32"/>
      <c r="RV313" s="32"/>
      <c r="RW313" s="32"/>
      <c r="RX313" s="32"/>
      <c r="RY313" s="32"/>
      <c r="RZ313" s="32"/>
      <c r="SA313" s="32"/>
      <c r="SB313" s="32"/>
      <c r="SC313" s="32"/>
      <c r="SD313" s="32"/>
      <c r="SE313" s="32"/>
      <c r="SF313" s="32"/>
      <c r="SG313" s="32"/>
      <c r="SH313" s="32"/>
      <c r="SI313" s="32"/>
      <c r="SJ313" s="32"/>
      <c r="SK313" s="32"/>
      <c r="SL313" s="32"/>
      <c r="SM313" s="32"/>
      <c r="SN313" s="32"/>
      <c r="SO313" s="32"/>
      <c r="SP313" s="32"/>
      <c r="SQ313" s="32"/>
      <c r="SR313" s="32"/>
      <c r="SS313" s="32"/>
      <c r="ST313" s="32"/>
      <c r="SU313" s="32"/>
      <c r="SV313" s="32"/>
      <c r="SW313" s="32"/>
      <c r="SX313" s="32"/>
      <c r="SY313" s="32"/>
      <c r="SZ313" s="32"/>
      <c r="TA313" s="32"/>
      <c r="TB313" s="32"/>
      <c r="TC313" s="32"/>
      <c r="TD313" s="32"/>
      <c r="TE313" s="32"/>
      <c r="TF313" s="32"/>
      <c r="TG313" s="32"/>
    </row>
    <row r="314" spans="1:527" s="161" customFormat="1" ht="54" customHeight="1" x14ac:dyDescent="0.55000000000000004">
      <c r="A314" s="158" t="s">
        <v>476</v>
      </c>
      <c r="B314" s="159"/>
      <c r="C314" s="160"/>
      <c r="D314" s="149"/>
      <c r="E314" s="150"/>
      <c r="F314" s="149"/>
      <c r="G314" s="149"/>
      <c r="H314" s="149"/>
      <c r="I314" s="149"/>
      <c r="J314" s="149"/>
      <c r="M314" s="149"/>
      <c r="N314" s="149" t="s">
        <v>477</v>
      </c>
      <c r="O314" s="150"/>
      <c r="P314" s="150"/>
      <c r="Q314" s="187"/>
      <c r="R314" s="162"/>
      <c r="S314" s="162"/>
      <c r="T314" s="162"/>
      <c r="U314" s="162"/>
      <c r="V314" s="162"/>
      <c r="W314" s="162"/>
      <c r="X314" s="162"/>
      <c r="Y314" s="162"/>
      <c r="Z314" s="162"/>
      <c r="AA314" s="162"/>
      <c r="AB314" s="162"/>
      <c r="AC314" s="162"/>
      <c r="AD314" s="162"/>
      <c r="AE314" s="162"/>
      <c r="AF314" s="162"/>
      <c r="AG314" s="162"/>
      <c r="AH314" s="162"/>
      <c r="AI314" s="162"/>
      <c r="AJ314" s="162"/>
      <c r="AK314" s="162"/>
      <c r="AL314" s="162"/>
      <c r="AM314" s="162"/>
      <c r="AN314" s="162"/>
      <c r="AO314" s="162"/>
      <c r="AP314" s="162"/>
      <c r="AQ314" s="162"/>
      <c r="AR314" s="162"/>
      <c r="AS314" s="162"/>
      <c r="AT314" s="162"/>
      <c r="AU314" s="162"/>
      <c r="AV314" s="162"/>
      <c r="AW314" s="162"/>
      <c r="AX314" s="162"/>
      <c r="AY314" s="162"/>
      <c r="AZ314" s="162"/>
      <c r="BA314" s="162"/>
      <c r="BB314" s="162"/>
      <c r="BC314" s="162"/>
      <c r="BD314" s="162"/>
      <c r="BE314" s="162"/>
      <c r="BF314" s="162"/>
      <c r="BG314" s="162"/>
      <c r="BH314" s="162"/>
      <c r="BI314" s="162"/>
      <c r="BJ314" s="162"/>
      <c r="BK314" s="162"/>
      <c r="BL314" s="162"/>
      <c r="BM314" s="162"/>
      <c r="BN314" s="162"/>
      <c r="BO314" s="162"/>
      <c r="BP314" s="162"/>
      <c r="BQ314" s="162"/>
      <c r="BR314" s="162"/>
      <c r="BS314" s="162"/>
      <c r="BT314" s="162"/>
      <c r="BU314" s="162"/>
      <c r="BV314" s="162"/>
      <c r="BW314" s="162"/>
      <c r="BX314" s="162"/>
      <c r="BY314" s="162"/>
      <c r="BZ314" s="162"/>
      <c r="CA314" s="162"/>
      <c r="CB314" s="162"/>
      <c r="CC314" s="162"/>
      <c r="CD314" s="162"/>
      <c r="CE314" s="162"/>
      <c r="CF314" s="162"/>
      <c r="CG314" s="162"/>
      <c r="CH314" s="162"/>
      <c r="CI314" s="162"/>
      <c r="CJ314" s="162"/>
      <c r="CK314" s="162"/>
      <c r="CL314" s="162"/>
      <c r="CM314" s="162"/>
      <c r="CN314" s="162"/>
      <c r="CO314" s="162"/>
      <c r="CP314" s="162"/>
      <c r="CQ314" s="162"/>
      <c r="CR314" s="162"/>
      <c r="CS314" s="162"/>
      <c r="CT314" s="162"/>
      <c r="CU314" s="162"/>
      <c r="CV314" s="162"/>
      <c r="CW314" s="162"/>
      <c r="CX314" s="162"/>
      <c r="CY314" s="162"/>
      <c r="CZ314" s="162"/>
      <c r="DA314" s="162"/>
      <c r="DB314" s="162"/>
      <c r="DC314" s="162"/>
      <c r="DD314" s="162"/>
      <c r="DE314" s="162"/>
      <c r="DF314" s="162"/>
      <c r="DG314" s="162"/>
      <c r="DH314" s="162"/>
      <c r="DI314" s="162"/>
      <c r="DJ314" s="162"/>
      <c r="DK314" s="162"/>
      <c r="DL314" s="162"/>
      <c r="DM314" s="162"/>
      <c r="DN314" s="162"/>
      <c r="DO314" s="162"/>
      <c r="DP314" s="162"/>
      <c r="DQ314" s="162"/>
      <c r="DR314" s="162"/>
      <c r="DS314" s="162"/>
      <c r="DT314" s="162"/>
      <c r="DU314" s="162"/>
      <c r="DV314" s="162"/>
      <c r="DW314" s="162"/>
      <c r="DX314" s="162"/>
      <c r="DY314" s="162"/>
      <c r="DZ314" s="162"/>
      <c r="EA314" s="162"/>
      <c r="EB314" s="162"/>
      <c r="EC314" s="162"/>
      <c r="ED314" s="162"/>
      <c r="EE314" s="162"/>
      <c r="EF314" s="162"/>
      <c r="EG314" s="162"/>
      <c r="EH314" s="162"/>
      <c r="EI314" s="162"/>
      <c r="EJ314" s="162"/>
      <c r="EK314" s="162"/>
      <c r="EL314" s="162"/>
      <c r="EM314" s="162"/>
      <c r="EN314" s="162"/>
      <c r="EO314" s="162"/>
      <c r="EP314" s="162"/>
      <c r="EQ314" s="162"/>
      <c r="ER314" s="162"/>
      <c r="ES314" s="162"/>
      <c r="ET314" s="162"/>
      <c r="EU314" s="162"/>
      <c r="EV314" s="162"/>
      <c r="EW314" s="162"/>
      <c r="EX314" s="162"/>
      <c r="EY314" s="162"/>
      <c r="EZ314" s="162"/>
      <c r="FA314" s="162"/>
      <c r="FB314" s="162"/>
      <c r="FC314" s="162"/>
      <c r="FD314" s="162"/>
      <c r="FE314" s="162"/>
      <c r="FF314" s="162"/>
      <c r="FG314" s="162"/>
      <c r="FH314" s="162"/>
      <c r="FI314" s="162"/>
      <c r="FJ314" s="162"/>
      <c r="FK314" s="162"/>
      <c r="FL314" s="162"/>
      <c r="FM314" s="162"/>
      <c r="FN314" s="162"/>
      <c r="FO314" s="162"/>
      <c r="FP314" s="162"/>
      <c r="FQ314" s="162"/>
      <c r="FR314" s="162"/>
      <c r="FS314" s="162"/>
      <c r="FT314" s="162"/>
      <c r="FU314" s="162"/>
      <c r="FV314" s="162"/>
      <c r="FW314" s="162"/>
      <c r="FX314" s="162"/>
      <c r="FY314" s="162"/>
      <c r="FZ314" s="162"/>
      <c r="GA314" s="162"/>
      <c r="GB314" s="162"/>
      <c r="GC314" s="162"/>
      <c r="GD314" s="162"/>
      <c r="GE314" s="162"/>
      <c r="GF314" s="162"/>
      <c r="GG314" s="162"/>
      <c r="GH314" s="162"/>
      <c r="GI314" s="162"/>
      <c r="GJ314" s="162"/>
      <c r="GK314" s="162"/>
      <c r="GL314" s="162"/>
      <c r="GM314" s="162"/>
      <c r="GN314" s="162"/>
      <c r="GO314" s="162"/>
      <c r="GP314" s="162"/>
      <c r="GQ314" s="162"/>
      <c r="GR314" s="162"/>
      <c r="GS314" s="162"/>
      <c r="GT314" s="162"/>
      <c r="GU314" s="162"/>
      <c r="GV314" s="162"/>
      <c r="GW314" s="162"/>
      <c r="GX314" s="162"/>
      <c r="GY314" s="162"/>
      <c r="GZ314" s="162"/>
      <c r="HA314" s="162"/>
      <c r="HB314" s="162"/>
      <c r="HC314" s="162"/>
      <c r="HD314" s="162"/>
      <c r="HE314" s="162"/>
      <c r="HF314" s="162"/>
      <c r="HG314" s="162"/>
      <c r="HH314" s="162"/>
      <c r="HI314" s="162"/>
      <c r="HJ314" s="162"/>
      <c r="HK314" s="162"/>
      <c r="HL314" s="162"/>
      <c r="HM314" s="162"/>
      <c r="HN314" s="162"/>
      <c r="HO314" s="162"/>
      <c r="HP314" s="162"/>
      <c r="HQ314" s="162"/>
      <c r="HR314" s="162"/>
      <c r="HS314" s="162"/>
      <c r="HT314" s="162"/>
      <c r="HU314" s="162"/>
      <c r="HV314" s="162"/>
      <c r="HW314" s="162"/>
      <c r="HX314" s="162"/>
      <c r="HY314" s="162"/>
      <c r="HZ314" s="162"/>
      <c r="IA314" s="162"/>
      <c r="IB314" s="162"/>
      <c r="IC314" s="162"/>
      <c r="ID314" s="162"/>
      <c r="IE314" s="162"/>
      <c r="IF314" s="162"/>
      <c r="IG314" s="162"/>
      <c r="IH314" s="162"/>
      <c r="II314" s="162"/>
      <c r="IJ314" s="162"/>
      <c r="IK314" s="162"/>
      <c r="IL314" s="162"/>
      <c r="IM314" s="162"/>
      <c r="IN314" s="162"/>
      <c r="IO314" s="162"/>
      <c r="IP314" s="162"/>
      <c r="IQ314" s="162"/>
      <c r="IR314" s="162"/>
      <c r="IS314" s="162"/>
      <c r="IT314" s="162"/>
      <c r="IU314" s="162"/>
      <c r="IV314" s="162"/>
      <c r="IW314" s="162"/>
      <c r="IX314" s="162"/>
      <c r="IY314" s="162"/>
      <c r="IZ314" s="162"/>
      <c r="JA314" s="162"/>
      <c r="JB314" s="162"/>
      <c r="JC314" s="162"/>
      <c r="JD314" s="162"/>
      <c r="JE314" s="162"/>
      <c r="JF314" s="162"/>
      <c r="JG314" s="162"/>
      <c r="JH314" s="162"/>
      <c r="JI314" s="162"/>
      <c r="JJ314" s="162"/>
      <c r="JK314" s="162"/>
      <c r="JL314" s="162"/>
      <c r="JM314" s="162"/>
      <c r="JN314" s="162"/>
      <c r="JO314" s="162"/>
      <c r="JP314" s="162"/>
      <c r="JQ314" s="162"/>
      <c r="JR314" s="162"/>
      <c r="JS314" s="162"/>
      <c r="JT314" s="162"/>
      <c r="JU314" s="162"/>
      <c r="JV314" s="162"/>
      <c r="JW314" s="162"/>
      <c r="JX314" s="162"/>
      <c r="JY314" s="162"/>
      <c r="JZ314" s="162"/>
      <c r="KA314" s="162"/>
      <c r="KB314" s="162"/>
      <c r="KC314" s="162"/>
      <c r="KD314" s="162"/>
      <c r="KE314" s="162"/>
      <c r="KF314" s="162"/>
      <c r="KG314" s="162"/>
      <c r="KH314" s="162"/>
      <c r="KI314" s="162"/>
      <c r="KJ314" s="162"/>
      <c r="KK314" s="162"/>
      <c r="KL314" s="162"/>
      <c r="KM314" s="162"/>
      <c r="KN314" s="162"/>
      <c r="KO314" s="162"/>
      <c r="KP314" s="162"/>
      <c r="KQ314" s="162"/>
      <c r="KR314" s="162"/>
      <c r="KS314" s="162"/>
      <c r="KT314" s="162"/>
      <c r="KU314" s="162"/>
      <c r="KV314" s="162"/>
      <c r="KW314" s="162"/>
      <c r="KX314" s="162"/>
      <c r="KY314" s="162"/>
      <c r="KZ314" s="162"/>
      <c r="LA314" s="162"/>
      <c r="LB314" s="162"/>
      <c r="LC314" s="162"/>
      <c r="LD314" s="162"/>
      <c r="LE314" s="162"/>
      <c r="LF314" s="162"/>
      <c r="LG314" s="162"/>
      <c r="LH314" s="162"/>
      <c r="LI314" s="162"/>
      <c r="LJ314" s="162"/>
      <c r="LK314" s="162"/>
      <c r="LL314" s="162"/>
      <c r="LM314" s="162"/>
      <c r="LN314" s="162"/>
      <c r="LO314" s="162"/>
      <c r="LP314" s="162"/>
      <c r="LQ314" s="162"/>
      <c r="LR314" s="162"/>
      <c r="LS314" s="162"/>
      <c r="LT314" s="162"/>
      <c r="LU314" s="162"/>
      <c r="LV314" s="162"/>
      <c r="LW314" s="162"/>
      <c r="LX314" s="162"/>
      <c r="LY314" s="162"/>
      <c r="LZ314" s="162"/>
      <c r="MA314" s="162"/>
      <c r="MB314" s="162"/>
      <c r="MC314" s="162"/>
      <c r="MD314" s="162"/>
      <c r="ME314" s="162"/>
      <c r="MF314" s="162"/>
      <c r="MG314" s="162"/>
      <c r="MH314" s="162"/>
      <c r="MI314" s="162"/>
      <c r="MJ314" s="162"/>
      <c r="MK314" s="162"/>
      <c r="ML314" s="162"/>
      <c r="MM314" s="162"/>
      <c r="MN314" s="162"/>
      <c r="MO314" s="162"/>
      <c r="MP314" s="162"/>
      <c r="MQ314" s="162"/>
      <c r="MR314" s="162"/>
      <c r="MS314" s="162"/>
      <c r="MT314" s="162"/>
      <c r="MU314" s="162"/>
      <c r="MV314" s="162"/>
      <c r="MW314" s="162"/>
      <c r="MX314" s="162"/>
      <c r="MY314" s="162"/>
      <c r="MZ314" s="162"/>
      <c r="NA314" s="162"/>
      <c r="NB314" s="162"/>
      <c r="NC314" s="162"/>
      <c r="ND314" s="162"/>
      <c r="NE314" s="162"/>
      <c r="NF314" s="162"/>
      <c r="NG314" s="162"/>
      <c r="NH314" s="162"/>
      <c r="NI314" s="162"/>
      <c r="NJ314" s="162"/>
      <c r="NK314" s="162"/>
      <c r="NL314" s="162"/>
      <c r="NM314" s="162"/>
      <c r="NN314" s="162"/>
      <c r="NO314" s="162"/>
      <c r="NP314" s="162"/>
      <c r="NQ314" s="162"/>
      <c r="NR314" s="162"/>
      <c r="NS314" s="162"/>
      <c r="NT314" s="162"/>
      <c r="NU314" s="162"/>
      <c r="NV314" s="162"/>
      <c r="NW314" s="162"/>
      <c r="NX314" s="162"/>
      <c r="NY314" s="162"/>
      <c r="NZ314" s="162"/>
      <c r="OA314" s="162"/>
      <c r="OB314" s="162"/>
      <c r="OC314" s="162"/>
      <c r="OD314" s="162"/>
      <c r="OE314" s="162"/>
      <c r="OF314" s="162"/>
      <c r="OG314" s="162"/>
      <c r="OH314" s="162"/>
      <c r="OI314" s="162"/>
      <c r="OJ314" s="162"/>
      <c r="OK314" s="162"/>
      <c r="OL314" s="162"/>
      <c r="OM314" s="162"/>
      <c r="ON314" s="162"/>
      <c r="OO314" s="162"/>
      <c r="OP314" s="162"/>
      <c r="OQ314" s="162"/>
      <c r="OR314" s="162"/>
      <c r="OS314" s="162"/>
      <c r="OT314" s="162"/>
      <c r="OU314" s="162"/>
      <c r="OV314" s="162"/>
      <c r="OW314" s="162"/>
      <c r="OX314" s="162"/>
      <c r="OY314" s="162"/>
      <c r="OZ314" s="162"/>
      <c r="PA314" s="162"/>
      <c r="PB314" s="162"/>
      <c r="PC314" s="162"/>
      <c r="PD314" s="162"/>
      <c r="PE314" s="162"/>
      <c r="PF314" s="162"/>
      <c r="PG314" s="162"/>
      <c r="PH314" s="162"/>
      <c r="PI314" s="162"/>
      <c r="PJ314" s="162"/>
      <c r="PK314" s="162"/>
      <c r="PL314" s="162"/>
      <c r="PM314" s="162"/>
      <c r="PN314" s="162"/>
      <c r="PO314" s="162"/>
      <c r="PP314" s="162"/>
      <c r="PQ314" s="162"/>
      <c r="PR314" s="162"/>
      <c r="PS314" s="162"/>
      <c r="PT314" s="162"/>
      <c r="PU314" s="162"/>
      <c r="PV314" s="162"/>
      <c r="PW314" s="162"/>
      <c r="PX314" s="162"/>
      <c r="PY314" s="162"/>
      <c r="PZ314" s="162"/>
      <c r="QA314" s="162"/>
      <c r="QB314" s="162"/>
      <c r="QC314" s="162"/>
      <c r="QD314" s="162"/>
      <c r="QE314" s="162"/>
      <c r="QF314" s="162"/>
      <c r="QG314" s="162"/>
      <c r="QH314" s="162"/>
      <c r="QI314" s="162"/>
      <c r="QJ314" s="162"/>
      <c r="QK314" s="162"/>
      <c r="QL314" s="162"/>
      <c r="QM314" s="162"/>
      <c r="QN314" s="162"/>
      <c r="QO314" s="162"/>
      <c r="QP314" s="162"/>
      <c r="QQ314" s="162"/>
      <c r="QR314" s="162"/>
      <c r="QS314" s="162"/>
      <c r="QT314" s="162"/>
      <c r="QU314" s="162"/>
      <c r="QV314" s="162"/>
      <c r="QW314" s="162"/>
      <c r="QX314" s="162"/>
      <c r="QY314" s="162"/>
      <c r="QZ314" s="162"/>
      <c r="RA314" s="162"/>
      <c r="RB314" s="162"/>
      <c r="RC314" s="162"/>
      <c r="RD314" s="162"/>
      <c r="RE314" s="162"/>
      <c r="RF314" s="162"/>
      <c r="RG314" s="162"/>
      <c r="RH314" s="162"/>
      <c r="RI314" s="162"/>
      <c r="RJ314" s="162"/>
      <c r="RK314" s="162"/>
      <c r="RL314" s="162"/>
      <c r="RM314" s="162"/>
      <c r="RN314" s="162"/>
      <c r="RO314" s="162"/>
      <c r="RP314" s="162"/>
      <c r="RQ314" s="162"/>
      <c r="RR314" s="162"/>
      <c r="RS314" s="162"/>
      <c r="RT314" s="162"/>
      <c r="RU314" s="162"/>
      <c r="RV314" s="162"/>
      <c r="RW314" s="162"/>
      <c r="RX314" s="162"/>
      <c r="RY314" s="162"/>
      <c r="RZ314" s="162"/>
      <c r="SA314" s="162"/>
      <c r="SB314" s="162"/>
      <c r="SC314" s="162"/>
      <c r="SD314" s="162"/>
      <c r="SE314" s="162"/>
      <c r="SF314" s="162"/>
      <c r="SG314" s="162"/>
      <c r="SH314" s="162"/>
      <c r="SI314" s="162"/>
      <c r="SJ314" s="162"/>
      <c r="SK314" s="162"/>
      <c r="SL314" s="162"/>
      <c r="SM314" s="162"/>
      <c r="SN314" s="162"/>
      <c r="SO314" s="162"/>
      <c r="SP314" s="162"/>
      <c r="SQ314" s="162"/>
      <c r="SR314" s="162"/>
      <c r="SS314" s="162"/>
      <c r="ST314" s="162"/>
      <c r="SU314" s="162"/>
      <c r="SV314" s="162"/>
      <c r="SW314" s="162"/>
      <c r="SX314" s="162"/>
      <c r="SY314" s="162"/>
      <c r="SZ314" s="162"/>
      <c r="TA314" s="162"/>
      <c r="TB314" s="162"/>
      <c r="TC314" s="162"/>
      <c r="TD314" s="162"/>
      <c r="TE314" s="162"/>
      <c r="TF314" s="162"/>
      <c r="TG314" s="162"/>
    </row>
    <row r="315" spans="1:527" s="28" customFormat="1" ht="34.5" customHeight="1" x14ac:dyDescent="0.25">
      <c r="A315" s="56"/>
      <c r="B315" s="62"/>
      <c r="C315" s="62"/>
      <c r="D315" s="35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147"/>
      <c r="Q315" s="187"/>
    </row>
    <row r="316" spans="1:527" s="153" customFormat="1" ht="41.25" customHeight="1" x14ac:dyDescent="0.45">
      <c r="A316" s="151" t="s">
        <v>478</v>
      </c>
      <c r="B316" s="151"/>
      <c r="C316" s="151"/>
      <c r="D316" s="151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87"/>
    </row>
    <row r="317" spans="1:527" s="135" customFormat="1" ht="39.75" customHeight="1" x14ac:dyDescent="0.4">
      <c r="A317" s="179" t="s">
        <v>567</v>
      </c>
      <c r="B317" s="179"/>
      <c r="C317" s="179"/>
      <c r="D317" s="179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87"/>
    </row>
    <row r="318" spans="1:527" s="135" customFormat="1" ht="26.25" x14ac:dyDescent="0.4">
      <c r="A318" s="136"/>
      <c r="B318" s="137"/>
      <c r="C318" s="137"/>
      <c r="D318" s="138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87"/>
    </row>
    <row r="319" spans="1:527" s="28" customFormat="1" x14ac:dyDescent="0.25">
      <c r="A319" s="56"/>
      <c r="B319" s="62"/>
      <c r="C319" s="62"/>
      <c r="D319" s="35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187"/>
    </row>
    <row r="320" spans="1:527" s="28" customFormat="1" x14ac:dyDescent="0.25">
      <c r="A320" s="56"/>
      <c r="B320" s="62"/>
      <c r="C320" s="62"/>
      <c r="D320" s="35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164"/>
    </row>
    <row r="321" spans="1:17" s="28" customFormat="1" x14ac:dyDescent="0.25">
      <c r="A321" s="56"/>
      <c r="B321" s="62"/>
      <c r="C321" s="62"/>
      <c r="D321" s="35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164"/>
    </row>
    <row r="322" spans="1:17" s="28" customFormat="1" x14ac:dyDescent="0.25">
      <c r="A322" s="56"/>
      <c r="B322" s="62"/>
      <c r="C322" s="62"/>
      <c r="D322" s="35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164"/>
    </row>
    <row r="323" spans="1:17" s="28" customFormat="1" x14ac:dyDescent="0.25">
      <c r="A323" s="56"/>
      <c r="B323" s="62"/>
      <c r="C323" s="62"/>
      <c r="D323" s="35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147"/>
      <c r="Q323" s="164"/>
    </row>
    <row r="324" spans="1:17" s="28" customFormat="1" x14ac:dyDescent="0.25">
      <c r="A324" s="56"/>
      <c r="B324" s="62"/>
      <c r="C324" s="62"/>
      <c r="D324" s="35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147"/>
      <c r="Q324" s="164"/>
    </row>
    <row r="325" spans="1:17" s="28" customFormat="1" x14ac:dyDescent="0.25">
      <c r="A325" s="56"/>
      <c r="B325" s="62"/>
      <c r="C325" s="62"/>
      <c r="D325" s="35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147"/>
      <c r="Q325" s="164"/>
    </row>
    <row r="326" spans="1:17" s="28" customFormat="1" x14ac:dyDescent="0.25">
      <c r="A326" s="56"/>
      <c r="B326" s="62"/>
      <c r="C326" s="62"/>
      <c r="D326" s="35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147"/>
      <c r="Q326" s="164"/>
    </row>
    <row r="327" spans="1:17" s="28" customFormat="1" x14ac:dyDescent="0.25">
      <c r="A327" s="56"/>
      <c r="B327" s="62"/>
      <c r="C327" s="62"/>
      <c r="D327" s="3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147"/>
      <c r="Q327" s="164"/>
    </row>
    <row r="328" spans="1:17" s="28" customFormat="1" x14ac:dyDescent="0.25">
      <c r="A328" s="56"/>
      <c r="B328" s="62"/>
      <c r="C328" s="62"/>
      <c r="D328" s="35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147"/>
      <c r="Q328" s="164"/>
    </row>
    <row r="329" spans="1:17" s="28" customFormat="1" x14ac:dyDescent="0.25">
      <c r="A329" s="56"/>
      <c r="B329" s="62"/>
      <c r="C329" s="62"/>
      <c r="D329" s="35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147"/>
      <c r="Q329" s="164"/>
    </row>
    <row r="330" spans="1:17" s="28" customFormat="1" x14ac:dyDescent="0.25">
      <c r="A330" s="56"/>
      <c r="B330" s="62"/>
      <c r="C330" s="62"/>
      <c r="D330" s="3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147"/>
      <c r="Q330" s="164"/>
    </row>
    <row r="331" spans="1:17" s="28" customFormat="1" x14ac:dyDescent="0.25">
      <c r="A331" s="56"/>
      <c r="B331" s="62"/>
      <c r="C331" s="62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147"/>
      <c r="Q331" s="164"/>
    </row>
    <row r="332" spans="1:17" s="28" customFormat="1" x14ac:dyDescent="0.25">
      <c r="A332" s="56"/>
      <c r="B332" s="62"/>
      <c r="C332" s="62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147"/>
      <c r="Q332" s="164"/>
    </row>
    <row r="333" spans="1:17" s="28" customFormat="1" x14ac:dyDescent="0.25">
      <c r="A333" s="56"/>
      <c r="B333" s="62"/>
      <c r="C333" s="62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147"/>
      <c r="Q333" s="164"/>
    </row>
    <row r="334" spans="1:17" s="28" customFormat="1" x14ac:dyDescent="0.25">
      <c r="A334" s="56"/>
      <c r="B334" s="62"/>
      <c r="C334" s="62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147"/>
      <c r="Q334" s="164"/>
    </row>
    <row r="335" spans="1:17" s="28" customFormat="1" x14ac:dyDescent="0.25">
      <c r="A335" s="56"/>
      <c r="B335" s="62"/>
      <c r="C335" s="62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147"/>
      <c r="Q335" s="164"/>
    </row>
    <row r="336" spans="1:17" s="28" customFormat="1" x14ac:dyDescent="0.25">
      <c r="A336" s="56"/>
      <c r="B336" s="62"/>
      <c r="C336" s="62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147"/>
      <c r="Q336" s="164"/>
    </row>
    <row r="337" spans="1:17" s="28" customFormat="1" x14ac:dyDescent="0.25">
      <c r="A337" s="56"/>
      <c r="B337" s="62"/>
      <c r="C337" s="62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147"/>
      <c r="Q337" s="164"/>
    </row>
    <row r="338" spans="1:17" s="28" customFormat="1" x14ac:dyDescent="0.25">
      <c r="A338" s="56"/>
      <c r="B338" s="62"/>
      <c r="C338" s="62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147"/>
      <c r="Q338" s="164"/>
    </row>
    <row r="339" spans="1:17" s="28" customFormat="1" x14ac:dyDescent="0.25">
      <c r="A339" s="56"/>
      <c r="B339" s="62"/>
      <c r="C339" s="62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147"/>
      <c r="Q339" s="164"/>
    </row>
    <row r="340" spans="1:17" s="28" customFormat="1" x14ac:dyDescent="0.25">
      <c r="A340" s="56"/>
      <c r="B340" s="62"/>
      <c r="C340" s="62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147"/>
      <c r="Q340" s="164"/>
    </row>
    <row r="341" spans="1:17" s="28" customFormat="1" x14ac:dyDescent="0.25">
      <c r="A341" s="56"/>
      <c r="B341" s="62"/>
      <c r="C341" s="62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147"/>
      <c r="Q341" s="164"/>
    </row>
    <row r="342" spans="1:17" s="28" customFormat="1" x14ac:dyDescent="0.25">
      <c r="A342" s="56"/>
      <c r="B342" s="62"/>
      <c r="C342" s="62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147"/>
      <c r="Q342" s="164"/>
    </row>
    <row r="343" spans="1:17" s="28" customFormat="1" x14ac:dyDescent="0.25">
      <c r="A343" s="56"/>
      <c r="B343" s="62"/>
      <c r="C343" s="62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147"/>
      <c r="Q343" s="164"/>
    </row>
    <row r="344" spans="1:17" s="28" customFormat="1" x14ac:dyDescent="0.25">
      <c r="A344" s="56"/>
      <c r="B344" s="62"/>
      <c r="C344" s="62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147"/>
      <c r="Q344" s="164"/>
    </row>
    <row r="345" spans="1:17" s="28" customFormat="1" x14ac:dyDescent="0.25">
      <c r="A345" s="56"/>
      <c r="B345" s="62"/>
      <c r="C345" s="62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147"/>
      <c r="Q345" s="164"/>
    </row>
    <row r="346" spans="1:17" s="28" customFormat="1" x14ac:dyDescent="0.25">
      <c r="A346" s="56"/>
      <c r="B346" s="62"/>
      <c r="C346" s="62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147"/>
      <c r="Q346" s="164"/>
    </row>
    <row r="347" spans="1:17" s="28" customFormat="1" x14ac:dyDescent="0.25">
      <c r="A347" s="56"/>
      <c r="B347" s="62"/>
      <c r="C347" s="62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147"/>
      <c r="Q347" s="164"/>
    </row>
    <row r="348" spans="1:17" s="28" customFormat="1" x14ac:dyDescent="0.25">
      <c r="A348" s="56"/>
      <c r="B348" s="62"/>
      <c r="C348" s="62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147"/>
      <c r="Q348" s="164"/>
    </row>
    <row r="349" spans="1:17" s="28" customFormat="1" x14ac:dyDescent="0.25">
      <c r="A349" s="56"/>
      <c r="B349" s="62"/>
      <c r="C349" s="62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147"/>
      <c r="Q349" s="164"/>
    </row>
    <row r="350" spans="1:17" s="28" customFormat="1" x14ac:dyDescent="0.25">
      <c r="A350" s="56"/>
      <c r="B350" s="62"/>
      <c r="C350" s="62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147"/>
      <c r="Q350" s="164"/>
    </row>
    <row r="351" spans="1:17" s="28" customFormat="1" x14ac:dyDescent="0.25">
      <c r="A351" s="56"/>
      <c r="B351" s="62"/>
      <c r="C351" s="62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147"/>
      <c r="Q351" s="164"/>
    </row>
    <row r="352" spans="1:17" s="28" customFormat="1" x14ac:dyDescent="0.25">
      <c r="A352" s="56"/>
      <c r="B352" s="62"/>
      <c r="C352" s="62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147"/>
      <c r="Q352" s="164"/>
    </row>
    <row r="353" spans="1:17" s="28" customFormat="1" x14ac:dyDescent="0.25">
      <c r="A353" s="56"/>
      <c r="B353" s="62"/>
      <c r="C353" s="62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147"/>
      <c r="Q353" s="164"/>
    </row>
    <row r="354" spans="1:17" s="28" customFormat="1" x14ac:dyDescent="0.25">
      <c r="A354" s="56"/>
      <c r="B354" s="62"/>
      <c r="C354" s="62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147"/>
      <c r="Q354" s="164"/>
    </row>
    <row r="355" spans="1:17" s="28" customFormat="1" x14ac:dyDescent="0.25">
      <c r="A355" s="56"/>
      <c r="B355" s="62"/>
      <c r="C355" s="62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147"/>
      <c r="Q355" s="164"/>
    </row>
    <row r="356" spans="1:17" s="28" customFormat="1" x14ac:dyDescent="0.25">
      <c r="A356" s="56"/>
      <c r="B356" s="62"/>
      <c r="C356" s="62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147"/>
      <c r="Q356" s="164"/>
    </row>
    <row r="357" spans="1:17" s="28" customFormat="1" x14ac:dyDescent="0.25">
      <c r="A357" s="56"/>
      <c r="B357" s="62"/>
      <c r="C357" s="62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147"/>
      <c r="Q357" s="164"/>
    </row>
    <row r="358" spans="1:17" s="28" customFormat="1" x14ac:dyDescent="0.25">
      <c r="A358" s="56"/>
      <c r="B358" s="62"/>
      <c r="C358" s="62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147"/>
      <c r="Q358" s="164"/>
    </row>
    <row r="359" spans="1:17" s="28" customFormat="1" x14ac:dyDescent="0.25">
      <c r="A359" s="56"/>
      <c r="B359" s="62"/>
      <c r="C359" s="62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147"/>
      <c r="Q359" s="164"/>
    </row>
    <row r="360" spans="1:17" s="28" customFormat="1" x14ac:dyDescent="0.25">
      <c r="A360" s="56"/>
      <c r="B360" s="62"/>
      <c r="C360" s="62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147"/>
      <c r="Q360" s="164"/>
    </row>
    <row r="361" spans="1:17" s="28" customFormat="1" x14ac:dyDescent="0.25">
      <c r="A361" s="56"/>
      <c r="B361" s="62"/>
      <c r="C361" s="62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147"/>
      <c r="Q361" s="164"/>
    </row>
    <row r="362" spans="1:17" s="28" customFormat="1" x14ac:dyDescent="0.25">
      <c r="A362" s="56"/>
      <c r="B362" s="62"/>
      <c r="C362" s="62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147"/>
      <c r="Q362" s="164"/>
    </row>
    <row r="363" spans="1:17" s="28" customFormat="1" x14ac:dyDescent="0.25">
      <c r="A363" s="56"/>
      <c r="B363" s="62"/>
      <c r="C363" s="62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147"/>
      <c r="Q363" s="164"/>
    </row>
    <row r="364" spans="1:17" s="28" customFormat="1" x14ac:dyDescent="0.25">
      <c r="A364" s="56"/>
      <c r="B364" s="62"/>
      <c r="C364" s="62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147"/>
      <c r="Q364" s="164"/>
    </row>
    <row r="365" spans="1:17" s="28" customFormat="1" x14ac:dyDescent="0.25">
      <c r="A365" s="56"/>
      <c r="B365" s="62"/>
      <c r="C365" s="62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147"/>
      <c r="Q365" s="164"/>
    </row>
    <row r="366" spans="1:17" s="28" customFormat="1" x14ac:dyDescent="0.25">
      <c r="A366" s="56"/>
      <c r="B366" s="62"/>
      <c r="C366" s="62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147"/>
      <c r="Q366" s="164"/>
    </row>
    <row r="367" spans="1:17" s="28" customFormat="1" x14ac:dyDescent="0.25">
      <c r="A367" s="56"/>
      <c r="B367" s="62"/>
      <c r="C367" s="62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147"/>
      <c r="Q367" s="164"/>
    </row>
    <row r="368" spans="1:17" s="28" customFormat="1" x14ac:dyDescent="0.25">
      <c r="A368" s="56"/>
      <c r="B368" s="62"/>
      <c r="C368" s="62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147"/>
      <c r="Q368" s="164"/>
    </row>
    <row r="369" spans="1:17" s="28" customFormat="1" x14ac:dyDescent="0.25">
      <c r="A369" s="56"/>
      <c r="B369" s="62"/>
      <c r="C369" s="62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147"/>
      <c r="Q369" s="164"/>
    </row>
    <row r="370" spans="1:17" s="28" customFormat="1" x14ac:dyDescent="0.25">
      <c r="A370" s="56"/>
      <c r="B370" s="62"/>
      <c r="C370" s="62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147"/>
      <c r="Q370" s="164"/>
    </row>
    <row r="371" spans="1:17" s="28" customFormat="1" x14ac:dyDescent="0.25">
      <c r="A371" s="56"/>
      <c r="B371" s="62"/>
      <c r="C371" s="62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147"/>
      <c r="Q371" s="164"/>
    </row>
    <row r="372" spans="1:17" s="28" customFormat="1" x14ac:dyDescent="0.25">
      <c r="A372" s="56"/>
      <c r="B372" s="62"/>
      <c r="C372" s="62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147"/>
      <c r="Q372" s="164"/>
    </row>
    <row r="373" spans="1:17" s="28" customFormat="1" x14ac:dyDescent="0.25">
      <c r="A373" s="56"/>
      <c r="B373" s="62"/>
      <c r="C373" s="62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147"/>
      <c r="Q373" s="164"/>
    </row>
    <row r="374" spans="1:17" s="28" customFormat="1" x14ac:dyDescent="0.25">
      <c r="A374" s="56"/>
      <c r="B374" s="62"/>
      <c r="C374" s="62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147"/>
      <c r="Q374" s="164"/>
    </row>
    <row r="375" spans="1:17" s="28" customFormat="1" x14ac:dyDescent="0.25">
      <c r="A375" s="56"/>
      <c r="B375" s="62"/>
      <c r="C375" s="62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147"/>
      <c r="Q375" s="164"/>
    </row>
    <row r="376" spans="1:17" s="28" customFormat="1" x14ac:dyDescent="0.25">
      <c r="A376" s="56"/>
      <c r="B376" s="62"/>
      <c r="C376" s="62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147"/>
      <c r="Q376" s="164"/>
    </row>
    <row r="377" spans="1:17" s="28" customFormat="1" x14ac:dyDescent="0.25">
      <c r="A377" s="56"/>
      <c r="B377" s="62"/>
      <c r="C377" s="62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147"/>
      <c r="Q377" s="164"/>
    </row>
    <row r="378" spans="1:17" s="28" customFormat="1" x14ac:dyDescent="0.25">
      <c r="A378" s="56"/>
      <c r="B378" s="62"/>
      <c r="C378" s="62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147"/>
      <c r="Q378" s="164"/>
    </row>
    <row r="379" spans="1:17" s="28" customFormat="1" x14ac:dyDescent="0.25">
      <c r="A379" s="56"/>
      <c r="B379" s="62"/>
      <c r="C379" s="62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147"/>
      <c r="Q379" s="164"/>
    </row>
    <row r="380" spans="1:17" s="28" customFormat="1" x14ac:dyDescent="0.25">
      <c r="A380" s="56"/>
      <c r="B380" s="62"/>
      <c r="C380" s="62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147"/>
      <c r="Q380" s="164"/>
    </row>
    <row r="381" spans="1:17" s="28" customFormat="1" x14ac:dyDescent="0.25">
      <c r="A381" s="56"/>
      <c r="B381" s="62"/>
      <c r="C381" s="62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147"/>
      <c r="Q381" s="164"/>
    </row>
    <row r="382" spans="1:17" s="28" customFormat="1" x14ac:dyDescent="0.25">
      <c r="A382" s="56"/>
      <c r="B382" s="62"/>
      <c r="C382" s="62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147"/>
      <c r="Q382" s="164"/>
    </row>
    <row r="383" spans="1:17" s="28" customFormat="1" x14ac:dyDescent="0.25">
      <c r="A383" s="56"/>
      <c r="B383" s="62"/>
      <c r="C383" s="62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147"/>
      <c r="Q383" s="164"/>
    </row>
    <row r="384" spans="1:17" s="28" customFormat="1" x14ac:dyDescent="0.25">
      <c r="A384" s="56"/>
      <c r="B384" s="62"/>
      <c r="C384" s="62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147"/>
      <c r="Q384" s="164"/>
    </row>
    <row r="385" spans="1:17" s="28" customFormat="1" x14ac:dyDescent="0.25">
      <c r="A385" s="56"/>
      <c r="B385" s="62"/>
      <c r="C385" s="62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147"/>
      <c r="Q385" s="164"/>
    </row>
    <row r="386" spans="1:17" s="28" customFormat="1" x14ac:dyDescent="0.25">
      <c r="A386" s="56"/>
      <c r="B386" s="62"/>
      <c r="C386" s="62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147"/>
      <c r="Q386" s="164"/>
    </row>
    <row r="387" spans="1:17" s="28" customFormat="1" x14ac:dyDescent="0.25">
      <c r="A387" s="56"/>
      <c r="B387" s="62"/>
      <c r="C387" s="62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147"/>
      <c r="Q387" s="164"/>
    </row>
    <row r="388" spans="1:17" s="28" customFormat="1" x14ac:dyDescent="0.25">
      <c r="A388" s="56"/>
      <c r="B388" s="62"/>
      <c r="C388" s="62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147"/>
      <c r="Q388" s="164"/>
    </row>
    <row r="389" spans="1:17" s="28" customFormat="1" x14ac:dyDescent="0.25">
      <c r="A389" s="56"/>
      <c r="B389" s="62"/>
      <c r="C389" s="62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147"/>
      <c r="Q389" s="164"/>
    </row>
    <row r="390" spans="1:17" s="28" customFormat="1" x14ac:dyDescent="0.25">
      <c r="A390" s="56"/>
      <c r="B390" s="62"/>
      <c r="C390" s="62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147"/>
      <c r="Q390" s="164"/>
    </row>
    <row r="391" spans="1:17" s="28" customFormat="1" x14ac:dyDescent="0.25">
      <c r="A391" s="56"/>
      <c r="B391" s="62"/>
      <c r="C391" s="62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147"/>
      <c r="Q391" s="164"/>
    </row>
    <row r="392" spans="1:17" s="28" customFormat="1" x14ac:dyDescent="0.25">
      <c r="A392" s="56"/>
      <c r="B392" s="62"/>
      <c r="C392" s="62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147"/>
      <c r="Q392" s="164"/>
    </row>
    <row r="393" spans="1:17" s="28" customFormat="1" x14ac:dyDescent="0.25">
      <c r="A393" s="56"/>
      <c r="B393" s="62"/>
      <c r="C393" s="62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147"/>
      <c r="Q393" s="164"/>
    </row>
    <row r="394" spans="1:17" s="28" customFormat="1" x14ac:dyDescent="0.25">
      <c r="A394" s="56"/>
      <c r="B394" s="62"/>
      <c r="C394" s="62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147"/>
      <c r="Q394" s="164"/>
    </row>
    <row r="395" spans="1:17" s="28" customFormat="1" x14ac:dyDescent="0.25">
      <c r="A395" s="56"/>
      <c r="B395" s="62"/>
      <c r="C395" s="62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147"/>
      <c r="Q395" s="164"/>
    </row>
    <row r="396" spans="1:17" s="28" customFormat="1" x14ac:dyDescent="0.25">
      <c r="A396" s="56"/>
      <c r="B396" s="62"/>
      <c r="C396" s="62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147"/>
      <c r="Q396" s="164"/>
    </row>
    <row r="397" spans="1:17" s="28" customFormat="1" x14ac:dyDescent="0.25">
      <c r="A397" s="56"/>
      <c r="B397" s="62"/>
      <c r="C397" s="62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147"/>
      <c r="Q397" s="164"/>
    </row>
    <row r="398" spans="1:17" s="28" customFormat="1" x14ac:dyDescent="0.25">
      <c r="A398" s="56"/>
      <c r="B398" s="62"/>
      <c r="C398" s="62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147"/>
      <c r="Q398" s="164"/>
    </row>
    <row r="399" spans="1:17" s="28" customFormat="1" x14ac:dyDescent="0.25">
      <c r="A399" s="56"/>
      <c r="B399" s="62"/>
      <c r="C399" s="62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147"/>
      <c r="Q399" s="164"/>
    </row>
    <row r="400" spans="1:17" s="28" customFormat="1" x14ac:dyDescent="0.25">
      <c r="A400" s="56"/>
      <c r="B400" s="62"/>
      <c r="C400" s="62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147"/>
      <c r="Q400" s="164"/>
    </row>
    <row r="401" spans="1:17" s="28" customFormat="1" x14ac:dyDescent="0.25">
      <c r="A401" s="56"/>
      <c r="B401" s="62"/>
      <c r="C401" s="62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147"/>
      <c r="Q401" s="164"/>
    </row>
    <row r="402" spans="1:17" s="28" customFormat="1" x14ac:dyDescent="0.25">
      <c r="A402" s="56"/>
      <c r="B402" s="62"/>
      <c r="C402" s="62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147"/>
      <c r="Q402" s="164"/>
    </row>
    <row r="403" spans="1:17" s="28" customFormat="1" x14ac:dyDescent="0.25">
      <c r="A403" s="56"/>
      <c r="B403" s="62"/>
      <c r="C403" s="62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147"/>
      <c r="Q403" s="164"/>
    </row>
    <row r="404" spans="1:17" s="28" customFormat="1" x14ac:dyDescent="0.25">
      <c r="A404" s="56"/>
      <c r="B404" s="62"/>
      <c r="C404" s="62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147"/>
      <c r="Q404" s="164"/>
    </row>
    <row r="405" spans="1:17" s="28" customFormat="1" x14ac:dyDescent="0.25">
      <c r="A405" s="56"/>
      <c r="B405" s="62"/>
      <c r="C405" s="62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147"/>
      <c r="Q405" s="164"/>
    </row>
    <row r="406" spans="1:17" s="28" customFormat="1" x14ac:dyDescent="0.25">
      <c r="A406" s="56"/>
      <c r="B406" s="62"/>
      <c r="C406" s="62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147"/>
      <c r="Q406" s="164"/>
    </row>
    <row r="407" spans="1:17" s="28" customFormat="1" x14ac:dyDescent="0.25">
      <c r="A407" s="56"/>
      <c r="B407" s="62"/>
      <c r="C407" s="62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147"/>
      <c r="Q407" s="164"/>
    </row>
    <row r="408" spans="1:17" s="28" customFormat="1" x14ac:dyDescent="0.25">
      <c r="A408" s="56"/>
      <c r="B408" s="62"/>
      <c r="C408" s="62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147"/>
      <c r="Q408" s="164"/>
    </row>
    <row r="409" spans="1:17" s="28" customFormat="1" x14ac:dyDescent="0.25">
      <c r="A409" s="56"/>
      <c r="B409" s="62"/>
      <c r="C409" s="62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147"/>
      <c r="Q409" s="164"/>
    </row>
    <row r="410" spans="1:17" s="28" customFormat="1" x14ac:dyDescent="0.25">
      <c r="A410" s="56"/>
      <c r="B410" s="62"/>
      <c r="C410" s="62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147"/>
      <c r="Q410" s="164"/>
    </row>
    <row r="411" spans="1:17" s="28" customFormat="1" x14ac:dyDescent="0.25">
      <c r="A411" s="56"/>
      <c r="B411" s="62"/>
      <c r="C411" s="62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147"/>
      <c r="Q411" s="164"/>
    </row>
    <row r="412" spans="1:17" s="28" customFormat="1" x14ac:dyDescent="0.25">
      <c r="A412" s="56"/>
      <c r="B412" s="62"/>
      <c r="C412" s="62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147"/>
      <c r="Q412" s="164"/>
    </row>
    <row r="413" spans="1:17" s="28" customFormat="1" x14ac:dyDescent="0.25">
      <c r="A413" s="56"/>
      <c r="B413" s="62"/>
      <c r="C413" s="62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147"/>
      <c r="Q413" s="164"/>
    </row>
    <row r="414" spans="1:17" s="28" customFormat="1" x14ac:dyDescent="0.25">
      <c r="A414" s="56"/>
      <c r="B414" s="62"/>
      <c r="C414" s="62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147"/>
      <c r="Q414" s="164"/>
    </row>
    <row r="415" spans="1:17" s="28" customFormat="1" x14ac:dyDescent="0.25">
      <c r="A415" s="56"/>
      <c r="B415" s="62"/>
      <c r="C415" s="62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147"/>
      <c r="Q415" s="164"/>
    </row>
    <row r="416" spans="1:17" s="28" customFormat="1" x14ac:dyDescent="0.25">
      <c r="A416" s="56"/>
      <c r="B416" s="62"/>
      <c r="C416" s="62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147"/>
      <c r="Q416" s="164"/>
    </row>
    <row r="417" spans="1:17" s="28" customFormat="1" x14ac:dyDescent="0.25">
      <c r="A417" s="56"/>
      <c r="B417" s="62"/>
      <c r="C417" s="62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147"/>
      <c r="Q417" s="164"/>
    </row>
    <row r="418" spans="1:17" s="28" customFormat="1" x14ac:dyDescent="0.25">
      <c r="A418" s="56"/>
      <c r="B418" s="62"/>
      <c r="C418" s="62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147"/>
      <c r="Q418" s="164"/>
    </row>
    <row r="419" spans="1:17" s="28" customFormat="1" x14ac:dyDescent="0.25">
      <c r="A419" s="56"/>
      <c r="B419" s="62"/>
      <c r="C419" s="62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147"/>
      <c r="Q419" s="164"/>
    </row>
    <row r="420" spans="1:17" s="28" customFormat="1" x14ac:dyDescent="0.25">
      <c r="A420" s="56"/>
      <c r="B420" s="62"/>
      <c r="C420" s="62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147"/>
      <c r="Q420" s="164"/>
    </row>
    <row r="421" spans="1:17" s="28" customFormat="1" x14ac:dyDescent="0.25">
      <c r="A421" s="56"/>
      <c r="B421" s="62"/>
      <c r="C421" s="62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147"/>
      <c r="Q421" s="164"/>
    </row>
    <row r="422" spans="1:17" s="28" customFormat="1" x14ac:dyDescent="0.25">
      <c r="A422" s="56"/>
      <c r="B422" s="62"/>
      <c r="C422" s="62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147"/>
      <c r="Q422" s="164"/>
    </row>
    <row r="423" spans="1:17" s="28" customFormat="1" x14ac:dyDescent="0.25">
      <c r="A423" s="56"/>
      <c r="B423" s="62"/>
      <c r="C423" s="62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147"/>
      <c r="Q423" s="164"/>
    </row>
    <row r="424" spans="1:17" s="28" customFormat="1" x14ac:dyDescent="0.25">
      <c r="A424" s="56"/>
      <c r="B424" s="62"/>
      <c r="C424" s="62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147"/>
      <c r="Q424" s="164"/>
    </row>
    <row r="425" spans="1:17" s="28" customFormat="1" x14ac:dyDescent="0.25">
      <c r="A425" s="56"/>
      <c r="B425" s="62"/>
      <c r="C425" s="62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147"/>
      <c r="Q425" s="164"/>
    </row>
    <row r="426" spans="1:17" s="28" customFormat="1" x14ac:dyDescent="0.25">
      <c r="A426" s="56"/>
      <c r="B426" s="62"/>
      <c r="C426" s="62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147"/>
      <c r="Q426" s="164"/>
    </row>
    <row r="427" spans="1:17" s="28" customFormat="1" x14ac:dyDescent="0.25">
      <c r="A427" s="56"/>
      <c r="B427" s="62"/>
      <c r="C427" s="62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147"/>
      <c r="Q427" s="164"/>
    </row>
    <row r="428" spans="1:17" s="28" customFormat="1" x14ac:dyDescent="0.25">
      <c r="A428" s="56"/>
      <c r="B428" s="62"/>
      <c r="C428" s="62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147"/>
      <c r="Q428" s="164"/>
    </row>
    <row r="429" spans="1:17" s="28" customFormat="1" x14ac:dyDescent="0.25">
      <c r="A429" s="56"/>
      <c r="B429" s="62"/>
      <c r="C429" s="62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147"/>
      <c r="Q429" s="164"/>
    </row>
    <row r="430" spans="1:17" s="28" customFormat="1" x14ac:dyDescent="0.25">
      <c r="A430" s="56"/>
      <c r="B430" s="62"/>
      <c r="C430" s="62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147"/>
      <c r="Q430" s="164"/>
    </row>
    <row r="431" spans="1:17" s="28" customFormat="1" x14ac:dyDescent="0.25">
      <c r="A431" s="56"/>
      <c r="B431" s="62"/>
      <c r="C431" s="62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147"/>
      <c r="Q431" s="164"/>
    </row>
    <row r="432" spans="1:17" s="28" customFormat="1" x14ac:dyDescent="0.25">
      <c r="A432" s="56"/>
      <c r="B432" s="62"/>
      <c r="C432" s="62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147"/>
      <c r="Q432" s="164"/>
    </row>
    <row r="433" spans="1:17" s="28" customFormat="1" x14ac:dyDescent="0.25">
      <c r="A433" s="56"/>
      <c r="B433" s="62"/>
      <c r="C433" s="62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147"/>
      <c r="Q433" s="164"/>
    </row>
    <row r="434" spans="1:17" s="28" customFormat="1" x14ac:dyDescent="0.25">
      <c r="A434" s="56"/>
      <c r="B434" s="62"/>
      <c r="C434" s="62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147"/>
      <c r="Q434" s="164"/>
    </row>
    <row r="435" spans="1:17" s="28" customFormat="1" x14ac:dyDescent="0.25">
      <c r="A435" s="56"/>
      <c r="B435" s="62"/>
      <c r="C435" s="62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147"/>
      <c r="Q435" s="164"/>
    </row>
    <row r="436" spans="1:17" s="28" customFormat="1" x14ac:dyDescent="0.25">
      <c r="A436" s="56"/>
      <c r="B436" s="62"/>
      <c r="C436" s="62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147"/>
      <c r="Q436" s="164"/>
    </row>
    <row r="437" spans="1:17" s="28" customFormat="1" x14ac:dyDescent="0.25">
      <c r="A437" s="56"/>
      <c r="B437" s="62"/>
      <c r="C437" s="62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147"/>
      <c r="Q437" s="164"/>
    </row>
    <row r="438" spans="1:17" s="28" customFormat="1" x14ac:dyDescent="0.25">
      <c r="A438" s="56"/>
      <c r="B438" s="62"/>
      <c r="C438" s="62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147"/>
      <c r="Q438" s="164"/>
    </row>
    <row r="439" spans="1:17" s="28" customFormat="1" x14ac:dyDescent="0.25">
      <c r="A439" s="56"/>
      <c r="B439" s="62"/>
      <c r="C439" s="62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147"/>
      <c r="Q439" s="164"/>
    </row>
    <row r="440" spans="1:17" s="28" customFormat="1" x14ac:dyDescent="0.25">
      <c r="A440" s="56"/>
      <c r="B440" s="62"/>
      <c r="C440" s="62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147"/>
      <c r="Q440" s="164"/>
    </row>
    <row r="441" spans="1:17" s="28" customFormat="1" x14ac:dyDescent="0.25">
      <c r="A441" s="56"/>
      <c r="B441" s="62"/>
      <c r="C441" s="62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147"/>
      <c r="Q441" s="164"/>
    </row>
    <row r="442" spans="1:17" s="28" customFormat="1" x14ac:dyDescent="0.25">
      <c r="A442" s="56"/>
      <c r="B442" s="62"/>
      <c r="C442" s="62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147"/>
      <c r="Q442" s="164"/>
    </row>
    <row r="443" spans="1:17" s="28" customFormat="1" x14ac:dyDescent="0.25">
      <c r="A443" s="56"/>
      <c r="B443" s="62"/>
      <c r="C443" s="62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147"/>
      <c r="Q443" s="164"/>
    </row>
    <row r="444" spans="1:17" s="28" customFormat="1" x14ac:dyDescent="0.25">
      <c r="A444" s="56"/>
      <c r="B444" s="62"/>
      <c r="C444" s="62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147"/>
      <c r="Q444" s="164"/>
    </row>
    <row r="445" spans="1:17" s="28" customFormat="1" x14ac:dyDescent="0.25">
      <c r="A445" s="56"/>
      <c r="B445" s="62"/>
      <c r="C445" s="62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147"/>
      <c r="Q445" s="164"/>
    </row>
    <row r="446" spans="1:17" s="28" customFormat="1" x14ac:dyDescent="0.25">
      <c r="A446" s="56"/>
      <c r="B446" s="62"/>
      <c r="C446" s="62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147"/>
      <c r="Q446" s="164"/>
    </row>
    <row r="447" spans="1:17" s="28" customFormat="1" x14ac:dyDescent="0.25">
      <c r="A447" s="56"/>
      <c r="B447" s="62"/>
      <c r="C447" s="62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147"/>
      <c r="Q447" s="164"/>
    </row>
    <row r="448" spans="1:17" s="28" customFormat="1" x14ac:dyDescent="0.25">
      <c r="A448" s="56"/>
      <c r="B448" s="62"/>
      <c r="C448" s="62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147"/>
      <c r="Q448" s="164"/>
    </row>
    <row r="449" spans="1:17" s="28" customFormat="1" x14ac:dyDescent="0.25">
      <c r="A449" s="56"/>
      <c r="B449" s="62"/>
      <c r="C449" s="62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147"/>
      <c r="Q449" s="164"/>
    </row>
    <row r="450" spans="1:17" s="28" customFormat="1" x14ac:dyDescent="0.25">
      <c r="A450" s="56"/>
      <c r="B450" s="62"/>
      <c r="C450" s="62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147"/>
      <c r="Q450" s="164"/>
    </row>
    <row r="451" spans="1:17" s="28" customFormat="1" x14ac:dyDescent="0.25">
      <c r="A451" s="56"/>
      <c r="B451" s="62"/>
      <c r="C451" s="62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147"/>
      <c r="Q451" s="164"/>
    </row>
    <row r="452" spans="1:17" s="28" customFormat="1" x14ac:dyDescent="0.25">
      <c r="A452" s="56"/>
      <c r="B452" s="62"/>
      <c r="C452" s="62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147"/>
      <c r="Q452" s="164"/>
    </row>
    <row r="453" spans="1:17" s="28" customFormat="1" x14ac:dyDescent="0.25">
      <c r="A453" s="56"/>
      <c r="B453" s="62"/>
      <c r="C453" s="62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147"/>
      <c r="Q453" s="164"/>
    </row>
    <row r="454" spans="1:17" s="28" customFormat="1" x14ac:dyDescent="0.25">
      <c r="A454" s="56"/>
      <c r="B454" s="62"/>
      <c r="C454" s="62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147"/>
      <c r="Q454" s="164"/>
    </row>
    <row r="455" spans="1:17" s="28" customFormat="1" x14ac:dyDescent="0.25">
      <c r="A455" s="56"/>
      <c r="B455" s="62"/>
      <c r="C455" s="62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147"/>
      <c r="Q455" s="164"/>
    </row>
    <row r="456" spans="1:17" s="28" customFormat="1" x14ac:dyDescent="0.25">
      <c r="A456" s="56"/>
      <c r="B456" s="62"/>
      <c r="C456" s="62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147"/>
      <c r="Q456" s="164"/>
    </row>
    <row r="457" spans="1:17" s="28" customFormat="1" x14ac:dyDescent="0.25">
      <c r="A457" s="56"/>
      <c r="B457" s="62"/>
      <c r="C457" s="62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147"/>
      <c r="Q457" s="164"/>
    </row>
    <row r="458" spans="1:17" s="28" customFormat="1" x14ac:dyDescent="0.25">
      <c r="A458" s="56"/>
      <c r="B458" s="62"/>
      <c r="C458" s="62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147"/>
      <c r="Q458" s="164"/>
    </row>
    <row r="459" spans="1:17" s="28" customFormat="1" x14ac:dyDescent="0.25">
      <c r="A459" s="56"/>
      <c r="B459" s="62"/>
      <c r="C459" s="62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147"/>
      <c r="Q459" s="164"/>
    </row>
    <row r="460" spans="1:17" s="28" customFormat="1" x14ac:dyDescent="0.25">
      <c r="A460" s="56"/>
      <c r="B460" s="62"/>
      <c r="C460" s="62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147"/>
      <c r="Q460" s="164"/>
    </row>
    <row r="461" spans="1:17" s="28" customFormat="1" x14ac:dyDescent="0.25">
      <c r="A461" s="56"/>
      <c r="B461" s="62"/>
      <c r="C461" s="62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147"/>
      <c r="Q461" s="164"/>
    </row>
    <row r="462" spans="1:17" s="28" customFormat="1" x14ac:dyDescent="0.25">
      <c r="A462" s="56"/>
      <c r="B462" s="62"/>
      <c r="C462" s="62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147"/>
      <c r="Q462" s="164"/>
    </row>
    <row r="463" spans="1:17" s="28" customFormat="1" x14ac:dyDescent="0.25">
      <c r="A463" s="56"/>
      <c r="B463" s="62"/>
      <c r="C463" s="62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147"/>
      <c r="Q463" s="164"/>
    </row>
    <row r="464" spans="1:17" s="28" customFormat="1" x14ac:dyDescent="0.25">
      <c r="A464" s="56"/>
      <c r="B464" s="62"/>
      <c r="C464" s="62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147"/>
      <c r="Q464" s="164"/>
    </row>
    <row r="465" spans="1:17" s="28" customFormat="1" x14ac:dyDescent="0.25">
      <c r="A465" s="56"/>
      <c r="B465" s="62"/>
      <c r="C465" s="62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147"/>
      <c r="Q465" s="164"/>
    </row>
    <row r="466" spans="1:17" s="28" customFormat="1" x14ac:dyDescent="0.25">
      <c r="A466" s="56"/>
      <c r="B466" s="62"/>
      <c r="C466" s="62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147"/>
      <c r="Q466" s="164"/>
    </row>
    <row r="467" spans="1:17" s="28" customFormat="1" x14ac:dyDescent="0.25">
      <c r="A467" s="56"/>
      <c r="B467" s="62"/>
      <c r="C467" s="62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147"/>
      <c r="Q467" s="164"/>
    </row>
    <row r="468" spans="1:17" s="28" customFormat="1" x14ac:dyDescent="0.25">
      <c r="A468" s="56"/>
      <c r="B468" s="62"/>
      <c r="C468" s="62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147"/>
      <c r="Q468" s="164"/>
    </row>
    <row r="469" spans="1:17" s="28" customFormat="1" x14ac:dyDescent="0.25">
      <c r="A469" s="56"/>
      <c r="B469" s="62"/>
      <c r="C469" s="62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147"/>
      <c r="Q469" s="164"/>
    </row>
    <row r="470" spans="1:17" s="28" customFormat="1" x14ac:dyDescent="0.25">
      <c r="A470" s="56"/>
      <c r="B470" s="62"/>
      <c r="C470" s="62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147"/>
      <c r="Q470" s="164"/>
    </row>
    <row r="471" spans="1:17" s="28" customFormat="1" x14ac:dyDescent="0.25">
      <c r="A471" s="56"/>
      <c r="B471" s="62"/>
      <c r="C471" s="62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147"/>
      <c r="Q471" s="164"/>
    </row>
    <row r="472" spans="1:17" s="28" customFormat="1" x14ac:dyDescent="0.25">
      <c r="A472" s="56"/>
      <c r="B472" s="62"/>
      <c r="C472" s="62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147"/>
      <c r="Q472" s="164"/>
    </row>
    <row r="473" spans="1:17" s="28" customFormat="1" x14ac:dyDescent="0.25">
      <c r="A473" s="56"/>
      <c r="B473" s="62"/>
      <c r="C473" s="62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147"/>
      <c r="Q473" s="164"/>
    </row>
    <row r="474" spans="1:17" s="28" customFormat="1" x14ac:dyDescent="0.25">
      <c r="A474" s="56"/>
      <c r="B474" s="62"/>
      <c r="C474" s="62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147"/>
      <c r="Q474" s="164"/>
    </row>
    <row r="475" spans="1:17" s="28" customFormat="1" x14ac:dyDescent="0.25">
      <c r="A475" s="56"/>
      <c r="B475" s="62"/>
      <c r="C475" s="62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147"/>
      <c r="Q475" s="164"/>
    </row>
    <row r="476" spans="1:17" s="28" customFormat="1" x14ac:dyDescent="0.25">
      <c r="A476" s="56"/>
      <c r="B476" s="62"/>
      <c r="C476" s="62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147"/>
      <c r="Q476" s="164"/>
    </row>
    <row r="477" spans="1:17" s="28" customFormat="1" x14ac:dyDescent="0.25">
      <c r="A477" s="56"/>
      <c r="B477" s="62"/>
      <c r="C477" s="62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147"/>
      <c r="Q477" s="164"/>
    </row>
    <row r="478" spans="1:17" s="28" customFormat="1" x14ac:dyDescent="0.25">
      <c r="A478" s="56"/>
      <c r="B478" s="62"/>
      <c r="C478" s="62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147"/>
      <c r="Q478" s="164"/>
    </row>
    <row r="479" spans="1:17" s="28" customFormat="1" x14ac:dyDescent="0.25">
      <c r="A479" s="56"/>
      <c r="B479" s="62"/>
      <c r="C479" s="62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147"/>
      <c r="Q479" s="164"/>
    </row>
    <row r="480" spans="1:17" s="28" customFormat="1" x14ac:dyDescent="0.25">
      <c r="A480" s="56"/>
      <c r="B480" s="62"/>
      <c r="C480" s="62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147"/>
      <c r="Q480" s="164"/>
    </row>
    <row r="481" spans="1:17" s="28" customFormat="1" x14ac:dyDescent="0.25">
      <c r="A481" s="56"/>
      <c r="B481" s="62"/>
      <c r="C481" s="62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147"/>
      <c r="Q481" s="164"/>
    </row>
    <row r="482" spans="1:17" s="28" customFormat="1" x14ac:dyDescent="0.25">
      <c r="A482" s="56"/>
      <c r="B482" s="62"/>
      <c r="C482" s="62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147"/>
      <c r="Q482" s="164"/>
    </row>
    <row r="483" spans="1:17" s="28" customFormat="1" x14ac:dyDescent="0.25">
      <c r="A483" s="56"/>
      <c r="B483" s="62"/>
      <c r="C483" s="62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147"/>
      <c r="Q483" s="164"/>
    </row>
    <row r="484" spans="1:17" s="28" customFormat="1" x14ac:dyDescent="0.25">
      <c r="A484" s="56"/>
      <c r="B484" s="62"/>
      <c r="C484" s="62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147"/>
      <c r="Q484" s="164"/>
    </row>
    <row r="485" spans="1:17" s="28" customFormat="1" x14ac:dyDescent="0.25">
      <c r="A485" s="56"/>
      <c r="B485" s="62"/>
      <c r="C485" s="62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147"/>
      <c r="Q485" s="164"/>
    </row>
    <row r="486" spans="1:17" s="28" customFormat="1" x14ac:dyDescent="0.25">
      <c r="A486" s="56"/>
      <c r="B486" s="62"/>
      <c r="C486" s="62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147"/>
      <c r="Q486" s="164"/>
    </row>
    <row r="487" spans="1:17" s="28" customFormat="1" x14ac:dyDescent="0.25">
      <c r="A487" s="56"/>
      <c r="B487" s="62"/>
      <c r="C487" s="62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147"/>
      <c r="Q487" s="164"/>
    </row>
    <row r="488" spans="1:17" s="28" customFormat="1" x14ac:dyDescent="0.25">
      <c r="A488" s="56"/>
      <c r="B488" s="62"/>
      <c r="C488" s="62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147"/>
      <c r="Q488" s="164"/>
    </row>
    <row r="489" spans="1:17" s="28" customFormat="1" x14ac:dyDescent="0.25">
      <c r="A489" s="56"/>
      <c r="B489" s="62"/>
      <c r="C489" s="62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147"/>
      <c r="Q489" s="164"/>
    </row>
    <row r="490" spans="1:17" s="28" customFormat="1" x14ac:dyDescent="0.25">
      <c r="A490" s="56"/>
      <c r="B490" s="62"/>
      <c r="C490" s="62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147"/>
      <c r="Q490" s="164"/>
    </row>
    <row r="491" spans="1:17" s="28" customFormat="1" x14ac:dyDescent="0.25">
      <c r="A491" s="56"/>
      <c r="B491" s="62"/>
      <c r="C491" s="62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147"/>
      <c r="Q491" s="164"/>
    </row>
    <row r="492" spans="1:17" s="28" customFormat="1" x14ac:dyDescent="0.25">
      <c r="A492" s="56"/>
      <c r="B492" s="62"/>
      <c r="C492" s="62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147"/>
      <c r="Q492" s="164"/>
    </row>
    <row r="493" spans="1:17" s="28" customFormat="1" x14ac:dyDescent="0.25">
      <c r="A493" s="56"/>
      <c r="B493" s="62"/>
      <c r="C493" s="62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147"/>
      <c r="Q493" s="164"/>
    </row>
    <row r="494" spans="1:17" s="28" customFormat="1" x14ac:dyDescent="0.25">
      <c r="A494" s="56"/>
      <c r="B494" s="62"/>
      <c r="C494" s="62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147"/>
      <c r="Q494" s="164"/>
    </row>
    <row r="495" spans="1:17" s="28" customFormat="1" x14ac:dyDescent="0.25">
      <c r="A495" s="56"/>
      <c r="B495" s="62"/>
      <c r="C495" s="62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147"/>
      <c r="Q495" s="164"/>
    </row>
    <row r="496" spans="1:17" s="28" customFormat="1" x14ac:dyDescent="0.25">
      <c r="A496" s="56"/>
      <c r="B496" s="62"/>
      <c r="C496" s="62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147"/>
      <c r="Q496" s="164"/>
    </row>
    <row r="497" spans="1:17" s="28" customFormat="1" x14ac:dyDescent="0.25">
      <c r="A497" s="56"/>
      <c r="B497" s="62"/>
      <c r="C497" s="62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147"/>
      <c r="Q497" s="164"/>
    </row>
    <row r="498" spans="1:17" s="28" customFormat="1" x14ac:dyDescent="0.25">
      <c r="A498" s="56"/>
      <c r="B498" s="62"/>
      <c r="C498" s="62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147"/>
      <c r="Q498" s="164"/>
    </row>
    <row r="499" spans="1:17" s="28" customFormat="1" x14ac:dyDescent="0.25">
      <c r="A499" s="56"/>
      <c r="B499" s="62"/>
      <c r="C499" s="62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147"/>
      <c r="Q499" s="164"/>
    </row>
    <row r="500" spans="1:17" s="28" customFormat="1" x14ac:dyDescent="0.25">
      <c r="A500" s="56"/>
      <c r="B500" s="62"/>
      <c r="C500" s="62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147"/>
      <c r="Q500" s="164"/>
    </row>
    <row r="501" spans="1:17" s="28" customFormat="1" x14ac:dyDescent="0.25">
      <c r="A501" s="56"/>
      <c r="B501" s="62"/>
      <c r="C501" s="62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147"/>
      <c r="Q501" s="164"/>
    </row>
    <row r="502" spans="1:17" s="28" customFormat="1" x14ac:dyDescent="0.25">
      <c r="A502" s="56"/>
      <c r="B502" s="62"/>
      <c r="C502" s="62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147"/>
      <c r="Q502" s="164"/>
    </row>
    <row r="503" spans="1:17" s="28" customFormat="1" x14ac:dyDescent="0.25">
      <c r="A503" s="56"/>
      <c r="B503" s="62"/>
      <c r="C503" s="62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147"/>
      <c r="Q503" s="164"/>
    </row>
    <row r="504" spans="1:17" s="28" customFormat="1" x14ac:dyDescent="0.25">
      <c r="A504" s="56"/>
      <c r="B504" s="62"/>
      <c r="C504" s="62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147"/>
      <c r="Q504" s="164"/>
    </row>
    <row r="505" spans="1:17" s="28" customFormat="1" x14ac:dyDescent="0.25">
      <c r="A505" s="56"/>
      <c r="B505" s="62"/>
      <c r="C505" s="62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147"/>
      <c r="Q505" s="164"/>
    </row>
    <row r="506" spans="1:17" s="28" customFormat="1" x14ac:dyDescent="0.25">
      <c r="A506" s="56"/>
      <c r="B506" s="62"/>
      <c r="C506" s="62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147"/>
      <c r="Q506" s="164"/>
    </row>
    <row r="507" spans="1:17" s="28" customFormat="1" x14ac:dyDescent="0.25">
      <c r="A507" s="56"/>
      <c r="B507" s="62"/>
      <c r="C507" s="62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147"/>
      <c r="Q507" s="164"/>
    </row>
    <row r="508" spans="1:17" s="28" customFormat="1" x14ac:dyDescent="0.25">
      <c r="A508" s="56"/>
      <c r="B508" s="62"/>
      <c r="C508" s="62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147"/>
      <c r="Q508" s="164"/>
    </row>
    <row r="509" spans="1:17" s="28" customFormat="1" x14ac:dyDescent="0.25">
      <c r="A509" s="56"/>
      <c r="B509" s="62"/>
      <c r="C509" s="62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147"/>
      <c r="Q509" s="164"/>
    </row>
    <row r="510" spans="1:17" s="28" customFormat="1" x14ac:dyDescent="0.25">
      <c r="A510" s="56"/>
      <c r="B510" s="62"/>
      <c r="C510" s="62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147"/>
      <c r="Q510" s="164"/>
    </row>
    <row r="511" spans="1:17" s="28" customFormat="1" x14ac:dyDescent="0.25">
      <c r="A511" s="56"/>
      <c r="B511" s="62"/>
      <c r="C511" s="62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147"/>
      <c r="Q511" s="164"/>
    </row>
    <row r="512" spans="1:17" s="28" customFormat="1" x14ac:dyDescent="0.25">
      <c r="A512" s="56"/>
      <c r="B512" s="62"/>
      <c r="C512" s="62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147"/>
      <c r="Q512" s="164"/>
    </row>
    <row r="513" spans="1:17" s="28" customFormat="1" x14ac:dyDescent="0.25">
      <c r="A513" s="56"/>
      <c r="B513" s="62"/>
      <c r="C513" s="62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147"/>
      <c r="Q513" s="164"/>
    </row>
    <row r="514" spans="1:17" s="28" customFormat="1" x14ac:dyDescent="0.25">
      <c r="A514" s="56"/>
      <c r="B514" s="62"/>
      <c r="C514" s="62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147"/>
      <c r="Q514" s="164"/>
    </row>
    <row r="515" spans="1:17" s="28" customFormat="1" x14ac:dyDescent="0.25">
      <c r="A515" s="56"/>
      <c r="B515" s="62"/>
      <c r="C515" s="62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147"/>
      <c r="Q515" s="164"/>
    </row>
    <row r="516" spans="1:17" s="28" customFormat="1" x14ac:dyDescent="0.25">
      <c r="A516" s="56"/>
      <c r="B516" s="62"/>
      <c r="C516" s="62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147"/>
      <c r="Q516" s="164"/>
    </row>
    <row r="517" spans="1:17" s="28" customFormat="1" x14ac:dyDescent="0.25">
      <c r="A517" s="56"/>
      <c r="B517" s="62"/>
      <c r="C517" s="62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147"/>
      <c r="Q517" s="164"/>
    </row>
    <row r="518" spans="1:17" s="28" customFormat="1" x14ac:dyDescent="0.25">
      <c r="A518" s="56"/>
      <c r="B518" s="62"/>
      <c r="C518" s="62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147"/>
      <c r="Q518" s="164"/>
    </row>
    <row r="519" spans="1:17" s="28" customFormat="1" x14ac:dyDescent="0.25">
      <c r="A519" s="56"/>
      <c r="B519" s="62"/>
      <c r="C519" s="62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147"/>
      <c r="Q519" s="164"/>
    </row>
    <row r="520" spans="1:17" s="28" customFormat="1" x14ac:dyDescent="0.25">
      <c r="A520" s="56"/>
      <c r="B520" s="62"/>
      <c r="C520" s="62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147"/>
      <c r="Q520" s="164"/>
    </row>
    <row r="521" spans="1:17" s="28" customFormat="1" x14ac:dyDescent="0.25">
      <c r="A521" s="56"/>
      <c r="B521" s="62"/>
      <c r="C521" s="62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147"/>
      <c r="Q521" s="164"/>
    </row>
    <row r="522" spans="1:17" s="28" customFormat="1" x14ac:dyDescent="0.25">
      <c r="A522" s="56"/>
      <c r="B522" s="62"/>
      <c r="C522" s="62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147"/>
      <c r="Q522" s="164"/>
    </row>
    <row r="523" spans="1:17" s="28" customFormat="1" x14ac:dyDescent="0.25">
      <c r="A523" s="56"/>
      <c r="B523" s="62"/>
      <c r="C523" s="62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147"/>
      <c r="Q523" s="164"/>
    </row>
    <row r="524" spans="1:17" s="28" customFormat="1" x14ac:dyDescent="0.25">
      <c r="A524" s="56"/>
      <c r="B524" s="62"/>
      <c r="C524" s="62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147"/>
      <c r="Q524" s="164"/>
    </row>
    <row r="525" spans="1:17" s="28" customFormat="1" x14ac:dyDescent="0.25">
      <c r="A525" s="56"/>
      <c r="B525" s="62"/>
      <c r="C525" s="62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147"/>
      <c r="Q525" s="164"/>
    </row>
    <row r="526" spans="1:17" s="28" customFormat="1" x14ac:dyDescent="0.25">
      <c r="A526" s="56"/>
      <c r="B526" s="62"/>
      <c r="C526" s="62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147"/>
      <c r="Q526" s="164"/>
    </row>
    <row r="527" spans="1:17" s="28" customFormat="1" x14ac:dyDescent="0.25">
      <c r="A527" s="56"/>
      <c r="B527" s="62"/>
      <c r="C527" s="62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147"/>
      <c r="Q527" s="164"/>
    </row>
    <row r="528" spans="1:17" s="28" customFormat="1" x14ac:dyDescent="0.25">
      <c r="A528" s="56"/>
      <c r="B528" s="62"/>
      <c r="C528" s="62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147"/>
      <c r="Q528" s="164"/>
    </row>
    <row r="529" spans="1:17" s="28" customFormat="1" x14ac:dyDescent="0.25">
      <c r="A529" s="56"/>
      <c r="B529" s="62"/>
      <c r="C529" s="62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147"/>
      <c r="Q529" s="164"/>
    </row>
    <row r="530" spans="1:17" s="28" customFormat="1" x14ac:dyDescent="0.25">
      <c r="A530" s="56"/>
      <c r="B530" s="62"/>
      <c r="C530" s="62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147"/>
      <c r="Q530" s="164"/>
    </row>
    <row r="531" spans="1:17" s="28" customFormat="1" x14ac:dyDescent="0.25">
      <c r="A531" s="56"/>
      <c r="B531" s="62"/>
      <c r="C531" s="62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147"/>
      <c r="Q531" s="164"/>
    </row>
    <row r="532" spans="1:17" s="28" customFormat="1" x14ac:dyDescent="0.25">
      <c r="A532" s="56"/>
      <c r="B532" s="62"/>
      <c r="C532" s="62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147"/>
      <c r="Q532" s="164"/>
    </row>
    <row r="533" spans="1:17" s="28" customFormat="1" x14ac:dyDescent="0.25">
      <c r="A533" s="56"/>
      <c r="B533" s="62"/>
      <c r="C533" s="62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147"/>
      <c r="Q533" s="164"/>
    </row>
    <row r="534" spans="1:17" s="28" customFormat="1" x14ac:dyDescent="0.25">
      <c r="A534" s="56"/>
      <c r="B534" s="62"/>
      <c r="C534" s="62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147"/>
      <c r="Q534" s="164"/>
    </row>
    <row r="535" spans="1:17" s="28" customFormat="1" x14ac:dyDescent="0.25">
      <c r="A535" s="56"/>
      <c r="B535" s="62"/>
      <c r="C535" s="62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147"/>
      <c r="Q535" s="164"/>
    </row>
    <row r="536" spans="1:17" s="28" customFormat="1" x14ac:dyDescent="0.25">
      <c r="A536" s="56"/>
      <c r="B536" s="62"/>
      <c r="C536" s="62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147"/>
      <c r="Q536" s="164"/>
    </row>
    <row r="537" spans="1:17" s="28" customFormat="1" x14ac:dyDescent="0.25">
      <c r="A537" s="56"/>
      <c r="B537" s="62"/>
      <c r="C537" s="62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147"/>
      <c r="Q537" s="164"/>
    </row>
    <row r="538" spans="1:17" s="28" customFormat="1" x14ac:dyDescent="0.25">
      <c r="A538" s="56"/>
      <c r="B538" s="62"/>
      <c r="C538" s="62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147"/>
      <c r="Q538" s="164"/>
    </row>
    <row r="539" spans="1:17" s="28" customFormat="1" x14ac:dyDescent="0.25">
      <c r="A539" s="56"/>
      <c r="B539" s="62"/>
      <c r="C539" s="62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147"/>
      <c r="Q539" s="164"/>
    </row>
    <row r="540" spans="1:17" s="28" customFormat="1" x14ac:dyDescent="0.25">
      <c r="A540" s="56"/>
      <c r="B540" s="62"/>
      <c r="C540" s="62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147"/>
      <c r="Q540" s="164"/>
    </row>
    <row r="541" spans="1:17" s="28" customFormat="1" x14ac:dyDescent="0.25">
      <c r="A541" s="56"/>
      <c r="B541" s="62"/>
      <c r="C541" s="62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147"/>
      <c r="Q541" s="164"/>
    </row>
    <row r="542" spans="1:17" s="28" customFormat="1" x14ac:dyDescent="0.25">
      <c r="A542" s="56"/>
      <c r="B542" s="62"/>
      <c r="C542" s="62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147"/>
      <c r="Q542" s="164"/>
    </row>
    <row r="543" spans="1:17" s="28" customFormat="1" x14ac:dyDescent="0.25">
      <c r="A543" s="56"/>
      <c r="B543" s="62"/>
      <c r="C543" s="62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147"/>
      <c r="Q543" s="164"/>
    </row>
    <row r="544" spans="1:17" s="28" customFormat="1" x14ac:dyDescent="0.25">
      <c r="A544" s="56"/>
      <c r="B544" s="62"/>
      <c r="C544" s="62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147"/>
      <c r="Q544" s="164"/>
    </row>
    <row r="545" spans="1:17" s="28" customFormat="1" x14ac:dyDescent="0.25">
      <c r="A545" s="56"/>
      <c r="B545" s="62"/>
      <c r="C545" s="62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147"/>
      <c r="Q545" s="164"/>
    </row>
    <row r="546" spans="1:17" s="28" customFormat="1" x14ac:dyDescent="0.25">
      <c r="A546" s="56"/>
      <c r="B546" s="62"/>
      <c r="C546" s="62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147"/>
      <c r="Q546" s="164"/>
    </row>
    <row r="547" spans="1:17" s="28" customFormat="1" x14ac:dyDescent="0.25">
      <c r="A547" s="56"/>
      <c r="B547" s="62"/>
      <c r="C547" s="62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147"/>
      <c r="Q547" s="164"/>
    </row>
    <row r="548" spans="1:17" s="28" customFormat="1" x14ac:dyDescent="0.25">
      <c r="A548" s="56"/>
      <c r="B548" s="62"/>
      <c r="C548" s="62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147"/>
      <c r="Q548" s="164"/>
    </row>
    <row r="549" spans="1:17" s="28" customFormat="1" x14ac:dyDescent="0.25">
      <c r="A549" s="56"/>
      <c r="B549" s="62"/>
      <c r="C549" s="62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147"/>
      <c r="Q549" s="164"/>
    </row>
    <row r="550" spans="1:17" s="28" customFormat="1" x14ac:dyDescent="0.25">
      <c r="A550" s="56"/>
      <c r="B550" s="62"/>
      <c r="C550" s="62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147"/>
      <c r="Q550" s="164"/>
    </row>
    <row r="551" spans="1:17" s="28" customFormat="1" x14ac:dyDescent="0.25">
      <c r="A551" s="56"/>
      <c r="B551" s="62"/>
      <c r="C551" s="62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147"/>
      <c r="Q551" s="164"/>
    </row>
    <row r="552" spans="1:17" s="28" customFormat="1" x14ac:dyDescent="0.25">
      <c r="A552" s="56"/>
      <c r="B552" s="62"/>
      <c r="C552" s="62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147"/>
      <c r="Q552" s="164"/>
    </row>
    <row r="553" spans="1:17" s="28" customFormat="1" x14ac:dyDescent="0.25">
      <c r="A553" s="56"/>
      <c r="B553" s="62"/>
      <c r="C553" s="62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147"/>
      <c r="Q553" s="164"/>
    </row>
    <row r="554" spans="1:17" s="28" customFormat="1" x14ac:dyDescent="0.25">
      <c r="A554" s="56"/>
      <c r="B554" s="62"/>
      <c r="C554" s="62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147"/>
      <c r="Q554" s="164"/>
    </row>
    <row r="555" spans="1:17" s="28" customFormat="1" x14ac:dyDescent="0.25">
      <c r="A555" s="56"/>
      <c r="B555" s="62"/>
      <c r="C555" s="62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147"/>
      <c r="Q555" s="164"/>
    </row>
    <row r="556" spans="1:17" s="28" customFormat="1" x14ac:dyDescent="0.25">
      <c r="A556" s="56"/>
      <c r="B556" s="62"/>
      <c r="C556" s="62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147"/>
      <c r="Q556" s="164"/>
    </row>
    <row r="557" spans="1:17" s="28" customFormat="1" x14ac:dyDescent="0.25">
      <c r="A557" s="56"/>
      <c r="B557" s="62"/>
      <c r="C557" s="62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147"/>
      <c r="Q557" s="164"/>
    </row>
    <row r="558" spans="1:17" s="28" customFormat="1" x14ac:dyDescent="0.25">
      <c r="A558" s="56"/>
      <c r="B558" s="62"/>
      <c r="C558" s="62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147"/>
      <c r="Q558" s="164"/>
    </row>
    <row r="559" spans="1:17" s="28" customFormat="1" x14ac:dyDescent="0.25">
      <c r="A559" s="56"/>
      <c r="B559" s="62"/>
      <c r="C559" s="62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147"/>
      <c r="Q559" s="164"/>
    </row>
    <row r="560" spans="1:17" s="28" customFormat="1" x14ac:dyDescent="0.25">
      <c r="A560" s="56"/>
      <c r="B560" s="62"/>
      <c r="C560" s="62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147"/>
      <c r="Q560" s="164"/>
    </row>
    <row r="561" spans="1:17" s="28" customFormat="1" x14ac:dyDescent="0.25">
      <c r="A561" s="56"/>
      <c r="B561" s="62"/>
      <c r="C561" s="62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147"/>
      <c r="Q561" s="164"/>
    </row>
    <row r="562" spans="1:17" s="28" customFormat="1" x14ac:dyDescent="0.25">
      <c r="A562" s="56"/>
      <c r="B562" s="62"/>
      <c r="C562" s="62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147"/>
      <c r="Q562" s="164"/>
    </row>
    <row r="563" spans="1:17" s="28" customFormat="1" x14ac:dyDescent="0.25">
      <c r="A563" s="56"/>
      <c r="B563" s="62"/>
      <c r="C563" s="62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147"/>
      <c r="Q563" s="164"/>
    </row>
    <row r="564" spans="1:17" s="28" customFormat="1" x14ac:dyDescent="0.25">
      <c r="A564" s="56"/>
      <c r="B564" s="62"/>
      <c r="C564" s="62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147"/>
      <c r="Q564" s="164"/>
    </row>
    <row r="565" spans="1:17" s="28" customFormat="1" x14ac:dyDescent="0.25">
      <c r="A565" s="56"/>
      <c r="B565" s="62"/>
      <c r="C565" s="62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147"/>
      <c r="Q565" s="164"/>
    </row>
    <row r="566" spans="1:17" s="28" customFormat="1" x14ac:dyDescent="0.25">
      <c r="A566" s="56"/>
      <c r="B566" s="62"/>
      <c r="C566" s="62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147"/>
      <c r="Q566" s="164"/>
    </row>
    <row r="567" spans="1:17" s="28" customFormat="1" x14ac:dyDescent="0.25">
      <c r="A567" s="56"/>
      <c r="B567" s="62"/>
      <c r="C567" s="62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147"/>
      <c r="Q567" s="164"/>
    </row>
    <row r="568" spans="1:17" s="28" customFormat="1" x14ac:dyDescent="0.25">
      <c r="A568" s="56"/>
      <c r="B568" s="62"/>
      <c r="C568" s="62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147"/>
      <c r="Q568" s="164"/>
    </row>
    <row r="569" spans="1:17" s="28" customFormat="1" x14ac:dyDescent="0.25">
      <c r="A569" s="56"/>
      <c r="B569" s="62"/>
      <c r="C569" s="62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147"/>
      <c r="Q569" s="164"/>
    </row>
    <row r="570" spans="1:17" s="28" customFormat="1" x14ac:dyDescent="0.25">
      <c r="A570" s="56"/>
      <c r="B570" s="62"/>
      <c r="C570" s="62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147"/>
      <c r="Q570" s="164"/>
    </row>
    <row r="571" spans="1:17" s="28" customFormat="1" x14ac:dyDescent="0.25">
      <c r="A571" s="56"/>
      <c r="B571" s="62"/>
      <c r="C571" s="62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147"/>
      <c r="Q571" s="164"/>
    </row>
    <row r="572" spans="1:17" s="28" customFormat="1" x14ac:dyDescent="0.25">
      <c r="A572" s="56"/>
      <c r="B572" s="62"/>
      <c r="C572" s="62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147"/>
      <c r="Q572" s="164"/>
    </row>
    <row r="573" spans="1:17" s="28" customFormat="1" x14ac:dyDescent="0.25">
      <c r="A573" s="56"/>
      <c r="B573" s="62"/>
      <c r="C573" s="62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147"/>
      <c r="Q573" s="164"/>
    </row>
    <row r="574" spans="1:17" s="28" customFormat="1" x14ac:dyDescent="0.25">
      <c r="A574" s="56"/>
      <c r="B574" s="62"/>
      <c r="C574" s="62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147"/>
      <c r="Q574" s="164"/>
    </row>
    <row r="575" spans="1:17" s="28" customFormat="1" x14ac:dyDescent="0.25">
      <c r="A575" s="56"/>
      <c r="B575" s="62"/>
      <c r="C575" s="62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147"/>
      <c r="Q575" s="164"/>
    </row>
    <row r="576" spans="1:17" s="28" customFormat="1" x14ac:dyDescent="0.25">
      <c r="A576" s="56"/>
      <c r="B576" s="62"/>
      <c r="C576" s="62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147"/>
      <c r="Q576" s="164"/>
    </row>
    <row r="577" spans="1:17" s="28" customFormat="1" x14ac:dyDescent="0.25">
      <c r="A577" s="56"/>
      <c r="B577" s="62"/>
      <c r="C577" s="62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147"/>
      <c r="Q577" s="164"/>
    </row>
    <row r="578" spans="1:17" s="28" customFormat="1" x14ac:dyDescent="0.25">
      <c r="A578" s="56"/>
      <c r="B578" s="62"/>
      <c r="C578" s="62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147"/>
      <c r="Q578" s="164"/>
    </row>
    <row r="579" spans="1:17" s="28" customFormat="1" x14ac:dyDescent="0.25">
      <c r="A579" s="56"/>
      <c r="B579" s="62"/>
      <c r="C579" s="62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147"/>
      <c r="Q579" s="164"/>
    </row>
    <row r="580" spans="1:17" s="28" customFormat="1" x14ac:dyDescent="0.25">
      <c r="A580" s="56"/>
      <c r="B580" s="62"/>
      <c r="C580" s="62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147"/>
      <c r="Q580" s="164"/>
    </row>
    <row r="581" spans="1:17" s="28" customFormat="1" x14ac:dyDescent="0.25">
      <c r="A581" s="56"/>
      <c r="B581" s="62"/>
      <c r="C581" s="62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147"/>
      <c r="Q581" s="164"/>
    </row>
    <row r="582" spans="1:17" s="28" customFormat="1" x14ac:dyDescent="0.25">
      <c r="A582" s="56"/>
      <c r="B582" s="62"/>
      <c r="C582" s="62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147"/>
      <c r="Q582" s="164"/>
    </row>
    <row r="583" spans="1:17" s="28" customFormat="1" x14ac:dyDescent="0.25">
      <c r="A583" s="56"/>
      <c r="B583" s="62"/>
      <c r="C583" s="62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147"/>
      <c r="Q583" s="164"/>
    </row>
    <row r="584" spans="1:17" s="28" customFormat="1" x14ac:dyDescent="0.25">
      <c r="A584" s="56"/>
      <c r="B584" s="62"/>
      <c r="C584" s="62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147"/>
      <c r="Q584" s="164"/>
    </row>
    <row r="585" spans="1:17" s="28" customFormat="1" x14ac:dyDescent="0.25">
      <c r="A585" s="56"/>
      <c r="B585" s="62"/>
      <c r="C585" s="62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147"/>
      <c r="Q585" s="164"/>
    </row>
    <row r="586" spans="1:17" s="28" customFormat="1" x14ac:dyDescent="0.25">
      <c r="A586" s="56"/>
      <c r="B586" s="62"/>
      <c r="C586" s="62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147"/>
      <c r="Q586" s="164"/>
    </row>
    <row r="587" spans="1:17" s="28" customFormat="1" x14ac:dyDescent="0.25">
      <c r="A587" s="56"/>
      <c r="B587" s="62"/>
      <c r="C587" s="62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147"/>
      <c r="Q587" s="164"/>
    </row>
    <row r="588" spans="1:17" s="28" customFormat="1" x14ac:dyDescent="0.25">
      <c r="A588" s="56"/>
      <c r="B588" s="62"/>
      <c r="C588" s="62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147"/>
      <c r="Q588" s="164"/>
    </row>
    <row r="589" spans="1:17" s="28" customFormat="1" x14ac:dyDescent="0.25">
      <c r="A589" s="56"/>
      <c r="B589" s="62"/>
      <c r="C589" s="62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147"/>
      <c r="Q589" s="164"/>
    </row>
    <row r="590" spans="1:17" s="28" customFormat="1" x14ac:dyDescent="0.25">
      <c r="A590" s="56"/>
      <c r="B590" s="62"/>
      <c r="C590" s="62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147"/>
      <c r="Q590" s="164"/>
    </row>
    <row r="591" spans="1:17" s="28" customFormat="1" x14ac:dyDescent="0.25">
      <c r="A591" s="56"/>
      <c r="B591" s="62"/>
      <c r="C591" s="62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147"/>
      <c r="Q591" s="164"/>
    </row>
    <row r="592" spans="1:17" s="28" customFormat="1" x14ac:dyDescent="0.25">
      <c r="A592" s="56"/>
      <c r="B592" s="62"/>
      <c r="C592" s="62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147"/>
      <c r="Q592" s="164"/>
    </row>
    <row r="593" spans="1:17" s="28" customFormat="1" x14ac:dyDescent="0.25">
      <c r="A593" s="56"/>
      <c r="B593" s="62"/>
      <c r="C593" s="62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147"/>
      <c r="Q593" s="164"/>
    </row>
    <row r="594" spans="1:17" s="28" customFormat="1" x14ac:dyDescent="0.25">
      <c r="A594" s="56"/>
      <c r="B594" s="62"/>
      <c r="C594" s="62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147"/>
      <c r="Q594" s="164"/>
    </row>
    <row r="595" spans="1:17" s="28" customFormat="1" x14ac:dyDescent="0.25">
      <c r="A595" s="56"/>
      <c r="B595" s="62"/>
      <c r="C595" s="62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147"/>
      <c r="Q595" s="164"/>
    </row>
    <row r="596" spans="1:17" s="28" customFormat="1" x14ac:dyDescent="0.25">
      <c r="A596" s="56"/>
      <c r="B596" s="62"/>
      <c r="C596" s="62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147"/>
      <c r="Q596" s="164"/>
    </row>
    <row r="597" spans="1:17" s="28" customFormat="1" x14ac:dyDescent="0.25">
      <c r="A597" s="56"/>
      <c r="B597" s="62"/>
      <c r="C597" s="62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147"/>
      <c r="Q597" s="164"/>
    </row>
    <row r="598" spans="1:17" s="28" customFormat="1" x14ac:dyDescent="0.25">
      <c r="A598" s="56"/>
      <c r="B598" s="62"/>
      <c r="C598" s="62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147"/>
      <c r="Q598" s="164"/>
    </row>
    <row r="599" spans="1:17" s="28" customFormat="1" x14ac:dyDescent="0.25">
      <c r="A599" s="56"/>
      <c r="B599" s="62"/>
      <c r="C599" s="62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147"/>
      <c r="Q599" s="164"/>
    </row>
    <row r="600" spans="1:17" s="28" customFormat="1" x14ac:dyDescent="0.25">
      <c r="A600" s="56"/>
      <c r="B600" s="62"/>
      <c r="C600" s="62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147"/>
      <c r="Q600" s="164"/>
    </row>
    <row r="601" spans="1:17" s="28" customFormat="1" x14ac:dyDescent="0.25">
      <c r="A601" s="56"/>
      <c r="B601" s="62"/>
      <c r="C601" s="62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147"/>
      <c r="Q601" s="164"/>
    </row>
    <row r="602" spans="1:17" s="28" customFormat="1" x14ac:dyDescent="0.25">
      <c r="A602" s="56"/>
      <c r="B602" s="62"/>
      <c r="C602" s="62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147"/>
      <c r="Q602" s="164"/>
    </row>
    <row r="603" spans="1:17" s="28" customFormat="1" x14ac:dyDescent="0.25">
      <c r="A603" s="56"/>
      <c r="B603" s="62"/>
      <c r="C603" s="62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147"/>
      <c r="Q603" s="164"/>
    </row>
    <row r="604" spans="1:17" s="28" customFormat="1" x14ac:dyDescent="0.25">
      <c r="A604" s="56"/>
      <c r="B604" s="62"/>
      <c r="C604" s="62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147"/>
      <c r="Q604" s="164"/>
    </row>
    <row r="605" spans="1:17" s="28" customFormat="1" x14ac:dyDescent="0.25">
      <c r="A605" s="56"/>
      <c r="B605" s="62"/>
      <c r="C605" s="62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147"/>
      <c r="Q605" s="164"/>
    </row>
    <row r="606" spans="1:17" s="28" customFormat="1" x14ac:dyDescent="0.25">
      <c r="A606" s="56"/>
      <c r="B606" s="62"/>
      <c r="C606" s="62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147"/>
      <c r="Q606" s="164"/>
    </row>
    <row r="607" spans="1:17" s="28" customFormat="1" x14ac:dyDescent="0.25">
      <c r="A607" s="56"/>
      <c r="B607" s="62"/>
      <c r="C607" s="62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147"/>
      <c r="Q607" s="164"/>
    </row>
    <row r="608" spans="1:17" s="28" customFormat="1" x14ac:dyDescent="0.25">
      <c r="A608" s="56"/>
      <c r="B608" s="62"/>
      <c r="C608" s="62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147"/>
      <c r="Q608" s="164"/>
    </row>
    <row r="609" spans="1:17" s="28" customFormat="1" x14ac:dyDescent="0.25">
      <c r="A609" s="56"/>
      <c r="B609" s="62"/>
      <c r="C609" s="62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147"/>
      <c r="Q609" s="164"/>
    </row>
    <row r="610" spans="1:17" s="28" customFormat="1" x14ac:dyDescent="0.25">
      <c r="A610" s="56"/>
      <c r="B610" s="62"/>
      <c r="C610" s="62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147"/>
      <c r="Q610" s="164"/>
    </row>
    <row r="611" spans="1:17" s="28" customFormat="1" x14ac:dyDescent="0.25">
      <c r="A611" s="56"/>
      <c r="B611" s="62"/>
      <c r="C611" s="62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147"/>
      <c r="Q611" s="164"/>
    </row>
    <row r="612" spans="1:17" s="28" customFormat="1" x14ac:dyDescent="0.25">
      <c r="A612" s="56"/>
      <c r="B612" s="62"/>
      <c r="C612" s="62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147"/>
      <c r="Q612" s="164"/>
    </row>
    <row r="613" spans="1:17" s="28" customFormat="1" x14ac:dyDescent="0.25">
      <c r="A613" s="56"/>
      <c r="B613" s="62"/>
      <c r="C613" s="62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147"/>
      <c r="Q613" s="164"/>
    </row>
    <row r="614" spans="1:17" s="28" customFormat="1" x14ac:dyDescent="0.25">
      <c r="A614" s="56"/>
      <c r="B614" s="62"/>
      <c r="C614" s="62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147"/>
      <c r="Q614" s="164"/>
    </row>
    <row r="615" spans="1:17" s="28" customFormat="1" x14ac:dyDescent="0.25">
      <c r="A615" s="56"/>
      <c r="B615" s="62"/>
      <c r="C615" s="62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147"/>
      <c r="Q615" s="164"/>
    </row>
    <row r="616" spans="1:17" s="28" customFormat="1" x14ac:dyDescent="0.25">
      <c r="A616" s="56"/>
      <c r="B616" s="62"/>
      <c r="C616" s="62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147"/>
      <c r="Q616" s="164"/>
    </row>
    <row r="617" spans="1:17" s="28" customFormat="1" x14ac:dyDescent="0.25">
      <c r="A617" s="56"/>
      <c r="B617" s="62"/>
      <c r="C617" s="62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147"/>
      <c r="Q617" s="164"/>
    </row>
    <row r="618" spans="1:17" s="28" customFormat="1" x14ac:dyDescent="0.25">
      <c r="A618" s="56"/>
      <c r="B618" s="62"/>
      <c r="C618" s="62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147"/>
      <c r="Q618" s="164"/>
    </row>
    <row r="619" spans="1:17" s="28" customFormat="1" x14ac:dyDescent="0.25">
      <c r="A619" s="56"/>
      <c r="B619" s="62"/>
      <c r="C619" s="62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147"/>
      <c r="Q619" s="164"/>
    </row>
    <row r="620" spans="1:17" s="28" customFormat="1" x14ac:dyDescent="0.25">
      <c r="A620" s="56"/>
      <c r="B620" s="62"/>
      <c r="C620" s="62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147"/>
      <c r="Q620" s="164"/>
    </row>
    <row r="621" spans="1:17" s="28" customFormat="1" x14ac:dyDescent="0.25">
      <c r="A621" s="56"/>
      <c r="B621" s="62"/>
      <c r="C621" s="62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147"/>
      <c r="Q621" s="164"/>
    </row>
    <row r="622" spans="1:17" s="28" customFormat="1" x14ac:dyDescent="0.25">
      <c r="A622" s="56"/>
      <c r="B622" s="62"/>
      <c r="C622" s="62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147"/>
      <c r="Q622" s="164"/>
    </row>
    <row r="623" spans="1:17" s="28" customFormat="1" x14ac:dyDescent="0.25">
      <c r="A623" s="56"/>
      <c r="B623" s="62"/>
      <c r="C623" s="62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147"/>
      <c r="Q623" s="164"/>
    </row>
    <row r="624" spans="1:17" s="28" customFormat="1" x14ac:dyDescent="0.25">
      <c r="A624" s="56"/>
      <c r="B624" s="62"/>
      <c r="C624" s="62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147"/>
      <c r="Q624" s="164"/>
    </row>
    <row r="625" spans="1:17" s="28" customFormat="1" x14ac:dyDescent="0.25">
      <c r="A625" s="56"/>
      <c r="B625" s="62"/>
      <c r="C625" s="62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147"/>
      <c r="Q625" s="164"/>
    </row>
    <row r="626" spans="1:17" s="28" customFormat="1" x14ac:dyDescent="0.25">
      <c r="A626" s="56"/>
      <c r="B626" s="62"/>
      <c r="C626" s="62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147"/>
      <c r="Q626" s="164"/>
    </row>
    <row r="627" spans="1:17" s="28" customFormat="1" x14ac:dyDescent="0.25">
      <c r="A627" s="56"/>
      <c r="B627" s="62"/>
      <c r="C627" s="62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147"/>
      <c r="Q627" s="164"/>
    </row>
    <row r="628" spans="1:17" s="28" customFormat="1" x14ac:dyDescent="0.25">
      <c r="A628" s="56"/>
      <c r="B628" s="62"/>
      <c r="C628" s="62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147"/>
      <c r="Q628" s="164"/>
    </row>
    <row r="629" spans="1:17" s="28" customFormat="1" x14ac:dyDescent="0.25">
      <c r="A629" s="56"/>
      <c r="B629" s="62"/>
      <c r="C629" s="62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147"/>
      <c r="Q629" s="164"/>
    </row>
    <row r="630" spans="1:17" s="28" customFormat="1" x14ac:dyDescent="0.25">
      <c r="A630" s="56"/>
      <c r="B630" s="62"/>
      <c r="C630" s="62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147"/>
      <c r="Q630" s="164"/>
    </row>
    <row r="631" spans="1:17" s="28" customFormat="1" x14ac:dyDescent="0.25">
      <c r="A631" s="56"/>
      <c r="B631" s="62"/>
      <c r="C631" s="62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147"/>
      <c r="Q631" s="164"/>
    </row>
    <row r="632" spans="1:17" s="28" customFormat="1" x14ac:dyDescent="0.25">
      <c r="A632" s="56"/>
      <c r="B632" s="62"/>
      <c r="C632" s="62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147"/>
      <c r="Q632" s="164"/>
    </row>
    <row r="633" spans="1:17" s="28" customFormat="1" x14ac:dyDescent="0.25">
      <c r="A633" s="56"/>
      <c r="B633" s="62"/>
      <c r="C633" s="62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147"/>
      <c r="Q633" s="164"/>
    </row>
    <row r="634" spans="1:17" s="28" customFormat="1" x14ac:dyDescent="0.25">
      <c r="A634" s="56"/>
      <c r="B634" s="62"/>
      <c r="C634" s="62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147"/>
      <c r="Q634" s="164"/>
    </row>
    <row r="635" spans="1:17" s="28" customFormat="1" x14ac:dyDescent="0.25">
      <c r="A635" s="56"/>
      <c r="B635" s="62"/>
      <c r="C635" s="62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147"/>
      <c r="Q635" s="164"/>
    </row>
    <row r="636" spans="1:17" s="28" customFormat="1" x14ac:dyDescent="0.25">
      <c r="A636" s="56"/>
      <c r="B636" s="62"/>
      <c r="C636" s="62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147"/>
      <c r="Q636" s="164"/>
    </row>
    <row r="637" spans="1:17" s="28" customFormat="1" x14ac:dyDescent="0.25">
      <c r="A637" s="56"/>
      <c r="B637" s="62"/>
      <c r="C637" s="62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147"/>
      <c r="Q637" s="164"/>
    </row>
    <row r="638" spans="1:17" s="28" customFormat="1" x14ac:dyDescent="0.25">
      <c r="A638" s="56"/>
      <c r="B638" s="62"/>
      <c r="C638" s="62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147"/>
      <c r="Q638" s="164"/>
    </row>
    <row r="639" spans="1:17" s="28" customFormat="1" x14ac:dyDescent="0.25">
      <c r="A639" s="56"/>
      <c r="B639" s="62"/>
      <c r="C639" s="62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147"/>
      <c r="Q639" s="164"/>
    </row>
    <row r="640" spans="1:17" s="28" customFormat="1" x14ac:dyDescent="0.25">
      <c r="A640" s="56"/>
      <c r="B640" s="62"/>
      <c r="C640" s="62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147"/>
      <c r="Q640" s="164"/>
    </row>
    <row r="641" spans="1:17" s="28" customFormat="1" x14ac:dyDescent="0.25">
      <c r="A641" s="56"/>
      <c r="B641" s="62"/>
      <c r="C641" s="62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147"/>
      <c r="Q641" s="164"/>
    </row>
    <row r="642" spans="1:17" s="28" customFormat="1" x14ac:dyDescent="0.25">
      <c r="A642" s="56"/>
      <c r="B642" s="62"/>
      <c r="C642" s="62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147"/>
      <c r="Q642" s="164"/>
    </row>
    <row r="643" spans="1:17" s="28" customFormat="1" x14ac:dyDescent="0.25">
      <c r="A643" s="56"/>
      <c r="B643" s="62"/>
      <c r="C643" s="62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147"/>
      <c r="Q643" s="164"/>
    </row>
    <row r="644" spans="1:17" s="28" customFormat="1" x14ac:dyDescent="0.25">
      <c r="A644" s="56"/>
      <c r="B644" s="62"/>
      <c r="C644" s="62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147"/>
      <c r="Q644" s="164"/>
    </row>
    <row r="645" spans="1:17" s="28" customFormat="1" x14ac:dyDescent="0.25">
      <c r="A645" s="56"/>
      <c r="B645" s="62"/>
      <c r="C645" s="62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147"/>
      <c r="Q645" s="164"/>
    </row>
    <row r="646" spans="1:17" s="28" customFormat="1" x14ac:dyDescent="0.25">
      <c r="A646" s="56"/>
      <c r="B646" s="62"/>
      <c r="C646" s="62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147"/>
      <c r="Q646" s="164"/>
    </row>
    <row r="647" spans="1:17" s="28" customFormat="1" x14ac:dyDescent="0.25">
      <c r="A647" s="56"/>
      <c r="B647" s="62"/>
      <c r="C647" s="62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147"/>
      <c r="Q647" s="164"/>
    </row>
    <row r="648" spans="1:17" s="28" customFormat="1" x14ac:dyDescent="0.25">
      <c r="A648" s="56"/>
      <c r="B648" s="62"/>
      <c r="C648" s="62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147"/>
      <c r="Q648" s="164"/>
    </row>
    <row r="649" spans="1:17" s="28" customFormat="1" x14ac:dyDescent="0.25">
      <c r="A649" s="56"/>
      <c r="B649" s="62"/>
      <c r="C649" s="62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147"/>
      <c r="Q649" s="164"/>
    </row>
    <row r="650" spans="1:17" s="28" customFormat="1" x14ac:dyDescent="0.25">
      <c r="A650" s="56"/>
      <c r="B650" s="62"/>
      <c r="C650" s="62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147"/>
      <c r="Q650" s="164"/>
    </row>
    <row r="651" spans="1:17" s="28" customFormat="1" x14ac:dyDescent="0.25">
      <c r="A651" s="56"/>
      <c r="B651" s="62"/>
      <c r="C651" s="62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147"/>
      <c r="Q651" s="164"/>
    </row>
    <row r="652" spans="1:17" s="28" customFormat="1" x14ac:dyDescent="0.25">
      <c r="A652" s="56"/>
      <c r="B652" s="62"/>
      <c r="C652" s="62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147"/>
      <c r="Q652" s="164"/>
    </row>
    <row r="653" spans="1:17" s="28" customFormat="1" x14ac:dyDescent="0.25">
      <c r="A653" s="56"/>
      <c r="B653" s="62"/>
      <c r="C653" s="62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147"/>
      <c r="Q653" s="164"/>
    </row>
    <row r="654" spans="1:17" s="28" customFormat="1" x14ac:dyDescent="0.25">
      <c r="A654" s="56"/>
      <c r="B654" s="62"/>
      <c r="C654" s="62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147"/>
      <c r="Q654" s="164"/>
    </row>
    <row r="655" spans="1:17" s="28" customFormat="1" x14ac:dyDescent="0.25">
      <c r="A655" s="56"/>
      <c r="B655" s="62"/>
      <c r="C655" s="62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147"/>
      <c r="Q655" s="164"/>
    </row>
    <row r="656" spans="1:17" s="28" customFormat="1" x14ac:dyDescent="0.25">
      <c r="A656" s="56"/>
      <c r="B656" s="62"/>
      <c r="C656" s="62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147"/>
      <c r="Q656" s="164"/>
    </row>
    <row r="657" spans="1:17" s="28" customFormat="1" x14ac:dyDescent="0.25">
      <c r="A657" s="56"/>
      <c r="B657" s="62"/>
      <c r="C657" s="62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147"/>
      <c r="Q657" s="164"/>
    </row>
    <row r="658" spans="1:17" s="28" customFormat="1" x14ac:dyDescent="0.25">
      <c r="A658" s="56"/>
      <c r="B658" s="62"/>
      <c r="C658" s="62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147"/>
      <c r="Q658" s="164"/>
    </row>
    <row r="659" spans="1:17" s="28" customFormat="1" x14ac:dyDescent="0.25">
      <c r="A659" s="56"/>
      <c r="B659" s="62"/>
      <c r="C659" s="62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147"/>
      <c r="Q659" s="164"/>
    </row>
    <row r="660" spans="1:17" s="28" customFormat="1" x14ac:dyDescent="0.25">
      <c r="A660" s="56"/>
      <c r="B660" s="62"/>
      <c r="C660" s="62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147"/>
      <c r="Q660" s="164"/>
    </row>
    <row r="661" spans="1:17" s="28" customFormat="1" x14ac:dyDescent="0.25">
      <c r="A661" s="56"/>
      <c r="B661" s="62"/>
      <c r="C661" s="62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147"/>
      <c r="Q661" s="164"/>
    </row>
    <row r="662" spans="1:17" s="28" customFormat="1" x14ac:dyDescent="0.25">
      <c r="A662" s="56"/>
      <c r="B662" s="62"/>
      <c r="C662" s="62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147"/>
      <c r="Q662" s="164"/>
    </row>
    <row r="663" spans="1:17" s="28" customFormat="1" x14ac:dyDescent="0.25">
      <c r="A663" s="56"/>
      <c r="B663" s="62"/>
      <c r="C663" s="62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147"/>
      <c r="Q663" s="164"/>
    </row>
    <row r="664" spans="1:17" s="28" customFormat="1" x14ac:dyDescent="0.25">
      <c r="A664" s="56"/>
      <c r="B664" s="62"/>
      <c r="C664" s="62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147"/>
      <c r="Q664" s="164"/>
    </row>
    <row r="665" spans="1:17" s="28" customFormat="1" x14ac:dyDescent="0.25">
      <c r="A665" s="56"/>
      <c r="B665" s="62"/>
      <c r="C665" s="62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147"/>
      <c r="Q665" s="164"/>
    </row>
    <row r="666" spans="1:17" s="28" customFormat="1" x14ac:dyDescent="0.25">
      <c r="A666" s="56"/>
      <c r="B666" s="62"/>
      <c r="C666" s="62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147"/>
      <c r="Q666" s="164"/>
    </row>
    <row r="667" spans="1:17" s="28" customFormat="1" x14ac:dyDescent="0.25">
      <c r="A667" s="56"/>
      <c r="B667" s="62"/>
      <c r="C667" s="62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147"/>
      <c r="Q667" s="164"/>
    </row>
    <row r="668" spans="1:17" s="28" customFormat="1" x14ac:dyDescent="0.25">
      <c r="A668" s="56"/>
      <c r="B668" s="62"/>
      <c r="C668" s="62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147"/>
      <c r="Q668" s="164"/>
    </row>
    <row r="669" spans="1:17" s="28" customFormat="1" x14ac:dyDescent="0.25">
      <c r="A669" s="56"/>
      <c r="B669" s="62"/>
      <c r="C669" s="62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147"/>
      <c r="Q669" s="164"/>
    </row>
    <row r="670" spans="1:17" s="28" customFormat="1" x14ac:dyDescent="0.25">
      <c r="A670" s="56"/>
      <c r="B670" s="62"/>
      <c r="C670" s="62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147"/>
      <c r="Q670" s="164"/>
    </row>
    <row r="671" spans="1:17" s="28" customFormat="1" x14ac:dyDescent="0.25">
      <c r="A671" s="56"/>
      <c r="B671" s="62"/>
      <c r="C671" s="62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147"/>
      <c r="Q671" s="164"/>
    </row>
    <row r="672" spans="1:17" s="28" customFormat="1" x14ac:dyDescent="0.25">
      <c r="A672" s="56"/>
      <c r="B672" s="62"/>
      <c r="C672" s="62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147"/>
      <c r="Q672" s="164"/>
    </row>
    <row r="673" spans="1:17" s="28" customFormat="1" x14ac:dyDescent="0.25">
      <c r="A673" s="56"/>
      <c r="B673" s="62"/>
      <c r="C673" s="62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147"/>
      <c r="Q673" s="164"/>
    </row>
    <row r="674" spans="1:17" s="28" customFormat="1" x14ac:dyDescent="0.25">
      <c r="A674" s="56"/>
      <c r="B674" s="62"/>
      <c r="C674" s="62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147"/>
      <c r="Q674" s="164"/>
    </row>
    <row r="675" spans="1:17" s="28" customFormat="1" x14ac:dyDescent="0.25">
      <c r="A675" s="56"/>
      <c r="B675" s="62"/>
      <c r="C675" s="62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147"/>
      <c r="Q675" s="164"/>
    </row>
    <row r="676" spans="1:17" s="28" customFormat="1" x14ac:dyDescent="0.25">
      <c r="A676" s="56"/>
      <c r="B676" s="62"/>
      <c r="C676" s="62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147"/>
      <c r="Q676" s="164"/>
    </row>
    <row r="677" spans="1:17" s="28" customFormat="1" x14ac:dyDescent="0.25">
      <c r="A677" s="56"/>
      <c r="B677" s="62"/>
      <c r="C677" s="62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147"/>
      <c r="Q677" s="164"/>
    </row>
    <row r="678" spans="1:17" s="28" customFormat="1" x14ac:dyDescent="0.25">
      <c r="A678" s="56"/>
      <c r="B678" s="62"/>
      <c r="C678" s="62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147"/>
      <c r="Q678" s="164"/>
    </row>
    <row r="679" spans="1:17" s="28" customFormat="1" x14ac:dyDescent="0.25">
      <c r="A679" s="56"/>
      <c r="B679" s="62"/>
      <c r="C679" s="62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147"/>
      <c r="Q679" s="164"/>
    </row>
    <row r="680" spans="1:17" s="28" customFormat="1" x14ac:dyDescent="0.25">
      <c r="A680" s="56"/>
      <c r="B680" s="62"/>
      <c r="C680" s="62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147"/>
      <c r="Q680" s="164"/>
    </row>
    <row r="681" spans="1:17" s="28" customFormat="1" x14ac:dyDescent="0.25">
      <c r="A681" s="56"/>
      <c r="B681" s="62"/>
      <c r="C681" s="62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147"/>
      <c r="Q681" s="164"/>
    </row>
    <row r="682" spans="1:17" s="28" customFormat="1" x14ac:dyDescent="0.25">
      <c r="A682" s="56"/>
      <c r="B682" s="62"/>
      <c r="C682" s="62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147"/>
      <c r="Q682" s="164"/>
    </row>
    <row r="683" spans="1:17" s="28" customFormat="1" x14ac:dyDescent="0.25">
      <c r="A683" s="56"/>
      <c r="B683" s="62"/>
      <c r="C683" s="62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147"/>
      <c r="Q683" s="164"/>
    </row>
    <row r="684" spans="1:17" s="28" customFormat="1" x14ac:dyDescent="0.25">
      <c r="A684" s="56"/>
      <c r="B684" s="62"/>
      <c r="C684" s="62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147"/>
      <c r="Q684" s="164"/>
    </row>
    <row r="685" spans="1:17" s="28" customFormat="1" x14ac:dyDescent="0.25">
      <c r="A685" s="56"/>
      <c r="B685" s="62"/>
      <c r="C685" s="62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147"/>
      <c r="Q685" s="164"/>
    </row>
    <row r="686" spans="1:17" s="28" customFormat="1" x14ac:dyDescent="0.25">
      <c r="A686" s="56"/>
      <c r="B686" s="62"/>
      <c r="C686" s="62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147"/>
      <c r="Q686" s="164"/>
    </row>
    <row r="687" spans="1:17" s="28" customFormat="1" x14ac:dyDescent="0.25">
      <c r="A687" s="56"/>
      <c r="B687" s="62"/>
      <c r="C687" s="62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147"/>
      <c r="Q687" s="164"/>
    </row>
    <row r="688" spans="1:17" s="28" customFormat="1" x14ac:dyDescent="0.25">
      <c r="A688" s="56"/>
      <c r="B688" s="62"/>
      <c r="C688" s="62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147"/>
      <c r="Q688" s="164"/>
    </row>
    <row r="689" spans="1:17" s="28" customFormat="1" x14ac:dyDescent="0.25">
      <c r="A689" s="56"/>
      <c r="B689" s="62"/>
      <c r="C689" s="62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147"/>
      <c r="Q689" s="164"/>
    </row>
    <row r="690" spans="1:17" s="28" customFormat="1" x14ac:dyDescent="0.25">
      <c r="A690" s="56"/>
      <c r="B690" s="62"/>
      <c r="C690" s="62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147"/>
      <c r="Q690" s="164"/>
    </row>
    <row r="691" spans="1:17" s="28" customFormat="1" x14ac:dyDescent="0.25">
      <c r="A691" s="56"/>
      <c r="B691" s="62"/>
      <c r="C691" s="62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147"/>
      <c r="Q691" s="164"/>
    </row>
    <row r="692" spans="1:17" s="28" customFormat="1" x14ac:dyDescent="0.25">
      <c r="A692" s="56"/>
      <c r="B692" s="62"/>
      <c r="C692" s="62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147"/>
      <c r="Q692" s="164"/>
    </row>
    <row r="693" spans="1:17" s="28" customFormat="1" x14ac:dyDescent="0.25">
      <c r="A693" s="56"/>
      <c r="B693" s="62"/>
      <c r="C693" s="62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147"/>
      <c r="Q693" s="164"/>
    </row>
    <row r="694" spans="1:17" s="28" customFormat="1" x14ac:dyDescent="0.25">
      <c r="A694" s="56"/>
      <c r="B694" s="62"/>
      <c r="C694" s="62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147"/>
      <c r="Q694" s="164"/>
    </row>
    <row r="695" spans="1:17" s="28" customFormat="1" x14ac:dyDescent="0.25">
      <c r="A695" s="56"/>
      <c r="B695" s="62"/>
      <c r="C695" s="62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147"/>
      <c r="Q695" s="164"/>
    </row>
    <row r="696" spans="1:17" s="28" customFormat="1" x14ac:dyDescent="0.25">
      <c r="A696" s="56"/>
      <c r="B696" s="62"/>
      <c r="C696" s="62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147"/>
      <c r="Q696" s="164"/>
    </row>
    <row r="697" spans="1:17" s="28" customFormat="1" x14ac:dyDescent="0.25">
      <c r="A697" s="56"/>
      <c r="B697" s="62"/>
      <c r="C697" s="62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147"/>
      <c r="Q697" s="164"/>
    </row>
    <row r="698" spans="1:17" s="28" customFormat="1" x14ac:dyDescent="0.25">
      <c r="A698" s="56"/>
      <c r="B698" s="62"/>
      <c r="C698" s="62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147"/>
      <c r="Q698" s="164"/>
    </row>
    <row r="699" spans="1:17" s="28" customFormat="1" x14ac:dyDescent="0.25">
      <c r="A699" s="56"/>
      <c r="B699" s="62"/>
      <c r="C699" s="62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147"/>
      <c r="Q699" s="164"/>
    </row>
    <row r="700" spans="1:17" s="28" customFormat="1" x14ac:dyDescent="0.25">
      <c r="A700" s="56"/>
      <c r="B700" s="62"/>
      <c r="C700" s="62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147"/>
      <c r="Q700" s="164"/>
    </row>
    <row r="701" spans="1:17" s="28" customFormat="1" x14ac:dyDescent="0.25">
      <c r="A701" s="56"/>
      <c r="B701" s="62"/>
      <c r="C701" s="62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147"/>
      <c r="Q701" s="164"/>
    </row>
    <row r="702" spans="1:17" s="28" customFormat="1" x14ac:dyDescent="0.25">
      <c r="A702" s="56"/>
      <c r="B702" s="62"/>
      <c r="C702" s="62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147"/>
      <c r="Q702" s="164"/>
    </row>
    <row r="703" spans="1:17" s="28" customFormat="1" x14ac:dyDescent="0.25">
      <c r="A703" s="56"/>
      <c r="B703" s="62"/>
      <c r="C703" s="62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147"/>
      <c r="Q703" s="164"/>
    </row>
    <row r="704" spans="1:17" s="28" customFormat="1" x14ac:dyDescent="0.25">
      <c r="A704" s="56"/>
      <c r="B704" s="62"/>
      <c r="C704" s="62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147"/>
      <c r="Q704" s="164"/>
    </row>
    <row r="705" spans="1:17" s="28" customFormat="1" x14ac:dyDescent="0.25">
      <c r="A705" s="56"/>
      <c r="B705" s="62"/>
      <c r="C705" s="62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147"/>
      <c r="Q705" s="164"/>
    </row>
    <row r="706" spans="1:17" s="28" customFormat="1" x14ac:dyDescent="0.25">
      <c r="A706" s="56"/>
      <c r="B706" s="62"/>
      <c r="C706" s="62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147"/>
      <c r="Q706" s="164"/>
    </row>
    <row r="707" spans="1:17" s="28" customFormat="1" x14ac:dyDescent="0.25">
      <c r="A707" s="56"/>
      <c r="B707" s="62"/>
      <c r="C707" s="62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147"/>
      <c r="Q707" s="164"/>
    </row>
    <row r="708" spans="1:17" s="28" customFormat="1" x14ac:dyDescent="0.25">
      <c r="A708" s="56"/>
      <c r="B708" s="62"/>
      <c r="C708" s="62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147"/>
      <c r="Q708" s="164"/>
    </row>
    <row r="709" spans="1:17" s="28" customFormat="1" x14ac:dyDescent="0.25">
      <c r="A709" s="56"/>
      <c r="B709" s="62"/>
      <c r="C709" s="62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147"/>
      <c r="Q709" s="164"/>
    </row>
    <row r="710" spans="1:17" s="28" customFormat="1" x14ac:dyDescent="0.25">
      <c r="A710" s="56"/>
      <c r="B710" s="62"/>
      <c r="C710" s="62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147"/>
      <c r="Q710" s="164"/>
    </row>
    <row r="711" spans="1:17" s="28" customFormat="1" x14ac:dyDescent="0.25">
      <c r="A711" s="56"/>
      <c r="B711" s="62"/>
      <c r="C711" s="62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147"/>
      <c r="Q711" s="164"/>
    </row>
    <row r="712" spans="1:17" s="28" customFormat="1" x14ac:dyDescent="0.25">
      <c r="A712" s="56"/>
      <c r="B712" s="62"/>
      <c r="C712" s="62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147"/>
      <c r="Q712" s="164"/>
    </row>
    <row r="713" spans="1:17" s="28" customFormat="1" x14ac:dyDescent="0.25">
      <c r="A713" s="56"/>
      <c r="B713" s="62"/>
      <c r="C713" s="62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147"/>
      <c r="Q713" s="164"/>
    </row>
    <row r="714" spans="1:17" s="28" customFormat="1" x14ac:dyDescent="0.25">
      <c r="A714" s="56"/>
      <c r="B714" s="62"/>
      <c r="C714" s="62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147"/>
      <c r="Q714" s="164"/>
    </row>
    <row r="715" spans="1:17" s="28" customFormat="1" x14ac:dyDescent="0.25">
      <c r="A715" s="56"/>
      <c r="B715" s="62"/>
      <c r="C715" s="62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147"/>
      <c r="Q715" s="164"/>
    </row>
    <row r="716" spans="1:17" s="28" customFormat="1" x14ac:dyDescent="0.25">
      <c r="A716" s="56"/>
      <c r="B716" s="62"/>
      <c r="C716" s="62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147"/>
      <c r="Q716" s="164"/>
    </row>
    <row r="717" spans="1:17" s="28" customFormat="1" x14ac:dyDescent="0.25">
      <c r="A717" s="56"/>
      <c r="B717" s="62"/>
      <c r="C717" s="62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147"/>
      <c r="Q717" s="164"/>
    </row>
    <row r="718" spans="1:17" s="28" customFormat="1" x14ac:dyDescent="0.25">
      <c r="A718" s="56"/>
      <c r="B718" s="62"/>
      <c r="C718" s="62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147"/>
      <c r="Q718" s="164"/>
    </row>
    <row r="719" spans="1:17" s="28" customFormat="1" x14ac:dyDescent="0.25">
      <c r="A719" s="56"/>
      <c r="B719" s="62"/>
      <c r="C719" s="62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147"/>
      <c r="Q719" s="164"/>
    </row>
    <row r="720" spans="1:17" s="28" customFormat="1" x14ac:dyDescent="0.25">
      <c r="A720" s="56"/>
      <c r="B720" s="62"/>
      <c r="C720" s="62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147"/>
      <c r="Q720" s="164"/>
    </row>
    <row r="721" spans="1:17" s="28" customFormat="1" x14ac:dyDescent="0.25">
      <c r="A721" s="56"/>
      <c r="B721" s="62"/>
      <c r="C721" s="62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147"/>
      <c r="Q721" s="164"/>
    </row>
    <row r="722" spans="1:17" s="28" customFormat="1" x14ac:dyDescent="0.25">
      <c r="A722" s="56"/>
      <c r="B722" s="62"/>
      <c r="C722" s="62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147"/>
      <c r="Q722" s="164"/>
    </row>
    <row r="723" spans="1:17" s="28" customFormat="1" x14ac:dyDescent="0.25">
      <c r="A723" s="56"/>
      <c r="B723" s="62"/>
      <c r="C723" s="62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147"/>
      <c r="Q723" s="164"/>
    </row>
    <row r="724" spans="1:17" s="28" customFormat="1" x14ac:dyDescent="0.25">
      <c r="A724" s="56"/>
      <c r="B724" s="62"/>
      <c r="C724" s="62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147"/>
      <c r="Q724" s="164"/>
    </row>
    <row r="725" spans="1:17" s="28" customFormat="1" x14ac:dyDescent="0.25">
      <c r="A725" s="56"/>
      <c r="B725" s="62"/>
      <c r="C725" s="62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147"/>
      <c r="Q725" s="164"/>
    </row>
    <row r="726" spans="1:17" s="28" customFormat="1" x14ac:dyDescent="0.25">
      <c r="A726" s="56"/>
      <c r="B726" s="62"/>
      <c r="C726" s="62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147"/>
      <c r="Q726" s="164"/>
    </row>
    <row r="727" spans="1:17" s="28" customFormat="1" x14ac:dyDescent="0.25">
      <c r="A727" s="56"/>
      <c r="B727" s="62"/>
      <c r="C727" s="62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147"/>
      <c r="Q727" s="164"/>
    </row>
    <row r="728" spans="1:17" s="28" customFormat="1" x14ac:dyDescent="0.25">
      <c r="A728" s="56"/>
      <c r="B728" s="62"/>
      <c r="C728" s="62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147"/>
      <c r="Q728" s="164"/>
    </row>
    <row r="729" spans="1:17" s="28" customFormat="1" x14ac:dyDescent="0.25">
      <c r="A729" s="56"/>
      <c r="B729" s="62"/>
      <c r="C729" s="62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147"/>
      <c r="Q729" s="164"/>
    </row>
    <row r="730" spans="1:17" s="28" customFormat="1" x14ac:dyDescent="0.25">
      <c r="A730" s="56"/>
      <c r="B730" s="62"/>
      <c r="C730" s="62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147"/>
      <c r="Q730" s="164"/>
    </row>
    <row r="731" spans="1:17" s="28" customFormat="1" x14ac:dyDescent="0.25">
      <c r="A731" s="56"/>
      <c r="B731" s="62"/>
      <c r="C731" s="62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147"/>
      <c r="Q731" s="164"/>
    </row>
    <row r="732" spans="1:17" s="28" customFormat="1" x14ac:dyDescent="0.25">
      <c r="A732" s="56"/>
      <c r="B732" s="62"/>
      <c r="C732" s="62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147"/>
      <c r="Q732" s="164"/>
    </row>
    <row r="733" spans="1:17" s="28" customFormat="1" x14ac:dyDescent="0.25">
      <c r="A733" s="56"/>
      <c r="B733" s="62"/>
      <c r="C733" s="62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147"/>
      <c r="Q733" s="164"/>
    </row>
    <row r="734" spans="1:17" s="28" customFormat="1" x14ac:dyDescent="0.25">
      <c r="A734" s="56"/>
      <c r="B734" s="62"/>
      <c r="C734" s="62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147"/>
      <c r="Q734" s="164"/>
    </row>
    <row r="735" spans="1:17" s="28" customFormat="1" x14ac:dyDescent="0.25">
      <c r="A735" s="56"/>
      <c r="B735" s="62"/>
      <c r="C735" s="62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147"/>
      <c r="Q735" s="164"/>
    </row>
    <row r="736" spans="1:17" s="28" customFormat="1" x14ac:dyDescent="0.25">
      <c r="A736" s="56"/>
      <c r="B736" s="62"/>
      <c r="C736" s="62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147"/>
      <c r="Q736" s="164"/>
    </row>
    <row r="737" spans="1:17" s="28" customFormat="1" x14ac:dyDescent="0.25">
      <c r="A737" s="56"/>
      <c r="B737" s="62"/>
      <c r="C737" s="62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147"/>
      <c r="Q737" s="164"/>
    </row>
    <row r="738" spans="1:17" s="28" customFormat="1" x14ac:dyDescent="0.25">
      <c r="A738" s="56"/>
      <c r="B738" s="62"/>
      <c r="C738" s="62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147"/>
      <c r="Q738" s="164"/>
    </row>
    <row r="739" spans="1:17" s="28" customFormat="1" x14ac:dyDescent="0.25">
      <c r="A739" s="56"/>
      <c r="B739" s="62"/>
      <c r="C739" s="62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147"/>
      <c r="Q739" s="164"/>
    </row>
    <row r="740" spans="1:17" s="28" customFormat="1" x14ac:dyDescent="0.25">
      <c r="A740" s="56"/>
      <c r="B740" s="62"/>
      <c r="C740" s="62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147"/>
      <c r="Q740" s="164"/>
    </row>
    <row r="741" spans="1:17" s="28" customFormat="1" x14ac:dyDescent="0.25">
      <c r="A741" s="56"/>
      <c r="B741" s="62"/>
      <c r="C741" s="62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147"/>
      <c r="Q741" s="164"/>
    </row>
    <row r="742" spans="1:17" s="28" customFormat="1" x14ac:dyDescent="0.25">
      <c r="A742" s="56"/>
      <c r="B742" s="62"/>
      <c r="C742" s="62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147"/>
      <c r="Q742" s="164"/>
    </row>
    <row r="743" spans="1:17" s="28" customFormat="1" x14ac:dyDescent="0.25">
      <c r="A743" s="56"/>
      <c r="B743" s="62"/>
      <c r="C743" s="62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147"/>
      <c r="Q743" s="164"/>
    </row>
    <row r="744" spans="1:17" s="28" customFormat="1" x14ac:dyDescent="0.25">
      <c r="A744" s="56"/>
      <c r="B744" s="62"/>
      <c r="C744" s="62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147"/>
      <c r="Q744" s="164"/>
    </row>
    <row r="745" spans="1:17" s="28" customFormat="1" x14ac:dyDescent="0.25">
      <c r="A745" s="56"/>
      <c r="B745" s="62"/>
      <c r="C745" s="62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147"/>
      <c r="Q745" s="164"/>
    </row>
    <row r="746" spans="1:17" s="28" customFormat="1" x14ac:dyDescent="0.25">
      <c r="A746" s="56"/>
      <c r="B746" s="62"/>
      <c r="C746" s="62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147"/>
      <c r="Q746" s="164"/>
    </row>
    <row r="747" spans="1:17" s="28" customFormat="1" x14ac:dyDescent="0.25">
      <c r="A747" s="56"/>
      <c r="B747" s="62"/>
      <c r="C747" s="62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147"/>
      <c r="Q747" s="164"/>
    </row>
    <row r="748" spans="1:17" s="28" customFormat="1" x14ac:dyDescent="0.25">
      <c r="A748" s="56"/>
      <c r="B748" s="62"/>
      <c r="C748" s="62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147"/>
      <c r="Q748" s="164"/>
    </row>
    <row r="749" spans="1:17" s="28" customFormat="1" x14ac:dyDescent="0.25">
      <c r="A749" s="56"/>
      <c r="B749" s="62"/>
      <c r="C749" s="62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147"/>
      <c r="Q749" s="164"/>
    </row>
    <row r="750" spans="1:17" s="28" customFormat="1" x14ac:dyDescent="0.25">
      <c r="A750" s="56"/>
      <c r="B750" s="62"/>
      <c r="C750" s="62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147"/>
      <c r="Q750" s="164"/>
    </row>
    <row r="751" spans="1:17" s="28" customFormat="1" x14ac:dyDescent="0.25">
      <c r="A751" s="56"/>
      <c r="B751" s="62"/>
      <c r="C751" s="62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147"/>
      <c r="Q751" s="164"/>
    </row>
    <row r="752" spans="1:17" s="28" customFormat="1" x14ac:dyDescent="0.25">
      <c r="A752" s="56"/>
      <c r="B752" s="62"/>
      <c r="C752" s="62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147"/>
      <c r="Q752" s="164"/>
    </row>
    <row r="753" spans="1:17" s="28" customFormat="1" x14ac:dyDescent="0.25">
      <c r="A753" s="56"/>
      <c r="B753" s="62"/>
      <c r="C753" s="62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147"/>
      <c r="Q753" s="164"/>
    </row>
    <row r="754" spans="1:17" s="28" customFormat="1" x14ac:dyDescent="0.25">
      <c r="A754" s="56"/>
      <c r="B754" s="62"/>
      <c r="C754" s="62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147"/>
      <c r="Q754" s="164"/>
    </row>
    <row r="755" spans="1:17" s="28" customFormat="1" x14ac:dyDescent="0.25">
      <c r="A755" s="56"/>
      <c r="B755" s="62"/>
      <c r="C755" s="62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147"/>
      <c r="Q755" s="164"/>
    </row>
    <row r="756" spans="1:17" s="28" customFormat="1" x14ac:dyDescent="0.25">
      <c r="A756" s="56"/>
      <c r="B756" s="62"/>
      <c r="C756" s="62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147"/>
      <c r="Q756" s="164"/>
    </row>
    <row r="757" spans="1:17" s="28" customFormat="1" x14ac:dyDescent="0.25">
      <c r="A757" s="56"/>
      <c r="B757" s="62"/>
      <c r="C757" s="62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147"/>
      <c r="Q757" s="164"/>
    </row>
    <row r="758" spans="1:17" s="28" customFormat="1" x14ac:dyDescent="0.25">
      <c r="A758" s="56"/>
      <c r="B758" s="62"/>
      <c r="C758" s="62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147"/>
      <c r="Q758" s="164"/>
    </row>
    <row r="759" spans="1:17" s="28" customFormat="1" x14ac:dyDescent="0.25">
      <c r="A759" s="56"/>
      <c r="B759" s="62"/>
      <c r="C759" s="62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147"/>
      <c r="Q759" s="164"/>
    </row>
    <row r="760" spans="1:17" s="28" customFormat="1" x14ac:dyDescent="0.25">
      <c r="A760" s="56"/>
      <c r="B760" s="62"/>
      <c r="C760" s="62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147"/>
      <c r="Q760" s="164"/>
    </row>
    <row r="761" spans="1:17" s="28" customFormat="1" x14ac:dyDescent="0.25">
      <c r="A761" s="56"/>
      <c r="B761" s="62"/>
      <c r="C761" s="62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147"/>
      <c r="Q761" s="164"/>
    </row>
    <row r="762" spans="1:17" s="28" customFormat="1" x14ac:dyDescent="0.25">
      <c r="A762" s="56"/>
      <c r="B762" s="62"/>
      <c r="C762" s="62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147"/>
      <c r="Q762" s="164"/>
    </row>
    <row r="763" spans="1:17" s="28" customFormat="1" x14ac:dyDescent="0.25">
      <c r="A763" s="56"/>
      <c r="B763" s="62"/>
      <c r="C763" s="62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147"/>
      <c r="Q763" s="164"/>
    </row>
    <row r="764" spans="1:17" s="28" customFormat="1" x14ac:dyDescent="0.25">
      <c r="A764" s="56"/>
      <c r="B764" s="62"/>
      <c r="C764" s="62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147"/>
      <c r="Q764" s="164"/>
    </row>
    <row r="765" spans="1:17" s="28" customFormat="1" x14ac:dyDescent="0.25">
      <c r="A765" s="56"/>
      <c r="B765" s="62"/>
      <c r="C765" s="62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147"/>
      <c r="Q765" s="164"/>
    </row>
    <row r="766" spans="1:17" s="28" customFormat="1" x14ac:dyDescent="0.25">
      <c r="A766" s="56"/>
      <c r="B766" s="62"/>
      <c r="C766" s="62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147"/>
      <c r="Q766" s="164"/>
    </row>
    <row r="767" spans="1:17" s="28" customFormat="1" x14ac:dyDescent="0.25">
      <c r="A767" s="56"/>
      <c r="B767" s="62"/>
      <c r="C767" s="62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147"/>
      <c r="Q767" s="164"/>
    </row>
    <row r="768" spans="1:17" s="28" customFormat="1" x14ac:dyDescent="0.25">
      <c r="A768" s="56"/>
      <c r="B768" s="62"/>
      <c r="C768" s="62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147"/>
      <c r="Q768" s="164"/>
    </row>
    <row r="769" spans="1:17" s="28" customFormat="1" x14ac:dyDescent="0.25">
      <c r="A769" s="56"/>
      <c r="B769" s="62"/>
      <c r="C769" s="62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147"/>
      <c r="Q769" s="164"/>
    </row>
    <row r="770" spans="1:17" s="28" customFormat="1" x14ac:dyDescent="0.25">
      <c r="A770" s="56"/>
      <c r="B770" s="62"/>
      <c r="C770" s="62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147"/>
      <c r="Q770" s="164"/>
    </row>
    <row r="771" spans="1:17" s="28" customFormat="1" x14ac:dyDescent="0.25">
      <c r="A771" s="56"/>
      <c r="B771" s="62"/>
      <c r="C771" s="62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147"/>
      <c r="Q771" s="164"/>
    </row>
    <row r="772" spans="1:17" s="28" customFormat="1" x14ac:dyDescent="0.25">
      <c r="A772" s="56"/>
      <c r="B772" s="62"/>
      <c r="C772" s="62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147"/>
      <c r="Q772" s="164"/>
    </row>
    <row r="773" spans="1:17" s="28" customFormat="1" x14ac:dyDescent="0.25">
      <c r="A773" s="56"/>
      <c r="B773" s="62"/>
      <c r="C773" s="62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147"/>
      <c r="Q773" s="164"/>
    </row>
    <row r="774" spans="1:17" s="28" customFormat="1" x14ac:dyDescent="0.25">
      <c r="A774" s="56"/>
      <c r="B774" s="62"/>
      <c r="C774" s="62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147"/>
      <c r="Q774" s="164"/>
    </row>
    <row r="775" spans="1:17" s="28" customFormat="1" x14ac:dyDescent="0.25">
      <c r="A775" s="56"/>
      <c r="B775" s="62"/>
      <c r="C775" s="62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147"/>
      <c r="Q775" s="164"/>
    </row>
    <row r="776" spans="1:17" s="28" customFormat="1" x14ac:dyDescent="0.25">
      <c r="A776" s="56"/>
      <c r="B776" s="62"/>
      <c r="C776" s="62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147"/>
      <c r="Q776" s="164"/>
    </row>
    <row r="777" spans="1:17" s="28" customFormat="1" x14ac:dyDescent="0.25">
      <c r="A777" s="56"/>
      <c r="B777" s="62"/>
      <c r="C777" s="62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147"/>
      <c r="Q777" s="164"/>
    </row>
    <row r="778" spans="1:17" s="28" customFormat="1" x14ac:dyDescent="0.25">
      <c r="A778" s="56"/>
      <c r="B778" s="62"/>
      <c r="C778" s="62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147"/>
      <c r="Q778" s="164"/>
    </row>
    <row r="779" spans="1:17" s="28" customFormat="1" x14ac:dyDescent="0.25">
      <c r="A779" s="56"/>
      <c r="B779" s="62"/>
      <c r="C779" s="62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147"/>
      <c r="Q779" s="164"/>
    </row>
    <row r="780" spans="1:17" s="28" customFormat="1" x14ac:dyDescent="0.25">
      <c r="A780" s="56"/>
      <c r="B780" s="62"/>
      <c r="C780" s="62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147"/>
      <c r="Q780" s="164"/>
    </row>
    <row r="781" spans="1:17" s="28" customFormat="1" x14ac:dyDescent="0.25">
      <c r="A781" s="56"/>
      <c r="B781" s="62"/>
      <c r="C781" s="62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147"/>
      <c r="Q781" s="164"/>
    </row>
    <row r="782" spans="1:17" s="28" customFormat="1" x14ac:dyDescent="0.25">
      <c r="A782" s="56"/>
      <c r="B782" s="62"/>
      <c r="C782" s="62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147"/>
      <c r="Q782" s="164"/>
    </row>
    <row r="783" spans="1:17" s="28" customFormat="1" x14ac:dyDescent="0.25">
      <c r="A783" s="56"/>
      <c r="B783" s="62"/>
      <c r="C783" s="62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147"/>
      <c r="Q783" s="164"/>
    </row>
    <row r="784" spans="1:17" s="28" customFormat="1" x14ac:dyDescent="0.25">
      <c r="A784" s="56"/>
      <c r="B784" s="62"/>
      <c r="C784" s="62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147"/>
      <c r="Q784" s="164"/>
    </row>
    <row r="785" spans="1:17" s="28" customFormat="1" x14ac:dyDescent="0.25">
      <c r="A785" s="56"/>
      <c r="B785" s="62"/>
      <c r="C785" s="62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147"/>
      <c r="Q785" s="164"/>
    </row>
    <row r="786" spans="1:17" s="28" customFormat="1" x14ac:dyDescent="0.25">
      <c r="A786" s="56"/>
      <c r="B786" s="62"/>
      <c r="C786" s="62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147"/>
      <c r="Q786" s="164"/>
    </row>
    <row r="787" spans="1:17" s="28" customFormat="1" x14ac:dyDescent="0.25">
      <c r="A787" s="56"/>
      <c r="B787" s="62"/>
      <c r="C787" s="62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147"/>
      <c r="Q787" s="164"/>
    </row>
    <row r="788" spans="1:17" s="28" customFormat="1" x14ac:dyDescent="0.25">
      <c r="A788" s="56"/>
      <c r="B788" s="62"/>
      <c r="C788" s="62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147"/>
      <c r="Q788" s="164"/>
    </row>
    <row r="789" spans="1:17" s="28" customFormat="1" x14ac:dyDescent="0.25">
      <c r="A789" s="56"/>
      <c r="B789" s="62"/>
      <c r="C789" s="62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147"/>
      <c r="Q789" s="164"/>
    </row>
    <row r="790" spans="1:17" s="28" customFormat="1" x14ac:dyDescent="0.25">
      <c r="A790" s="56"/>
      <c r="B790" s="62"/>
      <c r="C790" s="62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147"/>
      <c r="Q790" s="164"/>
    </row>
    <row r="791" spans="1:17" s="28" customFormat="1" x14ac:dyDescent="0.25">
      <c r="A791" s="56"/>
      <c r="B791" s="62"/>
      <c r="C791" s="62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147"/>
      <c r="Q791" s="164"/>
    </row>
    <row r="792" spans="1:17" s="28" customFormat="1" x14ac:dyDescent="0.25">
      <c r="A792" s="56"/>
      <c r="B792" s="62"/>
      <c r="C792" s="62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147"/>
      <c r="Q792" s="164"/>
    </row>
    <row r="793" spans="1:17" s="28" customFormat="1" x14ac:dyDescent="0.25">
      <c r="A793" s="56"/>
      <c r="B793" s="62"/>
      <c r="C793" s="62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147"/>
      <c r="Q793" s="164"/>
    </row>
    <row r="794" spans="1:17" s="28" customFormat="1" x14ac:dyDescent="0.25">
      <c r="A794" s="56"/>
      <c r="B794" s="62"/>
      <c r="C794" s="62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147"/>
      <c r="Q794" s="164"/>
    </row>
    <row r="795" spans="1:17" s="28" customFormat="1" x14ac:dyDescent="0.25">
      <c r="A795" s="56"/>
      <c r="B795" s="62"/>
      <c r="C795" s="62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147"/>
      <c r="Q795" s="164"/>
    </row>
    <row r="796" spans="1:17" s="28" customFormat="1" x14ac:dyDescent="0.25">
      <c r="A796" s="56"/>
      <c r="B796" s="62"/>
      <c r="C796" s="62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147"/>
      <c r="Q796" s="164"/>
    </row>
    <row r="797" spans="1:17" s="28" customFormat="1" x14ac:dyDescent="0.25">
      <c r="A797" s="56"/>
      <c r="B797" s="62"/>
      <c r="C797" s="62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147"/>
      <c r="Q797" s="164"/>
    </row>
    <row r="798" spans="1:17" s="28" customFormat="1" x14ac:dyDescent="0.25">
      <c r="A798" s="56"/>
      <c r="B798" s="62"/>
      <c r="C798" s="62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147"/>
      <c r="Q798" s="164"/>
    </row>
    <row r="799" spans="1:17" s="28" customFormat="1" x14ac:dyDescent="0.25">
      <c r="A799" s="56"/>
      <c r="B799" s="62"/>
      <c r="C799" s="62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147"/>
      <c r="Q799" s="164"/>
    </row>
    <row r="800" spans="1:17" s="28" customFormat="1" x14ac:dyDescent="0.25">
      <c r="A800" s="56"/>
      <c r="B800" s="62"/>
      <c r="C800" s="62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147"/>
      <c r="Q800" s="164"/>
    </row>
    <row r="801" spans="1:17" s="28" customFormat="1" x14ac:dyDescent="0.25">
      <c r="A801" s="56"/>
      <c r="B801" s="62"/>
      <c r="C801" s="62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147"/>
      <c r="Q801" s="164"/>
    </row>
    <row r="802" spans="1:17" s="28" customFormat="1" x14ac:dyDescent="0.25">
      <c r="A802" s="56"/>
      <c r="B802" s="62"/>
      <c r="C802" s="62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147"/>
      <c r="Q802" s="164"/>
    </row>
    <row r="803" spans="1:17" s="28" customFormat="1" x14ac:dyDescent="0.25">
      <c r="A803" s="56"/>
      <c r="B803" s="62"/>
      <c r="C803" s="62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147"/>
      <c r="Q803" s="164"/>
    </row>
    <row r="804" spans="1:17" s="28" customFormat="1" x14ac:dyDescent="0.25">
      <c r="A804" s="56"/>
      <c r="B804" s="62"/>
      <c r="C804" s="62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147"/>
      <c r="Q804" s="164"/>
    </row>
    <row r="805" spans="1:17" s="28" customFormat="1" x14ac:dyDescent="0.25">
      <c r="A805" s="56"/>
      <c r="B805" s="62"/>
      <c r="C805" s="62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147"/>
      <c r="Q805" s="164"/>
    </row>
    <row r="806" spans="1:17" s="28" customFormat="1" x14ac:dyDescent="0.25">
      <c r="A806" s="56"/>
      <c r="B806" s="62"/>
      <c r="C806" s="62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147"/>
      <c r="Q806" s="164"/>
    </row>
    <row r="807" spans="1:17" s="28" customFormat="1" x14ac:dyDescent="0.25">
      <c r="A807" s="56"/>
      <c r="B807" s="62"/>
      <c r="C807" s="62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147"/>
      <c r="Q807" s="164"/>
    </row>
    <row r="808" spans="1:17" s="28" customFormat="1" x14ac:dyDescent="0.25">
      <c r="A808" s="56"/>
      <c r="B808" s="62"/>
      <c r="C808" s="62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147"/>
      <c r="Q808" s="164"/>
    </row>
    <row r="809" spans="1:17" s="28" customFormat="1" x14ac:dyDescent="0.25">
      <c r="A809" s="56"/>
      <c r="B809" s="62"/>
      <c r="C809" s="62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147"/>
      <c r="Q809" s="164"/>
    </row>
    <row r="810" spans="1:17" s="28" customFormat="1" x14ac:dyDescent="0.25">
      <c r="A810" s="56"/>
      <c r="B810" s="62"/>
      <c r="C810" s="62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147"/>
      <c r="Q810" s="164"/>
    </row>
    <row r="811" spans="1:17" s="28" customFormat="1" x14ac:dyDescent="0.25">
      <c r="A811" s="56"/>
      <c r="B811" s="62"/>
      <c r="C811" s="62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147"/>
      <c r="Q811" s="164"/>
    </row>
    <row r="812" spans="1:17" s="28" customFormat="1" x14ac:dyDescent="0.25">
      <c r="A812" s="56"/>
      <c r="B812" s="62"/>
      <c r="C812" s="62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147"/>
      <c r="Q812" s="164"/>
    </row>
    <row r="813" spans="1:17" s="28" customFormat="1" x14ac:dyDescent="0.25">
      <c r="A813" s="56"/>
      <c r="B813" s="62"/>
      <c r="C813" s="62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147"/>
      <c r="Q813" s="164"/>
    </row>
    <row r="814" spans="1:17" s="28" customFormat="1" x14ac:dyDescent="0.25">
      <c r="A814" s="56"/>
      <c r="B814" s="62"/>
      <c r="C814" s="62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147"/>
      <c r="Q814" s="164"/>
    </row>
    <row r="815" spans="1:17" s="28" customFormat="1" x14ac:dyDescent="0.25">
      <c r="A815" s="56"/>
      <c r="B815" s="62"/>
      <c r="C815" s="62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147"/>
      <c r="Q815" s="164"/>
    </row>
    <row r="816" spans="1:17" s="28" customFormat="1" x14ac:dyDescent="0.25">
      <c r="A816" s="56"/>
      <c r="B816" s="62"/>
      <c r="C816" s="62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147"/>
      <c r="Q816" s="164"/>
    </row>
    <row r="817" spans="1:17" s="28" customFormat="1" x14ac:dyDescent="0.25">
      <c r="A817" s="56"/>
      <c r="B817" s="62"/>
      <c r="C817" s="62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147"/>
      <c r="Q817" s="164"/>
    </row>
    <row r="818" spans="1:17" s="28" customFormat="1" x14ac:dyDescent="0.25">
      <c r="A818" s="56"/>
      <c r="B818" s="62"/>
      <c r="C818" s="62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147"/>
      <c r="Q818" s="164"/>
    </row>
    <row r="819" spans="1:17" s="28" customFormat="1" x14ac:dyDescent="0.25">
      <c r="A819" s="56"/>
      <c r="B819" s="62"/>
      <c r="C819" s="62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147"/>
      <c r="Q819" s="164"/>
    </row>
    <row r="820" spans="1:17" s="28" customFormat="1" x14ac:dyDescent="0.25">
      <c r="A820" s="56"/>
      <c r="B820" s="62"/>
      <c r="C820" s="62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147"/>
      <c r="Q820" s="164"/>
    </row>
    <row r="821" spans="1:17" s="28" customFormat="1" x14ac:dyDescent="0.25">
      <c r="A821" s="56"/>
      <c r="B821" s="62"/>
      <c r="C821" s="62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147"/>
      <c r="Q821" s="164"/>
    </row>
    <row r="822" spans="1:17" s="28" customFormat="1" x14ac:dyDescent="0.25">
      <c r="A822" s="56"/>
      <c r="B822" s="62"/>
      <c r="C822" s="62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147"/>
      <c r="Q822" s="164"/>
    </row>
    <row r="823" spans="1:17" s="28" customFormat="1" x14ac:dyDescent="0.25">
      <c r="A823" s="56"/>
      <c r="B823" s="62"/>
      <c r="C823" s="62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147"/>
      <c r="Q823" s="164"/>
    </row>
    <row r="824" spans="1:17" s="28" customFormat="1" x14ac:dyDescent="0.25">
      <c r="A824" s="56"/>
      <c r="B824" s="62"/>
      <c r="C824" s="62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147"/>
      <c r="Q824" s="164"/>
    </row>
    <row r="825" spans="1:17" s="28" customFormat="1" x14ac:dyDescent="0.25">
      <c r="A825" s="56"/>
      <c r="B825" s="62"/>
      <c r="C825" s="62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147"/>
      <c r="Q825" s="164"/>
    </row>
    <row r="826" spans="1:17" s="28" customFormat="1" x14ac:dyDescent="0.25">
      <c r="A826" s="56"/>
      <c r="B826" s="62"/>
      <c r="C826" s="62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147"/>
      <c r="Q826" s="164"/>
    </row>
    <row r="827" spans="1:17" s="28" customFormat="1" x14ac:dyDescent="0.25">
      <c r="A827" s="56"/>
      <c r="B827" s="62"/>
      <c r="C827" s="62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147"/>
      <c r="Q827" s="164"/>
    </row>
    <row r="828" spans="1:17" s="28" customFormat="1" x14ac:dyDescent="0.25">
      <c r="A828" s="56"/>
      <c r="B828" s="62"/>
      <c r="C828" s="62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147"/>
      <c r="Q828" s="164"/>
    </row>
    <row r="829" spans="1:17" s="28" customFormat="1" x14ac:dyDescent="0.25">
      <c r="A829" s="56"/>
      <c r="B829" s="62"/>
      <c r="C829" s="62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147"/>
      <c r="Q829" s="164"/>
    </row>
    <row r="830" spans="1:17" s="28" customFormat="1" x14ac:dyDescent="0.25">
      <c r="A830" s="56"/>
      <c r="B830" s="62"/>
      <c r="C830" s="62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147"/>
      <c r="Q830" s="164"/>
    </row>
    <row r="831" spans="1:17" s="28" customFormat="1" x14ac:dyDescent="0.25">
      <c r="A831" s="56"/>
      <c r="B831" s="62"/>
      <c r="C831" s="62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147"/>
      <c r="Q831" s="164"/>
    </row>
    <row r="832" spans="1:17" s="28" customFormat="1" x14ac:dyDescent="0.25">
      <c r="A832" s="56"/>
      <c r="B832" s="62"/>
      <c r="C832" s="62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147"/>
      <c r="Q832" s="164"/>
    </row>
    <row r="833" spans="1:17" s="28" customFormat="1" x14ac:dyDescent="0.25">
      <c r="A833" s="56"/>
      <c r="B833" s="62"/>
      <c r="C833" s="62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147"/>
      <c r="Q833" s="164"/>
    </row>
    <row r="834" spans="1:17" s="28" customFormat="1" x14ac:dyDescent="0.25">
      <c r="A834" s="56"/>
      <c r="B834" s="62"/>
      <c r="C834" s="62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147"/>
      <c r="Q834" s="164"/>
    </row>
    <row r="835" spans="1:17" s="28" customFormat="1" x14ac:dyDescent="0.25">
      <c r="A835" s="56"/>
      <c r="B835" s="62"/>
      <c r="C835" s="62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147"/>
      <c r="Q835" s="164"/>
    </row>
    <row r="836" spans="1:17" s="28" customFormat="1" x14ac:dyDescent="0.25">
      <c r="A836" s="56"/>
      <c r="B836" s="62"/>
      <c r="C836" s="62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147"/>
      <c r="Q836" s="164"/>
    </row>
    <row r="837" spans="1:17" s="28" customFormat="1" x14ac:dyDescent="0.25">
      <c r="A837" s="56"/>
      <c r="B837" s="62"/>
      <c r="C837" s="62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147"/>
      <c r="Q837" s="164"/>
    </row>
    <row r="838" spans="1:17" s="28" customFormat="1" x14ac:dyDescent="0.25">
      <c r="A838" s="56"/>
      <c r="B838" s="62"/>
      <c r="C838" s="62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147"/>
      <c r="Q838" s="164"/>
    </row>
    <row r="839" spans="1:17" s="28" customFormat="1" x14ac:dyDescent="0.25">
      <c r="A839" s="56"/>
      <c r="B839" s="62"/>
      <c r="C839" s="62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147"/>
      <c r="Q839" s="164"/>
    </row>
    <row r="840" spans="1:17" s="28" customFormat="1" x14ac:dyDescent="0.25">
      <c r="A840" s="56"/>
      <c r="B840" s="62"/>
      <c r="C840" s="62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147"/>
      <c r="Q840" s="164"/>
    </row>
    <row r="841" spans="1:17" s="28" customFormat="1" x14ac:dyDescent="0.25">
      <c r="A841" s="56"/>
      <c r="B841" s="62"/>
      <c r="C841" s="62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147"/>
      <c r="Q841" s="164"/>
    </row>
    <row r="842" spans="1:17" s="28" customFormat="1" x14ac:dyDescent="0.25">
      <c r="A842" s="56"/>
      <c r="B842" s="62"/>
      <c r="C842" s="62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147"/>
      <c r="Q842" s="164"/>
    </row>
    <row r="843" spans="1:17" s="28" customFormat="1" x14ac:dyDescent="0.25">
      <c r="A843" s="56"/>
      <c r="B843" s="62"/>
      <c r="C843" s="62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147"/>
      <c r="Q843" s="164"/>
    </row>
    <row r="844" spans="1:17" s="28" customFormat="1" x14ac:dyDescent="0.25">
      <c r="A844" s="56"/>
      <c r="B844" s="62"/>
      <c r="C844" s="62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147"/>
      <c r="Q844" s="164"/>
    </row>
    <row r="845" spans="1:17" s="28" customFormat="1" x14ac:dyDescent="0.25">
      <c r="A845" s="56"/>
      <c r="B845" s="62"/>
      <c r="C845" s="62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147"/>
      <c r="Q845" s="164"/>
    </row>
    <row r="846" spans="1:17" s="28" customFormat="1" x14ac:dyDescent="0.25">
      <c r="A846" s="56"/>
      <c r="B846" s="62"/>
      <c r="C846" s="62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147"/>
      <c r="Q846" s="164"/>
    </row>
    <row r="847" spans="1:17" s="28" customFormat="1" x14ac:dyDescent="0.25">
      <c r="A847" s="56"/>
      <c r="B847" s="62"/>
      <c r="C847" s="62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147"/>
      <c r="Q847" s="164"/>
    </row>
    <row r="848" spans="1:17" s="28" customFormat="1" x14ac:dyDescent="0.25">
      <c r="A848" s="56"/>
      <c r="B848" s="62"/>
      <c r="C848" s="62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147"/>
      <c r="Q848" s="164"/>
    </row>
    <row r="849" spans="1:17" s="28" customFormat="1" x14ac:dyDescent="0.25">
      <c r="A849" s="56"/>
      <c r="B849" s="62"/>
      <c r="C849" s="62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147"/>
      <c r="Q849" s="164"/>
    </row>
    <row r="850" spans="1:17" s="28" customFormat="1" x14ac:dyDescent="0.25">
      <c r="A850" s="56"/>
      <c r="B850" s="62"/>
      <c r="C850" s="62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147"/>
      <c r="Q850" s="164"/>
    </row>
    <row r="851" spans="1:17" s="28" customFormat="1" x14ac:dyDescent="0.25">
      <c r="A851" s="56"/>
      <c r="B851" s="62"/>
      <c r="C851" s="62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147"/>
      <c r="Q851" s="164"/>
    </row>
    <row r="852" spans="1:17" s="28" customFormat="1" x14ac:dyDescent="0.25">
      <c r="A852" s="56"/>
      <c r="B852" s="62"/>
      <c r="C852" s="62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147"/>
      <c r="Q852" s="164"/>
    </row>
    <row r="853" spans="1:17" s="28" customFormat="1" x14ac:dyDescent="0.25">
      <c r="A853" s="56"/>
      <c r="B853" s="62"/>
      <c r="C853" s="62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147"/>
      <c r="Q853" s="164"/>
    </row>
    <row r="854" spans="1:17" s="28" customFormat="1" x14ac:dyDescent="0.25">
      <c r="A854" s="56"/>
      <c r="B854" s="62"/>
      <c r="C854" s="62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147"/>
      <c r="Q854" s="164"/>
    </row>
    <row r="855" spans="1:17" s="28" customFormat="1" x14ac:dyDescent="0.25">
      <c r="A855" s="56"/>
      <c r="B855" s="62"/>
      <c r="C855" s="62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147"/>
      <c r="Q855" s="164"/>
    </row>
    <row r="856" spans="1:17" s="28" customFormat="1" x14ac:dyDescent="0.25">
      <c r="A856" s="56"/>
      <c r="B856" s="62"/>
      <c r="C856" s="62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147"/>
      <c r="Q856" s="164"/>
    </row>
    <row r="857" spans="1:17" s="28" customFormat="1" x14ac:dyDescent="0.25">
      <c r="A857" s="56"/>
      <c r="B857" s="62"/>
      <c r="C857" s="62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147"/>
      <c r="Q857" s="164"/>
    </row>
    <row r="858" spans="1:17" s="28" customFormat="1" x14ac:dyDescent="0.25">
      <c r="A858" s="56"/>
      <c r="B858" s="62"/>
      <c r="C858" s="62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147"/>
      <c r="Q858" s="164"/>
    </row>
    <row r="859" spans="1:17" s="28" customFormat="1" x14ac:dyDescent="0.25">
      <c r="A859" s="56"/>
      <c r="B859" s="62"/>
      <c r="C859" s="62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147"/>
      <c r="Q859" s="164"/>
    </row>
    <row r="860" spans="1:17" s="28" customFormat="1" x14ac:dyDescent="0.25">
      <c r="A860" s="56"/>
      <c r="B860" s="62"/>
      <c r="C860" s="62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147"/>
      <c r="Q860" s="164"/>
    </row>
    <row r="861" spans="1:17" s="28" customFormat="1" x14ac:dyDescent="0.25">
      <c r="A861" s="56"/>
      <c r="B861" s="62"/>
      <c r="C861" s="62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147"/>
      <c r="Q861" s="164"/>
    </row>
    <row r="862" spans="1:17" s="28" customFormat="1" x14ac:dyDescent="0.25">
      <c r="A862" s="56"/>
      <c r="B862" s="62"/>
      <c r="C862" s="62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147"/>
      <c r="Q862" s="164"/>
    </row>
    <row r="863" spans="1:17" s="28" customFormat="1" x14ac:dyDescent="0.25">
      <c r="A863" s="56"/>
      <c r="B863" s="62"/>
      <c r="C863" s="62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147"/>
      <c r="Q863" s="164"/>
    </row>
    <row r="864" spans="1:17" s="28" customFormat="1" x14ac:dyDescent="0.25">
      <c r="A864" s="56"/>
      <c r="B864" s="62"/>
      <c r="C864" s="62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147"/>
      <c r="Q864" s="164"/>
    </row>
    <row r="865" spans="1:17" s="28" customFormat="1" x14ac:dyDescent="0.25">
      <c r="A865" s="56"/>
      <c r="B865" s="62"/>
      <c r="C865" s="62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147"/>
      <c r="Q865" s="164"/>
    </row>
    <row r="866" spans="1:17" s="28" customFormat="1" x14ac:dyDescent="0.25">
      <c r="A866" s="56"/>
      <c r="B866" s="62"/>
      <c r="C866" s="62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147"/>
      <c r="Q866" s="164"/>
    </row>
    <row r="867" spans="1:17" s="28" customFormat="1" x14ac:dyDescent="0.25">
      <c r="A867" s="56"/>
      <c r="B867" s="62"/>
      <c r="C867" s="62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147"/>
      <c r="Q867" s="164"/>
    </row>
    <row r="868" spans="1:17" s="28" customFormat="1" x14ac:dyDescent="0.25">
      <c r="A868" s="56"/>
      <c r="B868" s="62"/>
      <c r="C868" s="62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147"/>
      <c r="Q868" s="164"/>
    </row>
    <row r="869" spans="1:17" s="28" customFormat="1" x14ac:dyDescent="0.25">
      <c r="A869" s="56"/>
      <c r="B869" s="62"/>
      <c r="C869" s="62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147"/>
      <c r="Q869" s="164"/>
    </row>
    <row r="870" spans="1:17" s="28" customFormat="1" x14ac:dyDescent="0.25">
      <c r="A870" s="56"/>
      <c r="B870" s="62"/>
      <c r="C870" s="62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147"/>
      <c r="Q870" s="164"/>
    </row>
    <row r="871" spans="1:17" s="28" customFormat="1" x14ac:dyDescent="0.25">
      <c r="A871" s="56"/>
      <c r="B871" s="62"/>
      <c r="C871" s="62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147"/>
      <c r="Q871" s="164"/>
    </row>
    <row r="872" spans="1:17" s="28" customFormat="1" x14ac:dyDescent="0.25">
      <c r="A872" s="56"/>
      <c r="B872" s="62"/>
      <c r="C872" s="62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147"/>
      <c r="Q872" s="164"/>
    </row>
    <row r="873" spans="1:17" s="28" customFormat="1" x14ac:dyDescent="0.25">
      <c r="A873" s="56"/>
      <c r="B873" s="62"/>
      <c r="C873" s="62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147"/>
      <c r="Q873" s="164"/>
    </row>
    <row r="874" spans="1:17" s="28" customFormat="1" x14ac:dyDescent="0.25">
      <c r="A874" s="56"/>
      <c r="B874" s="62"/>
      <c r="C874" s="62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147"/>
      <c r="Q874" s="164"/>
    </row>
    <row r="875" spans="1:17" s="28" customFormat="1" x14ac:dyDescent="0.25">
      <c r="A875" s="56"/>
      <c r="B875" s="62"/>
      <c r="C875" s="62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147"/>
      <c r="Q875" s="164"/>
    </row>
    <row r="876" spans="1:17" s="28" customFormat="1" x14ac:dyDescent="0.25">
      <c r="A876" s="56"/>
      <c r="B876" s="62"/>
      <c r="C876" s="62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147"/>
      <c r="Q876" s="164"/>
    </row>
    <row r="877" spans="1:17" s="28" customFormat="1" x14ac:dyDescent="0.25">
      <c r="A877" s="56"/>
      <c r="B877" s="62"/>
      <c r="C877" s="62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147"/>
      <c r="Q877" s="164"/>
    </row>
    <row r="878" spans="1:17" s="28" customFormat="1" x14ac:dyDescent="0.25">
      <c r="A878" s="56"/>
      <c r="B878" s="62"/>
      <c r="C878" s="62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147"/>
      <c r="Q878" s="164"/>
    </row>
    <row r="879" spans="1:17" s="28" customFormat="1" x14ac:dyDescent="0.25">
      <c r="A879" s="56"/>
      <c r="B879" s="62"/>
      <c r="C879" s="62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147"/>
      <c r="Q879" s="164"/>
    </row>
    <row r="880" spans="1:17" s="28" customFormat="1" x14ac:dyDescent="0.25">
      <c r="A880" s="56"/>
      <c r="B880" s="62"/>
      <c r="C880" s="62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147"/>
      <c r="Q880" s="164"/>
    </row>
    <row r="881" spans="1:17" s="28" customFormat="1" x14ac:dyDescent="0.25">
      <c r="A881" s="56"/>
      <c r="B881" s="62"/>
      <c r="C881" s="62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147"/>
      <c r="Q881" s="164"/>
    </row>
    <row r="882" spans="1:17" s="28" customFormat="1" x14ac:dyDescent="0.25">
      <c r="A882" s="56"/>
      <c r="B882" s="62"/>
      <c r="C882" s="62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147"/>
      <c r="Q882" s="164"/>
    </row>
    <row r="883" spans="1:17" s="28" customFormat="1" x14ac:dyDescent="0.25">
      <c r="A883" s="56"/>
      <c r="B883" s="62"/>
      <c r="C883" s="62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147"/>
      <c r="Q883" s="164"/>
    </row>
    <row r="884" spans="1:17" s="28" customFormat="1" x14ac:dyDescent="0.25">
      <c r="A884" s="56"/>
      <c r="B884" s="62"/>
      <c r="C884" s="62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147"/>
      <c r="Q884" s="164"/>
    </row>
    <row r="885" spans="1:17" s="28" customFormat="1" x14ac:dyDescent="0.25">
      <c r="A885" s="56"/>
      <c r="B885" s="62"/>
      <c r="C885" s="62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147"/>
      <c r="Q885" s="164"/>
    </row>
    <row r="886" spans="1:17" s="28" customFormat="1" x14ac:dyDescent="0.25">
      <c r="A886" s="56"/>
      <c r="B886" s="62"/>
      <c r="C886" s="62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147"/>
      <c r="Q886" s="164"/>
    </row>
    <row r="887" spans="1:17" s="28" customFormat="1" x14ac:dyDescent="0.25">
      <c r="A887" s="56"/>
      <c r="B887" s="62"/>
      <c r="C887" s="62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147"/>
      <c r="Q887" s="164"/>
    </row>
    <row r="888" spans="1:17" s="28" customFormat="1" x14ac:dyDescent="0.25">
      <c r="A888" s="56"/>
      <c r="B888" s="62"/>
      <c r="C888" s="62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147"/>
      <c r="Q888" s="164"/>
    </row>
    <row r="889" spans="1:17" s="28" customFormat="1" x14ac:dyDescent="0.25">
      <c r="A889" s="56"/>
      <c r="B889" s="62"/>
      <c r="C889" s="62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147"/>
      <c r="Q889" s="164"/>
    </row>
    <row r="890" spans="1:17" s="28" customFormat="1" x14ac:dyDescent="0.25">
      <c r="A890" s="56"/>
      <c r="B890" s="62"/>
      <c r="C890" s="62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147"/>
      <c r="Q890" s="164"/>
    </row>
    <row r="891" spans="1:17" s="28" customFormat="1" x14ac:dyDescent="0.25">
      <c r="A891" s="56"/>
      <c r="B891" s="62"/>
      <c r="C891" s="62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147"/>
      <c r="Q891" s="164"/>
    </row>
    <row r="892" spans="1:17" s="28" customFormat="1" x14ac:dyDescent="0.25">
      <c r="A892" s="56"/>
      <c r="B892" s="62"/>
      <c r="C892" s="62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147"/>
      <c r="Q892" s="164"/>
    </row>
    <row r="893" spans="1:17" s="28" customFormat="1" x14ac:dyDescent="0.25">
      <c r="A893" s="56"/>
      <c r="B893" s="62"/>
      <c r="C893" s="62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147"/>
      <c r="Q893" s="164"/>
    </row>
    <row r="894" spans="1:17" s="28" customFormat="1" x14ac:dyDescent="0.25">
      <c r="A894" s="56"/>
      <c r="B894" s="62"/>
      <c r="C894" s="62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147"/>
      <c r="Q894" s="164"/>
    </row>
    <row r="895" spans="1:17" s="28" customFormat="1" x14ac:dyDescent="0.25">
      <c r="A895" s="56"/>
      <c r="B895" s="62"/>
      <c r="C895" s="62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147"/>
      <c r="Q895" s="164"/>
    </row>
    <row r="896" spans="1:17" s="28" customFormat="1" x14ac:dyDescent="0.25">
      <c r="A896" s="56"/>
      <c r="B896" s="62"/>
      <c r="C896" s="62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147"/>
      <c r="Q896" s="164"/>
    </row>
    <row r="897" spans="1:17" s="28" customFormat="1" x14ac:dyDescent="0.25">
      <c r="A897" s="56"/>
      <c r="B897" s="62"/>
      <c r="C897" s="62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147"/>
      <c r="Q897" s="164"/>
    </row>
    <row r="898" spans="1:17" s="28" customFormat="1" x14ac:dyDescent="0.25">
      <c r="A898" s="56"/>
      <c r="B898" s="62"/>
      <c r="C898" s="62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147"/>
      <c r="Q898" s="164"/>
    </row>
    <row r="899" spans="1:17" s="28" customFormat="1" x14ac:dyDescent="0.25">
      <c r="A899" s="56"/>
      <c r="B899" s="62"/>
      <c r="C899" s="62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147"/>
      <c r="Q899" s="164"/>
    </row>
    <row r="900" spans="1:17" s="28" customFormat="1" x14ac:dyDescent="0.25">
      <c r="A900" s="56"/>
      <c r="B900" s="62"/>
      <c r="C900" s="62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147"/>
      <c r="Q900" s="164"/>
    </row>
    <row r="901" spans="1:17" s="28" customFormat="1" x14ac:dyDescent="0.25">
      <c r="A901" s="56"/>
      <c r="B901" s="62"/>
      <c r="C901" s="62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147"/>
      <c r="Q901" s="164"/>
    </row>
    <row r="902" spans="1:17" s="28" customFormat="1" x14ac:dyDescent="0.25">
      <c r="A902" s="56"/>
      <c r="B902" s="62"/>
      <c r="C902" s="62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147"/>
      <c r="Q902" s="164"/>
    </row>
    <row r="903" spans="1:17" s="28" customFormat="1" x14ac:dyDescent="0.25">
      <c r="A903" s="56"/>
      <c r="B903" s="62"/>
      <c r="C903" s="62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147"/>
      <c r="Q903" s="164"/>
    </row>
    <row r="904" spans="1:17" s="28" customFormat="1" x14ac:dyDescent="0.25">
      <c r="A904" s="56"/>
      <c r="B904" s="62"/>
      <c r="C904" s="62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147"/>
      <c r="Q904" s="164"/>
    </row>
    <row r="905" spans="1:17" s="28" customFormat="1" x14ac:dyDescent="0.25">
      <c r="A905" s="56"/>
      <c r="B905" s="62"/>
      <c r="C905" s="62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147"/>
      <c r="Q905" s="164"/>
    </row>
    <row r="906" spans="1:17" s="28" customFormat="1" x14ac:dyDescent="0.25">
      <c r="A906" s="56"/>
      <c r="B906" s="62"/>
      <c r="C906" s="62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147"/>
      <c r="Q906" s="164"/>
    </row>
    <row r="907" spans="1:17" s="28" customFormat="1" x14ac:dyDescent="0.25">
      <c r="A907" s="56"/>
      <c r="B907" s="62"/>
      <c r="C907" s="62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147"/>
      <c r="Q907" s="164"/>
    </row>
    <row r="908" spans="1:17" s="28" customFormat="1" x14ac:dyDescent="0.25">
      <c r="A908" s="56"/>
      <c r="B908" s="62"/>
      <c r="C908" s="62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147"/>
      <c r="Q908" s="164"/>
    </row>
    <row r="909" spans="1:17" s="28" customFormat="1" x14ac:dyDescent="0.25">
      <c r="A909" s="56"/>
      <c r="B909" s="62"/>
      <c r="C909" s="62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147"/>
      <c r="Q909" s="164"/>
    </row>
    <row r="910" spans="1:17" s="28" customFormat="1" x14ac:dyDescent="0.25">
      <c r="A910" s="56"/>
      <c r="B910" s="62"/>
      <c r="C910" s="62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147"/>
      <c r="Q910" s="164"/>
    </row>
    <row r="911" spans="1:17" s="28" customFormat="1" x14ac:dyDescent="0.25">
      <c r="A911" s="56"/>
      <c r="B911" s="62"/>
      <c r="C911" s="62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147"/>
      <c r="Q911" s="164"/>
    </row>
    <row r="912" spans="1:17" s="28" customFormat="1" x14ac:dyDescent="0.25">
      <c r="A912" s="56"/>
      <c r="B912" s="62"/>
      <c r="C912" s="62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147"/>
      <c r="Q912" s="164"/>
    </row>
    <row r="913" spans="1:17" s="28" customFormat="1" x14ac:dyDescent="0.25">
      <c r="A913" s="56"/>
      <c r="B913" s="62"/>
      <c r="C913" s="62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147"/>
      <c r="Q913" s="164"/>
    </row>
    <row r="914" spans="1:17" s="28" customFormat="1" x14ac:dyDescent="0.25">
      <c r="A914" s="56"/>
      <c r="B914" s="62"/>
      <c r="C914" s="62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147"/>
      <c r="Q914" s="164"/>
    </row>
    <row r="915" spans="1:17" s="28" customFormat="1" x14ac:dyDescent="0.25">
      <c r="A915" s="56"/>
      <c r="B915" s="62"/>
      <c r="C915" s="62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147"/>
      <c r="Q915" s="164"/>
    </row>
    <row r="916" spans="1:17" s="28" customFormat="1" x14ac:dyDescent="0.25">
      <c r="A916" s="56"/>
      <c r="B916" s="62"/>
      <c r="C916" s="62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147"/>
      <c r="Q916" s="164"/>
    </row>
    <row r="917" spans="1:17" s="28" customFormat="1" x14ac:dyDescent="0.25">
      <c r="A917" s="56"/>
      <c r="B917" s="62"/>
      <c r="C917" s="62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147"/>
      <c r="Q917" s="164"/>
    </row>
    <row r="918" spans="1:17" s="28" customFormat="1" x14ac:dyDescent="0.25">
      <c r="A918" s="56"/>
      <c r="B918" s="62"/>
      <c r="C918" s="62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147"/>
      <c r="Q918" s="164"/>
    </row>
    <row r="919" spans="1:17" s="28" customFormat="1" x14ac:dyDescent="0.25">
      <c r="A919" s="56"/>
      <c r="B919" s="62"/>
      <c r="C919" s="62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147"/>
      <c r="Q919" s="164"/>
    </row>
    <row r="920" spans="1:17" s="28" customFormat="1" x14ac:dyDescent="0.25">
      <c r="A920" s="56"/>
      <c r="B920" s="62"/>
      <c r="C920" s="62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147"/>
      <c r="Q920" s="164"/>
    </row>
    <row r="921" spans="1:17" s="28" customFormat="1" x14ac:dyDescent="0.25">
      <c r="A921" s="56"/>
      <c r="B921" s="62"/>
      <c r="C921" s="62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147"/>
      <c r="Q921" s="164"/>
    </row>
    <row r="922" spans="1:17" s="28" customFormat="1" x14ac:dyDescent="0.25">
      <c r="A922" s="56"/>
      <c r="B922" s="62"/>
      <c r="C922" s="62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147"/>
      <c r="Q922" s="164"/>
    </row>
    <row r="923" spans="1:17" s="28" customFormat="1" x14ac:dyDescent="0.25">
      <c r="A923" s="56"/>
      <c r="B923" s="62"/>
      <c r="C923" s="62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147"/>
      <c r="Q923" s="164"/>
    </row>
    <row r="924" spans="1:17" s="28" customFormat="1" x14ac:dyDescent="0.25">
      <c r="A924" s="56"/>
      <c r="B924" s="62"/>
      <c r="C924" s="62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147"/>
      <c r="Q924" s="164"/>
    </row>
    <row r="925" spans="1:17" s="28" customFormat="1" x14ac:dyDescent="0.25">
      <c r="A925" s="56"/>
      <c r="B925" s="62"/>
      <c r="C925" s="62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147"/>
      <c r="Q925" s="164"/>
    </row>
    <row r="926" spans="1:17" s="28" customFormat="1" x14ac:dyDescent="0.25">
      <c r="A926" s="56"/>
      <c r="B926" s="62"/>
      <c r="C926" s="62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147"/>
      <c r="Q926" s="164"/>
    </row>
    <row r="927" spans="1:17" s="28" customFormat="1" x14ac:dyDescent="0.25">
      <c r="A927" s="56"/>
      <c r="B927" s="62"/>
      <c r="C927" s="62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147"/>
      <c r="Q927" s="164"/>
    </row>
    <row r="928" spans="1:17" s="28" customFormat="1" x14ac:dyDescent="0.25">
      <c r="A928" s="56"/>
      <c r="B928" s="62"/>
      <c r="C928" s="62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147"/>
      <c r="Q928" s="164"/>
    </row>
    <row r="929" spans="1:17" s="28" customFormat="1" x14ac:dyDescent="0.25">
      <c r="A929" s="56"/>
      <c r="B929" s="62"/>
      <c r="C929" s="62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147"/>
      <c r="Q929" s="164"/>
    </row>
    <row r="930" spans="1:17" s="28" customFormat="1" x14ac:dyDescent="0.25">
      <c r="A930" s="56"/>
      <c r="B930" s="62"/>
      <c r="C930" s="62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147"/>
      <c r="Q930" s="164"/>
    </row>
    <row r="931" spans="1:17" s="28" customFormat="1" x14ac:dyDescent="0.25">
      <c r="A931" s="56"/>
      <c r="B931" s="62"/>
      <c r="C931" s="62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147"/>
      <c r="Q931" s="164"/>
    </row>
    <row r="932" spans="1:17" s="28" customFormat="1" x14ac:dyDescent="0.25">
      <c r="A932" s="56"/>
      <c r="B932" s="62"/>
      <c r="C932" s="62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147"/>
      <c r="Q932" s="164"/>
    </row>
    <row r="933" spans="1:17" s="28" customFormat="1" x14ac:dyDescent="0.25">
      <c r="A933" s="56"/>
      <c r="B933" s="62"/>
      <c r="C933" s="62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147"/>
      <c r="Q933" s="164"/>
    </row>
    <row r="934" spans="1:17" s="28" customFormat="1" x14ac:dyDescent="0.25">
      <c r="A934" s="56"/>
      <c r="B934" s="62"/>
      <c r="C934" s="62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147"/>
      <c r="Q934" s="164"/>
    </row>
    <row r="935" spans="1:17" s="28" customFormat="1" x14ac:dyDescent="0.25">
      <c r="A935" s="56"/>
      <c r="B935" s="62"/>
      <c r="C935" s="62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147"/>
      <c r="Q935" s="164"/>
    </row>
    <row r="936" spans="1:17" s="28" customFormat="1" x14ac:dyDescent="0.25">
      <c r="A936" s="56"/>
      <c r="B936" s="62"/>
      <c r="C936" s="62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147"/>
      <c r="Q936" s="164"/>
    </row>
    <row r="937" spans="1:17" s="28" customFormat="1" x14ac:dyDescent="0.25">
      <c r="A937" s="56"/>
      <c r="B937" s="62"/>
      <c r="C937" s="62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147"/>
      <c r="Q937" s="164"/>
    </row>
    <row r="938" spans="1:17" s="28" customFormat="1" x14ac:dyDescent="0.25">
      <c r="A938" s="56"/>
      <c r="B938" s="62"/>
      <c r="C938" s="62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147"/>
      <c r="Q938" s="164"/>
    </row>
    <row r="939" spans="1:17" s="28" customFormat="1" x14ac:dyDescent="0.25">
      <c r="A939" s="56"/>
      <c r="B939" s="62"/>
      <c r="C939" s="62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147"/>
      <c r="Q939" s="164"/>
    </row>
    <row r="940" spans="1:17" s="28" customFormat="1" x14ac:dyDescent="0.25">
      <c r="A940" s="56"/>
      <c r="B940" s="62"/>
      <c r="C940" s="62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147"/>
      <c r="Q940" s="164"/>
    </row>
    <row r="941" spans="1:17" s="28" customFormat="1" x14ac:dyDescent="0.25">
      <c r="A941" s="56"/>
      <c r="B941" s="62"/>
      <c r="C941" s="62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147"/>
      <c r="Q941" s="164"/>
    </row>
    <row r="942" spans="1:17" s="28" customFormat="1" x14ac:dyDescent="0.25">
      <c r="A942" s="56"/>
      <c r="B942" s="62"/>
      <c r="C942" s="62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147"/>
      <c r="Q942" s="164"/>
    </row>
    <row r="943" spans="1:17" s="28" customFormat="1" x14ac:dyDescent="0.25">
      <c r="A943" s="56"/>
      <c r="B943" s="62"/>
      <c r="C943" s="62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147"/>
      <c r="Q943" s="164"/>
    </row>
    <row r="944" spans="1:17" s="28" customFormat="1" x14ac:dyDescent="0.25">
      <c r="A944" s="56"/>
      <c r="B944" s="62"/>
      <c r="C944" s="62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147"/>
      <c r="Q944" s="164"/>
    </row>
    <row r="945" spans="1:17" s="28" customFormat="1" x14ac:dyDescent="0.25">
      <c r="A945" s="56"/>
      <c r="B945" s="62"/>
      <c r="C945" s="62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147"/>
      <c r="Q945" s="164"/>
    </row>
    <row r="946" spans="1:17" s="28" customFormat="1" x14ac:dyDescent="0.25">
      <c r="A946" s="56"/>
      <c r="B946" s="62"/>
      <c r="C946" s="62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147"/>
      <c r="Q946" s="164"/>
    </row>
    <row r="947" spans="1:17" s="28" customFormat="1" x14ac:dyDescent="0.25">
      <c r="A947" s="56"/>
      <c r="B947" s="62"/>
      <c r="C947" s="62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147"/>
      <c r="Q947" s="164"/>
    </row>
    <row r="948" spans="1:17" s="28" customFormat="1" x14ac:dyDescent="0.25">
      <c r="A948" s="56"/>
      <c r="B948" s="62"/>
      <c r="C948" s="62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147"/>
      <c r="Q948" s="164"/>
    </row>
    <row r="949" spans="1:17" s="28" customFormat="1" x14ac:dyDescent="0.25">
      <c r="A949" s="56"/>
      <c r="B949" s="62"/>
      <c r="C949" s="62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147"/>
      <c r="Q949" s="164"/>
    </row>
    <row r="950" spans="1:17" s="28" customFormat="1" x14ac:dyDescent="0.25">
      <c r="A950" s="56"/>
      <c r="B950" s="62"/>
      <c r="C950" s="62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147"/>
      <c r="Q950" s="164"/>
    </row>
    <row r="951" spans="1:17" s="28" customFormat="1" x14ac:dyDescent="0.25">
      <c r="A951" s="56"/>
      <c r="B951" s="62"/>
      <c r="C951" s="62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147"/>
      <c r="Q951" s="164"/>
    </row>
    <row r="952" spans="1:17" s="28" customFormat="1" x14ac:dyDescent="0.25">
      <c r="A952" s="56"/>
      <c r="B952" s="62"/>
      <c r="C952" s="62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147"/>
      <c r="Q952" s="164"/>
    </row>
    <row r="953" spans="1:17" s="28" customFormat="1" x14ac:dyDescent="0.25">
      <c r="A953" s="56"/>
      <c r="B953" s="62"/>
      <c r="C953" s="62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147"/>
      <c r="Q953" s="164"/>
    </row>
    <row r="954" spans="1:17" s="28" customFormat="1" x14ac:dyDescent="0.25">
      <c r="A954" s="56"/>
      <c r="B954" s="62"/>
      <c r="C954" s="62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147"/>
      <c r="Q954" s="164"/>
    </row>
    <row r="955" spans="1:17" s="28" customFormat="1" x14ac:dyDescent="0.25">
      <c r="A955" s="56"/>
      <c r="B955" s="62"/>
      <c r="C955" s="62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147"/>
      <c r="Q955" s="164"/>
    </row>
    <row r="956" spans="1:17" s="28" customFormat="1" x14ac:dyDescent="0.25">
      <c r="A956" s="56"/>
      <c r="B956" s="62"/>
      <c r="C956" s="62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147"/>
      <c r="Q956" s="164"/>
    </row>
    <row r="957" spans="1:17" s="28" customFormat="1" x14ac:dyDescent="0.25">
      <c r="A957" s="56"/>
      <c r="B957" s="62"/>
      <c r="C957" s="62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147"/>
      <c r="Q957" s="164"/>
    </row>
    <row r="958" spans="1:17" s="28" customFormat="1" x14ac:dyDescent="0.25">
      <c r="A958" s="56"/>
      <c r="B958" s="62"/>
      <c r="C958" s="62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147"/>
      <c r="Q958" s="164"/>
    </row>
    <row r="959" spans="1:17" s="28" customFormat="1" x14ac:dyDescent="0.25">
      <c r="A959" s="56"/>
      <c r="B959" s="62"/>
      <c r="C959" s="62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147"/>
      <c r="Q959" s="164"/>
    </row>
    <row r="960" spans="1:17" s="28" customFormat="1" x14ac:dyDescent="0.25">
      <c r="A960" s="56"/>
      <c r="B960" s="62"/>
      <c r="C960" s="62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147"/>
      <c r="Q960" s="164"/>
    </row>
    <row r="961" spans="1:17" s="28" customFormat="1" x14ac:dyDescent="0.25">
      <c r="A961" s="56"/>
      <c r="B961" s="62"/>
      <c r="C961" s="62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147"/>
      <c r="Q961" s="164"/>
    </row>
    <row r="962" spans="1:17" s="28" customFormat="1" x14ac:dyDescent="0.25">
      <c r="A962" s="56"/>
      <c r="B962" s="62"/>
      <c r="C962" s="62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147"/>
      <c r="Q962" s="164"/>
    </row>
    <row r="963" spans="1:17" s="28" customFormat="1" x14ac:dyDescent="0.25">
      <c r="A963" s="56"/>
      <c r="B963" s="62"/>
      <c r="C963" s="62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147"/>
      <c r="Q963" s="164"/>
    </row>
    <row r="964" spans="1:17" s="28" customFormat="1" x14ac:dyDescent="0.25">
      <c r="A964" s="56"/>
      <c r="B964" s="62"/>
      <c r="C964" s="62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147"/>
      <c r="Q964" s="164"/>
    </row>
    <row r="965" spans="1:17" s="28" customFormat="1" x14ac:dyDescent="0.25">
      <c r="A965" s="56"/>
      <c r="B965" s="62"/>
      <c r="C965" s="62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147"/>
      <c r="Q965" s="164"/>
    </row>
    <row r="966" spans="1:17" s="28" customFormat="1" x14ac:dyDescent="0.25">
      <c r="A966" s="56"/>
      <c r="B966" s="62"/>
      <c r="C966" s="62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147"/>
      <c r="Q966" s="164"/>
    </row>
    <row r="967" spans="1:17" s="28" customFormat="1" x14ac:dyDescent="0.25">
      <c r="A967" s="56"/>
      <c r="B967" s="62"/>
      <c r="C967" s="62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147"/>
      <c r="Q967" s="164"/>
    </row>
    <row r="968" spans="1:17" s="28" customFormat="1" x14ac:dyDescent="0.25">
      <c r="A968" s="56"/>
      <c r="B968" s="62"/>
      <c r="C968" s="62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147"/>
      <c r="Q968" s="164"/>
    </row>
    <row r="969" spans="1:17" s="28" customFormat="1" x14ac:dyDescent="0.25">
      <c r="A969" s="56"/>
      <c r="B969" s="62"/>
      <c r="C969" s="62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147"/>
      <c r="Q969" s="164"/>
    </row>
    <row r="970" spans="1:17" s="28" customFormat="1" x14ac:dyDescent="0.25">
      <c r="A970" s="56"/>
      <c r="B970" s="62"/>
      <c r="C970" s="62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147"/>
      <c r="Q970" s="164"/>
    </row>
    <row r="971" spans="1:17" s="28" customFormat="1" x14ac:dyDescent="0.25">
      <c r="A971" s="56"/>
      <c r="B971" s="62"/>
      <c r="C971" s="62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147"/>
      <c r="Q971" s="164"/>
    </row>
    <row r="972" spans="1:17" s="28" customFormat="1" x14ac:dyDescent="0.25">
      <c r="A972" s="56"/>
      <c r="B972" s="62"/>
      <c r="C972" s="62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147"/>
      <c r="Q972" s="164"/>
    </row>
    <row r="973" spans="1:17" s="28" customFormat="1" x14ac:dyDescent="0.25">
      <c r="A973" s="56"/>
      <c r="B973" s="62"/>
      <c r="C973" s="62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147"/>
      <c r="Q973" s="164"/>
    </row>
    <row r="974" spans="1:17" s="28" customFormat="1" x14ac:dyDescent="0.25">
      <c r="A974" s="56"/>
      <c r="B974" s="62"/>
      <c r="C974" s="62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147"/>
      <c r="Q974" s="164"/>
    </row>
    <row r="975" spans="1:17" s="28" customFormat="1" x14ac:dyDescent="0.25">
      <c r="A975" s="56"/>
      <c r="B975" s="62"/>
      <c r="C975" s="62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147"/>
      <c r="Q975" s="164"/>
    </row>
    <row r="976" spans="1:17" s="28" customFormat="1" x14ac:dyDescent="0.25">
      <c r="A976" s="56"/>
      <c r="B976" s="62"/>
      <c r="C976" s="62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147"/>
      <c r="Q976" s="164"/>
    </row>
    <row r="977" spans="1:17" s="28" customFormat="1" x14ac:dyDescent="0.25">
      <c r="A977" s="56"/>
      <c r="B977" s="62"/>
      <c r="C977" s="62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147"/>
      <c r="Q977" s="164"/>
    </row>
    <row r="978" spans="1:17" s="28" customFormat="1" x14ac:dyDescent="0.25">
      <c r="A978" s="56"/>
      <c r="B978" s="62"/>
      <c r="C978" s="62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147"/>
      <c r="Q978" s="164"/>
    </row>
    <row r="979" spans="1:17" s="28" customFormat="1" x14ac:dyDescent="0.25">
      <c r="A979" s="56"/>
      <c r="B979" s="62"/>
      <c r="C979" s="62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147"/>
      <c r="Q979" s="164"/>
    </row>
    <row r="980" spans="1:17" s="28" customFormat="1" x14ac:dyDescent="0.25">
      <c r="A980" s="56"/>
      <c r="B980" s="62"/>
      <c r="C980" s="62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147"/>
      <c r="Q980" s="164"/>
    </row>
    <row r="981" spans="1:17" s="28" customFormat="1" x14ac:dyDescent="0.25">
      <c r="A981" s="56"/>
      <c r="B981" s="62"/>
      <c r="C981" s="62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147"/>
      <c r="Q981" s="164"/>
    </row>
    <row r="982" spans="1:17" s="28" customFormat="1" x14ac:dyDescent="0.25">
      <c r="A982" s="56"/>
      <c r="B982" s="62"/>
      <c r="C982" s="62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147"/>
      <c r="Q982" s="164"/>
    </row>
    <row r="983" spans="1:17" s="28" customFormat="1" x14ac:dyDescent="0.25">
      <c r="A983" s="56"/>
      <c r="B983" s="62"/>
      <c r="C983" s="62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147"/>
      <c r="Q983" s="164"/>
    </row>
    <row r="984" spans="1:17" s="28" customFormat="1" x14ac:dyDescent="0.25">
      <c r="A984" s="56"/>
      <c r="B984" s="62"/>
      <c r="C984" s="62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147"/>
      <c r="Q984" s="164"/>
    </row>
    <row r="985" spans="1:17" s="28" customFormat="1" x14ac:dyDescent="0.25">
      <c r="A985" s="56"/>
      <c r="B985" s="62"/>
      <c r="C985" s="62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147"/>
      <c r="Q985" s="164"/>
    </row>
    <row r="986" spans="1:17" s="28" customFormat="1" x14ac:dyDescent="0.25">
      <c r="A986" s="56"/>
      <c r="B986" s="62"/>
      <c r="C986" s="62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147"/>
      <c r="Q986" s="164"/>
    </row>
    <row r="987" spans="1:17" s="28" customFormat="1" x14ac:dyDescent="0.25">
      <c r="A987" s="56"/>
      <c r="B987" s="62"/>
      <c r="C987" s="62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147"/>
      <c r="Q987" s="164"/>
    </row>
    <row r="988" spans="1:17" s="28" customFormat="1" x14ac:dyDescent="0.25">
      <c r="A988" s="56"/>
      <c r="B988" s="62"/>
      <c r="C988" s="62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147"/>
      <c r="Q988" s="164"/>
    </row>
    <row r="989" spans="1:17" s="28" customFormat="1" x14ac:dyDescent="0.25">
      <c r="A989" s="56"/>
      <c r="B989" s="62"/>
      <c r="C989" s="62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147"/>
      <c r="Q989" s="164"/>
    </row>
    <row r="990" spans="1:17" s="28" customFormat="1" x14ac:dyDescent="0.25">
      <c r="A990" s="56"/>
      <c r="B990" s="62"/>
      <c r="C990" s="62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147"/>
      <c r="Q990" s="164"/>
    </row>
    <row r="991" spans="1:17" s="28" customFormat="1" x14ac:dyDescent="0.25">
      <c r="A991" s="56"/>
      <c r="B991" s="62"/>
      <c r="C991" s="62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147"/>
      <c r="Q991" s="164"/>
    </row>
    <row r="992" spans="1:17" s="28" customFormat="1" x14ac:dyDescent="0.25">
      <c r="A992" s="56"/>
      <c r="B992" s="62"/>
      <c r="C992" s="62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147"/>
      <c r="Q992" s="164"/>
    </row>
    <row r="993" spans="1:17" s="28" customFormat="1" x14ac:dyDescent="0.25">
      <c r="A993" s="56"/>
      <c r="B993" s="62"/>
      <c r="C993" s="62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147"/>
      <c r="Q993" s="164"/>
    </row>
    <row r="994" spans="1:17" s="28" customFormat="1" x14ac:dyDescent="0.25">
      <c r="A994" s="56"/>
      <c r="B994" s="62"/>
      <c r="C994" s="62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147"/>
      <c r="Q994" s="164"/>
    </row>
    <row r="995" spans="1:17" s="28" customFormat="1" x14ac:dyDescent="0.25">
      <c r="A995" s="56"/>
      <c r="B995" s="62"/>
      <c r="C995" s="62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147"/>
      <c r="Q995" s="164"/>
    </row>
    <row r="996" spans="1:17" s="28" customFormat="1" x14ac:dyDescent="0.25">
      <c r="A996" s="56"/>
      <c r="B996" s="62"/>
      <c r="C996" s="62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147"/>
      <c r="Q996" s="164"/>
    </row>
    <row r="997" spans="1:17" s="28" customFormat="1" x14ac:dyDescent="0.25">
      <c r="A997" s="56"/>
      <c r="B997" s="62"/>
      <c r="C997" s="62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147"/>
      <c r="Q997" s="164"/>
    </row>
    <row r="998" spans="1:17" s="28" customFormat="1" x14ac:dyDescent="0.25">
      <c r="A998" s="56"/>
      <c r="B998" s="62"/>
      <c r="C998" s="62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147"/>
      <c r="Q998" s="164"/>
    </row>
    <row r="999" spans="1:17" s="28" customFormat="1" x14ac:dyDescent="0.25">
      <c r="A999" s="56"/>
      <c r="B999" s="62"/>
      <c r="C999" s="62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147"/>
      <c r="Q999" s="164"/>
    </row>
    <row r="1000" spans="1:17" s="28" customFormat="1" x14ac:dyDescent="0.25">
      <c r="A1000" s="56"/>
      <c r="B1000" s="62"/>
      <c r="C1000" s="62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147"/>
      <c r="Q1000" s="164"/>
    </row>
    <row r="1001" spans="1:17" s="28" customFormat="1" x14ac:dyDescent="0.25">
      <c r="A1001" s="56"/>
      <c r="B1001" s="62"/>
      <c r="C1001" s="62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147"/>
      <c r="Q1001" s="164"/>
    </row>
    <row r="1002" spans="1:17" s="28" customFormat="1" x14ac:dyDescent="0.25">
      <c r="A1002" s="56"/>
      <c r="B1002" s="62"/>
      <c r="C1002" s="62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147"/>
      <c r="Q1002" s="164"/>
    </row>
    <row r="1003" spans="1:17" s="28" customFormat="1" x14ac:dyDescent="0.25">
      <c r="A1003" s="56"/>
      <c r="B1003" s="62"/>
      <c r="C1003" s="62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147"/>
      <c r="Q1003" s="164"/>
    </row>
    <row r="1004" spans="1:17" s="28" customFormat="1" x14ac:dyDescent="0.25">
      <c r="A1004" s="56"/>
      <c r="B1004" s="62"/>
      <c r="C1004" s="62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147"/>
      <c r="Q1004" s="164"/>
    </row>
    <row r="1005" spans="1:17" s="28" customFormat="1" x14ac:dyDescent="0.25">
      <c r="A1005" s="56"/>
      <c r="B1005" s="62"/>
      <c r="C1005" s="62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147"/>
      <c r="Q1005" s="164"/>
    </row>
    <row r="1006" spans="1:17" s="28" customFormat="1" x14ac:dyDescent="0.25">
      <c r="A1006" s="56"/>
      <c r="B1006" s="62"/>
      <c r="C1006" s="62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147"/>
      <c r="Q1006" s="164"/>
    </row>
    <row r="1007" spans="1:17" s="28" customFormat="1" x14ac:dyDescent="0.25">
      <c r="A1007" s="56"/>
      <c r="B1007" s="62"/>
      <c r="C1007" s="62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147"/>
      <c r="Q1007" s="164"/>
    </row>
    <row r="1008" spans="1:17" s="28" customFormat="1" x14ac:dyDescent="0.25">
      <c r="A1008" s="56"/>
      <c r="B1008" s="62"/>
      <c r="C1008" s="62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147"/>
      <c r="Q1008" s="164"/>
    </row>
    <row r="1009" spans="1:17" s="28" customFormat="1" x14ac:dyDescent="0.25">
      <c r="A1009" s="56"/>
      <c r="B1009" s="62"/>
      <c r="C1009" s="62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147"/>
      <c r="Q1009" s="164"/>
    </row>
    <row r="1010" spans="1:17" s="28" customFormat="1" x14ac:dyDescent="0.25">
      <c r="A1010" s="56"/>
      <c r="B1010" s="62"/>
      <c r="C1010" s="62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147"/>
      <c r="Q1010" s="164"/>
    </row>
    <row r="1011" spans="1:17" s="28" customFormat="1" x14ac:dyDescent="0.25">
      <c r="A1011" s="56"/>
      <c r="B1011" s="62"/>
      <c r="C1011" s="62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147"/>
      <c r="Q1011" s="164"/>
    </row>
    <row r="1012" spans="1:17" s="28" customFormat="1" x14ac:dyDescent="0.25">
      <c r="A1012" s="56"/>
      <c r="B1012" s="62"/>
      <c r="C1012" s="62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147"/>
      <c r="Q1012" s="164"/>
    </row>
    <row r="1013" spans="1:17" s="28" customFormat="1" x14ac:dyDescent="0.25">
      <c r="A1013" s="56"/>
      <c r="B1013" s="62"/>
      <c r="C1013" s="62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147"/>
      <c r="Q1013" s="164"/>
    </row>
    <row r="1014" spans="1:17" s="28" customFormat="1" x14ac:dyDescent="0.25">
      <c r="A1014" s="56"/>
      <c r="B1014" s="62"/>
      <c r="C1014" s="62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147"/>
      <c r="Q1014" s="164"/>
    </row>
    <row r="1015" spans="1:17" s="28" customFormat="1" x14ac:dyDescent="0.25">
      <c r="A1015" s="56"/>
      <c r="B1015" s="62"/>
      <c r="C1015" s="62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147"/>
      <c r="Q1015" s="164"/>
    </row>
    <row r="1016" spans="1:17" s="28" customFormat="1" x14ac:dyDescent="0.25">
      <c r="A1016" s="56"/>
      <c r="B1016" s="62"/>
      <c r="C1016" s="62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147"/>
      <c r="Q1016" s="164"/>
    </row>
    <row r="1017" spans="1:17" s="28" customFormat="1" x14ac:dyDescent="0.25">
      <c r="A1017" s="56"/>
      <c r="B1017" s="62"/>
      <c r="C1017" s="62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147"/>
      <c r="Q1017" s="164"/>
    </row>
    <row r="1018" spans="1:17" s="28" customFormat="1" x14ac:dyDescent="0.25">
      <c r="A1018" s="56"/>
      <c r="B1018" s="62"/>
      <c r="C1018" s="62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147"/>
      <c r="Q1018" s="164"/>
    </row>
    <row r="1019" spans="1:17" s="28" customFormat="1" x14ac:dyDescent="0.25">
      <c r="A1019" s="56"/>
      <c r="B1019" s="62"/>
      <c r="C1019" s="62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147"/>
      <c r="Q1019" s="164"/>
    </row>
    <row r="1020" spans="1:17" s="28" customFormat="1" x14ac:dyDescent="0.25">
      <c r="A1020" s="56"/>
      <c r="B1020" s="62"/>
      <c r="C1020" s="62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147"/>
      <c r="Q1020" s="164"/>
    </row>
    <row r="1021" spans="1:17" s="28" customFormat="1" x14ac:dyDescent="0.25">
      <c r="A1021" s="56"/>
      <c r="B1021" s="62"/>
      <c r="C1021" s="62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147"/>
      <c r="Q1021" s="164"/>
    </row>
    <row r="1022" spans="1:17" s="28" customFormat="1" x14ac:dyDescent="0.25">
      <c r="A1022" s="56"/>
      <c r="B1022" s="62"/>
      <c r="C1022" s="62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147"/>
      <c r="Q1022" s="164"/>
    </row>
    <row r="1023" spans="1:17" s="28" customFormat="1" x14ac:dyDescent="0.25">
      <c r="A1023" s="56"/>
      <c r="B1023" s="62"/>
      <c r="C1023" s="62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147"/>
      <c r="Q1023" s="164"/>
    </row>
    <row r="1024" spans="1:17" s="28" customFormat="1" x14ac:dyDescent="0.25">
      <c r="A1024" s="56"/>
      <c r="B1024" s="62"/>
      <c r="C1024" s="62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147"/>
      <c r="Q1024" s="164"/>
    </row>
    <row r="1025" spans="1:17" s="28" customFormat="1" x14ac:dyDescent="0.25">
      <c r="A1025" s="56"/>
      <c r="B1025" s="62"/>
      <c r="C1025" s="62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147"/>
      <c r="Q1025" s="164"/>
    </row>
    <row r="1026" spans="1:17" s="28" customFormat="1" x14ac:dyDescent="0.25">
      <c r="A1026" s="56"/>
      <c r="B1026" s="62"/>
      <c r="C1026" s="62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147"/>
      <c r="Q1026" s="164"/>
    </row>
    <row r="1027" spans="1:17" s="28" customFormat="1" x14ac:dyDescent="0.25">
      <c r="A1027" s="56"/>
      <c r="B1027" s="62"/>
      <c r="C1027" s="62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147"/>
      <c r="Q1027" s="164"/>
    </row>
    <row r="1028" spans="1:17" s="28" customFormat="1" x14ac:dyDescent="0.25">
      <c r="A1028" s="56"/>
      <c r="B1028" s="62"/>
      <c r="C1028" s="62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147"/>
      <c r="Q1028" s="164"/>
    </row>
    <row r="1029" spans="1:17" s="28" customFormat="1" x14ac:dyDescent="0.25">
      <c r="A1029" s="56"/>
      <c r="B1029" s="62"/>
      <c r="C1029" s="62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147"/>
      <c r="Q1029" s="164"/>
    </row>
    <row r="1030" spans="1:17" s="28" customFormat="1" x14ac:dyDescent="0.25">
      <c r="A1030" s="56"/>
      <c r="B1030" s="62"/>
      <c r="C1030" s="62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147"/>
      <c r="Q1030" s="164"/>
    </row>
    <row r="1031" spans="1:17" s="28" customFormat="1" x14ac:dyDescent="0.25">
      <c r="A1031" s="56"/>
      <c r="B1031" s="62"/>
      <c r="C1031" s="62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147"/>
      <c r="Q1031" s="164"/>
    </row>
    <row r="1032" spans="1:17" s="28" customFormat="1" x14ac:dyDescent="0.25">
      <c r="A1032" s="56"/>
      <c r="B1032" s="62"/>
      <c r="C1032" s="62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147"/>
      <c r="Q1032" s="164"/>
    </row>
    <row r="1033" spans="1:17" s="28" customFormat="1" x14ac:dyDescent="0.25">
      <c r="A1033" s="56"/>
      <c r="B1033" s="62"/>
      <c r="C1033" s="62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147"/>
      <c r="Q1033" s="164"/>
    </row>
    <row r="1034" spans="1:17" s="28" customFormat="1" x14ac:dyDescent="0.25">
      <c r="A1034" s="56"/>
      <c r="B1034" s="62"/>
      <c r="C1034" s="62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147"/>
      <c r="Q1034" s="164"/>
    </row>
    <row r="1035" spans="1:17" s="28" customFormat="1" x14ac:dyDescent="0.25">
      <c r="A1035" s="56"/>
      <c r="B1035" s="62"/>
      <c r="C1035" s="62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147"/>
      <c r="Q1035" s="164"/>
    </row>
    <row r="1036" spans="1:17" s="28" customFormat="1" x14ac:dyDescent="0.25">
      <c r="A1036" s="56"/>
      <c r="B1036" s="62"/>
      <c r="C1036" s="62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147"/>
      <c r="Q1036" s="164"/>
    </row>
    <row r="1037" spans="1:17" s="28" customFormat="1" x14ac:dyDescent="0.25">
      <c r="A1037" s="56"/>
      <c r="B1037" s="62"/>
      <c r="C1037" s="62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147"/>
      <c r="Q1037" s="164"/>
    </row>
    <row r="1038" spans="1:17" s="28" customFormat="1" x14ac:dyDescent="0.25">
      <c r="A1038" s="56"/>
      <c r="B1038" s="62"/>
      <c r="C1038" s="62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147"/>
      <c r="Q1038" s="164"/>
    </row>
    <row r="1039" spans="1:17" s="28" customFormat="1" x14ac:dyDescent="0.25">
      <c r="A1039" s="56"/>
      <c r="B1039" s="62"/>
      <c r="C1039" s="62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147"/>
      <c r="Q1039" s="164"/>
    </row>
    <row r="1040" spans="1:17" s="28" customFormat="1" x14ac:dyDescent="0.25">
      <c r="A1040" s="56"/>
      <c r="B1040" s="62"/>
      <c r="C1040" s="62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147"/>
      <c r="Q1040" s="164"/>
    </row>
    <row r="1041" spans="1:17" s="28" customFormat="1" x14ac:dyDescent="0.25">
      <c r="A1041" s="56"/>
      <c r="B1041" s="62"/>
      <c r="C1041" s="62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147"/>
      <c r="Q1041" s="164"/>
    </row>
    <row r="1042" spans="1:17" s="28" customFormat="1" x14ac:dyDescent="0.25">
      <c r="A1042" s="56"/>
      <c r="B1042" s="62"/>
      <c r="C1042" s="62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147"/>
      <c r="Q1042" s="164"/>
    </row>
    <row r="1043" spans="1:17" s="28" customFormat="1" x14ac:dyDescent="0.25">
      <c r="A1043" s="56"/>
      <c r="B1043" s="62"/>
      <c r="C1043" s="62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147"/>
      <c r="Q1043" s="164"/>
    </row>
    <row r="1044" spans="1:17" s="28" customFormat="1" x14ac:dyDescent="0.25">
      <c r="A1044" s="56"/>
      <c r="B1044" s="62"/>
      <c r="C1044" s="62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147"/>
      <c r="Q1044" s="164"/>
    </row>
    <row r="1045" spans="1:17" s="28" customFormat="1" x14ac:dyDescent="0.25">
      <c r="A1045" s="56"/>
      <c r="B1045" s="62"/>
      <c r="C1045" s="62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147"/>
      <c r="Q1045" s="164"/>
    </row>
    <row r="1046" spans="1:17" s="28" customFormat="1" x14ac:dyDescent="0.25">
      <c r="A1046" s="56"/>
      <c r="B1046" s="62"/>
      <c r="C1046" s="62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147"/>
      <c r="Q1046" s="164"/>
    </row>
    <row r="1047" spans="1:17" s="28" customFormat="1" x14ac:dyDescent="0.25">
      <c r="A1047" s="56"/>
      <c r="B1047" s="62"/>
      <c r="C1047" s="62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147"/>
      <c r="Q1047" s="164"/>
    </row>
    <row r="1048" spans="1:17" s="28" customFormat="1" x14ac:dyDescent="0.25">
      <c r="A1048" s="56"/>
      <c r="B1048" s="62"/>
      <c r="C1048" s="62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147"/>
      <c r="Q1048" s="164"/>
    </row>
    <row r="1049" spans="1:17" s="28" customFormat="1" x14ac:dyDescent="0.25">
      <c r="A1049" s="56"/>
      <c r="B1049" s="62"/>
      <c r="C1049" s="62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147"/>
      <c r="Q1049" s="164"/>
    </row>
    <row r="1050" spans="1:17" s="28" customFormat="1" x14ac:dyDescent="0.25">
      <c r="A1050" s="56"/>
      <c r="B1050" s="62"/>
      <c r="C1050" s="62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147"/>
      <c r="Q1050" s="164"/>
    </row>
    <row r="1051" spans="1:17" s="28" customFormat="1" x14ac:dyDescent="0.25">
      <c r="A1051" s="56"/>
      <c r="B1051" s="62"/>
      <c r="C1051" s="62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147"/>
      <c r="Q1051" s="164"/>
    </row>
    <row r="1052" spans="1:17" s="28" customFormat="1" x14ac:dyDescent="0.25">
      <c r="A1052" s="56"/>
      <c r="B1052" s="62"/>
      <c r="C1052" s="62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147"/>
      <c r="Q1052" s="164"/>
    </row>
    <row r="1053" spans="1:17" s="28" customFormat="1" x14ac:dyDescent="0.25">
      <c r="A1053" s="56"/>
      <c r="B1053" s="62"/>
      <c r="C1053" s="62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147"/>
      <c r="Q1053" s="164"/>
    </row>
    <row r="1054" spans="1:17" s="28" customFormat="1" x14ac:dyDescent="0.25">
      <c r="A1054" s="56"/>
      <c r="B1054" s="62"/>
      <c r="C1054" s="62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147"/>
      <c r="Q1054" s="164"/>
    </row>
    <row r="1055" spans="1:17" s="28" customFormat="1" x14ac:dyDescent="0.25">
      <c r="A1055" s="56"/>
      <c r="B1055" s="62"/>
      <c r="C1055" s="62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147"/>
      <c r="Q1055" s="164"/>
    </row>
    <row r="1056" spans="1:17" s="28" customFormat="1" x14ac:dyDescent="0.25">
      <c r="A1056" s="56"/>
      <c r="B1056" s="62"/>
      <c r="C1056" s="62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147"/>
      <c r="Q1056" s="164"/>
    </row>
    <row r="1057" spans="1:17" s="28" customFormat="1" x14ac:dyDescent="0.25">
      <c r="A1057" s="56"/>
      <c r="B1057" s="62"/>
      <c r="C1057" s="62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147"/>
      <c r="Q1057" s="164"/>
    </row>
    <row r="1058" spans="1:17" s="28" customFormat="1" x14ac:dyDescent="0.25">
      <c r="A1058" s="56"/>
      <c r="B1058" s="62"/>
      <c r="C1058" s="62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147"/>
      <c r="Q1058" s="164"/>
    </row>
    <row r="1059" spans="1:17" s="28" customFormat="1" x14ac:dyDescent="0.25">
      <c r="A1059" s="56"/>
      <c r="B1059" s="62"/>
      <c r="C1059" s="62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147"/>
      <c r="Q1059" s="164"/>
    </row>
    <row r="1060" spans="1:17" s="28" customFormat="1" x14ac:dyDescent="0.25">
      <c r="A1060" s="56"/>
      <c r="B1060" s="62"/>
      <c r="C1060" s="62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147"/>
      <c r="Q1060" s="164"/>
    </row>
    <row r="1061" spans="1:17" s="28" customFormat="1" x14ac:dyDescent="0.25">
      <c r="A1061" s="56"/>
      <c r="B1061" s="62"/>
      <c r="C1061" s="62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147"/>
      <c r="Q1061" s="164"/>
    </row>
    <row r="1062" spans="1:17" s="28" customFormat="1" x14ac:dyDescent="0.25">
      <c r="A1062" s="56"/>
      <c r="B1062" s="62"/>
      <c r="C1062" s="62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147"/>
      <c r="Q1062" s="164"/>
    </row>
    <row r="1063" spans="1:17" s="28" customFormat="1" x14ac:dyDescent="0.25">
      <c r="A1063" s="56"/>
      <c r="B1063" s="62"/>
      <c r="C1063" s="62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147"/>
      <c r="Q1063" s="164"/>
    </row>
    <row r="1064" spans="1:17" s="28" customFormat="1" x14ac:dyDescent="0.25">
      <c r="A1064" s="56"/>
      <c r="B1064" s="62"/>
      <c r="C1064" s="62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147"/>
      <c r="Q1064" s="164"/>
    </row>
    <row r="1065" spans="1:17" s="28" customFormat="1" x14ac:dyDescent="0.25">
      <c r="A1065" s="56"/>
      <c r="B1065" s="62"/>
      <c r="C1065" s="62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147"/>
      <c r="Q1065" s="164"/>
    </row>
    <row r="1066" spans="1:17" s="28" customFormat="1" x14ac:dyDescent="0.25">
      <c r="A1066" s="56"/>
      <c r="B1066" s="62"/>
      <c r="C1066" s="62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147"/>
      <c r="Q1066" s="164"/>
    </row>
    <row r="1067" spans="1:17" s="28" customFormat="1" x14ac:dyDescent="0.25">
      <c r="A1067" s="56"/>
      <c r="B1067" s="62"/>
      <c r="C1067" s="62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147"/>
      <c r="Q1067" s="164"/>
    </row>
    <row r="1068" spans="1:17" s="28" customFormat="1" x14ac:dyDescent="0.25">
      <c r="A1068" s="56"/>
      <c r="B1068" s="62"/>
      <c r="C1068" s="62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147"/>
      <c r="Q1068" s="164"/>
    </row>
    <row r="1069" spans="1:17" s="28" customFormat="1" x14ac:dyDescent="0.25">
      <c r="A1069" s="56"/>
      <c r="B1069" s="62"/>
      <c r="C1069" s="62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147"/>
      <c r="Q1069" s="164"/>
    </row>
    <row r="1070" spans="1:17" s="28" customFormat="1" x14ac:dyDescent="0.25">
      <c r="A1070" s="56"/>
      <c r="B1070" s="62"/>
      <c r="C1070" s="62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147"/>
      <c r="Q1070" s="164"/>
    </row>
    <row r="1071" spans="1:17" s="28" customFormat="1" x14ac:dyDescent="0.25">
      <c r="A1071" s="56"/>
      <c r="B1071" s="62"/>
      <c r="C1071" s="62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147"/>
      <c r="Q1071" s="164"/>
    </row>
    <row r="1072" spans="1:17" s="28" customFormat="1" x14ac:dyDescent="0.25">
      <c r="A1072" s="56"/>
      <c r="B1072" s="62"/>
      <c r="C1072" s="62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147"/>
      <c r="Q1072" s="164"/>
    </row>
    <row r="1073" spans="1:17" s="28" customFormat="1" x14ac:dyDescent="0.25">
      <c r="A1073" s="56"/>
      <c r="B1073" s="62"/>
      <c r="C1073" s="62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147"/>
      <c r="Q1073" s="164"/>
    </row>
    <row r="1074" spans="1:17" s="28" customFormat="1" x14ac:dyDescent="0.25">
      <c r="A1074" s="56"/>
      <c r="B1074" s="62"/>
      <c r="C1074" s="62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147"/>
      <c r="Q1074" s="164"/>
    </row>
    <row r="1075" spans="1:17" s="28" customFormat="1" x14ac:dyDescent="0.25">
      <c r="A1075" s="56"/>
      <c r="B1075" s="62"/>
      <c r="C1075" s="62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147"/>
      <c r="Q1075" s="164"/>
    </row>
    <row r="1076" spans="1:17" s="28" customFormat="1" x14ac:dyDescent="0.25">
      <c r="A1076" s="56"/>
      <c r="B1076" s="62"/>
      <c r="C1076" s="62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147"/>
      <c r="Q1076" s="164"/>
    </row>
    <row r="1077" spans="1:17" s="28" customFormat="1" x14ac:dyDescent="0.25">
      <c r="A1077" s="56"/>
      <c r="B1077" s="62"/>
      <c r="C1077" s="62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147"/>
      <c r="Q1077" s="164"/>
    </row>
    <row r="1078" spans="1:17" s="28" customFormat="1" x14ac:dyDescent="0.25">
      <c r="A1078" s="56"/>
      <c r="B1078" s="62"/>
      <c r="C1078" s="62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147"/>
      <c r="Q1078" s="164"/>
    </row>
    <row r="1079" spans="1:17" s="28" customFormat="1" x14ac:dyDescent="0.25">
      <c r="A1079" s="56"/>
      <c r="B1079" s="62"/>
      <c r="C1079" s="62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147"/>
      <c r="Q1079" s="164"/>
    </row>
    <row r="1080" spans="1:17" s="28" customFormat="1" x14ac:dyDescent="0.25">
      <c r="A1080" s="56"/>
      <c r="B1080" s="62"/>
      <c r="C1080" s="62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147"/>
      <c r="Q1080" s="164"/>
    </row>
    <row r="1081" spans="1:17" s="28" customFormat="1" x14ac:dyDescent="0.25">
      <c r="A1081" s="56"/>
      <c r="B1081" s="62"/>
      <c r="C1081" s="62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147"/>
      <c r="Q1081" s="164"/>
    </row>
    <row r="1082" spans="1:17" s="28" customFormat="1" x14ac:dyDescent="0.25">
      <c r="A1082" s="56"/>
      <c r="B1082" s="62"/>
      <c r="C1082" s="62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147"/>
      <c r="Q1082" s="164"/>
    </row>
    <row r="1083" spans="1:17" s="28" customFormat="1" x14ac:dyDescent="0.25">
      <c r="A1083" s="56"/>
      <c r="B1083" s="62"/>
      <c r="C1083" s="62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147"/>
      <c r="Q1083" s="164"/>
    </row>
    <row r="1084" spans="1:17" s="28" customFormat="1" x14ac:dyDescent="0.25">
      <c r="A1084" s="56"/>
      <c r="B1084" s="62"/>
      <c r="C1084" s="62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147"/>
      <c r="Q1084" s="164"/>
    </row>
    <row r="1085" spans="1:17" s="28" customFormat="1" x14ac:dyDescent="0.25">
      <c r="A1085" s="56"/>
      <c r="B1085" s="62"/>
      <c r="C1085" s="62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147"/>
      <c r="Q1085" s="164"/>
    </row>
    <row r="1086" spans="1:17" s="28" customFormat="1" x14ac:dyDescent="0.25">
      <c r="A1086" s="56"/>
      <c r="B1086" s="62"/>
      <c r="C1086" s="62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147"/>
      <c r="Q1086" s="164"/>
    </row>
    <row r="1087" spans="1:17" s="28" customFormat="1" x14ac:dyDescent="0.25">
      <c r="A1087" s="56"/>
      <c r="B1087" s="62"/>
      <c r="C1087" s="62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147"/>
      <c r="Q1087" s="164"/>
    </row>
    <row r="1088" spans="1:17" s="28" customFormat="1" x14ac:dyDescent="0.25">
      <c r="A1088" s="56"/>
      <c r="B1088" s="62"/>
      <c r="C1088" s="62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147"/>
      <c r="Q1088" s="164"/>
    </row>
    <row r="1089" spans="1:17" s="28" customFormat="1" x14ac:dyDescent="0.25">
      <c r="A1089" s="56"/>
      <c r="B1089" s="62"/>
      <c r="C1089" s="62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147"/>
      <c r="Q1089" s="164"/>
    </row>
    <row r="1090" spans="1:17" s="28" customFormat="1" x14ac:dyDescent="0.25">
      <c r="A1090" s="56"/>
      <c r="B1090" s="62"/>
      <c r="C1090" s="62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147"/>
      <c r="Q1090" s="164"/>
    </row>
    <row r="1091" spans="1:17" s="28" customFormat="1" x14ac:dyDescent="0.25">
      <c r="A1091" s="56"/>
      <c r="B1091" s="62"/>
      <c r="C1091" s="62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147"/>
      <c r="Q1091" s="164"/>
    </row>
    <row r="1092" spans="1:17" s="28" customFormat="1" x14ac:dyDescent="0.25">
      <c r="A1092" s="56"/>
      <c r="B1092" s="62"/>
      <c r="C1092" s="62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147"/>
      <c r="Q1092" s="164"/>
    </row>
    <row r="1093" spans="1:17" s="28" customFormat="1" x14ac:dyDescent="0.25">
      <c r="A1093" s="56"/>
      <c r="B1093" s="62"/>
      <c r="C1093" s="62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147"/>
      <c r="Q1093" s="164"/>
    </row>
    <row r="1094" spans="1:17" s="28" customFormat="1" x14ac:dyDescent="0.25">
      <c r="A1094" s="56"/>
      <c r="B1094" s="62"/>
      <c r="C1094" s="62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147"/>
      <c r="Q1094" s="164"/>
    </row>
    <row r="1095" spans="1:17" s="28" customFormat="1" x14ac:dyDescent="0.25">
      <c r="A1095" s="56"/>
      <c r="B1095" s="62"/>
      <c r="C1095" s="62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147"/>
      <c r="Q1095" s="164"/>
    </row>
    <row r="1096" spans="1:17" s="28" customFormat="1" x14ac:dyDescent="0.25">
      <c r="A1096" s="56"/>
      <c r="B1096" s="62"/>
      <c r="C1096" s="62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147"/>
      <c r="Q1096" s="164"/>
    </row>
    <row r="1097" spans="1:17" s="28" customFormat="1" x14ac:dyDescent="0.25">
      <c r="A1097" s="56"/>
      <c r="B1097" s="62"/>
      <c r="C1097" s="62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147"/>
      <c r="Q1097" s="164"/>
    </row>
    <row r="1098" spans="1:17" s="28" customFormat="1" x14ac:dyDescent="0.25">
      <c r="A1098" s="56"/>
      <c r="B1098" s="62"/>
      <c r="C1098" s="62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147"/>
      <c r="Q1098" s="164"/>
    </row>
    <row r="1099" spans="1:17" s="28" customFormat="1" x14ac:dyDescent="0.25">
      <c r="A1099" s="56"/>
      <c r="B1099" s="62"/>
      <c r="C1099" s="62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147"/>
      <c r="Q1099" s="164"/>
    </row>
    <row r="1100" spans="1:17" s="28" customFormat="1" x14ac:dyDescent="0.25">
      <c r="A1100" s="56"/>
      <c r="B1100" s="62"/>
      <c r="C1100" s="62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147"/>
      <c r="Q1100" s="164"/>
    </row>
    <row r="1101" spans="1:17" s="28" customFormat="1" x14ac:dyDescent="0.25">
      <c r="A1101" s="56"/>
      <c r="B1101" s="62"/>
      <c r="C1101" s="62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147"/>
      <c r="Q1101" s="164"/>
    </row>
    <row r="1102" spans="1:17" s="28" customFormat="1" x14ac:dyDescent="0.25">
      <c r="A1102" s="56"/>
      <c r="B1102" s="62"/>
      <c r="C1102" s="62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147"/>
      <c r="Q1102" s="164"/>
    </row>
    <row r="1103" spans="1:17" s="28" customFormat="1" x14ac:dyDescent="0.25">
      <c r="A1103" s="56"/>
      <c r="B1103" s="62"/>
      <c r="C1103" s="62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147"/>
      <c r="Q1103" s="164"/>
    </row>
    <row r="1104" spans="1:17" s="28" customFormat="1" x14ac:dyDescent="0.25">
      <c r="A1104" s="56"/>
      <c r="B1104" s="62"/>
      <c r="C1104" s="62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147"/>
      <c r="Q1104" s="164"/>
    </row>
    <row r="1105" spans="1:17" s="28" customFormat="1" x14ac:dyDescent="0.25">
      <c r="A1105" s="56"/>
      <c r="B1105" s="62"/>
      <c r="C1105" s="62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147"/>
      <c r="Q1105" s="164"/>
    </row>
    <row r="1106" spans="1:17" s="28" customFormat="1" x14ac:dyDescent="0.25">
      <c r="A1106" s="56"/>
      <c r="B1106" s="62"/>
      <c r="C1106" s="62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147"/>
      <c r="Q1106" s="164"/>
    </row>
    <row r="1107" spans="1:17" s="28" customFormat="1" x14ac:dyDescent="0.25">
      <c r="A1107" s="56"/>
      <c r="B1107" s="62"/>
      <c r="C1107" s="62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147"/>
      <c r="Q1107" s="164"/>
    </row>
    <row r="1108" spans="1:17" s="28" customFormat="1" x14ac:dyDescent="0.25">
      <c r="A1108" s="56"/>
      <c r="B1108" s="62"/>
      <c r="C1108" s="62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147"/>
      <c r="Q1108" s="164"/>
    </row>
    <row r="1109" spans="1:17" s="28" customFormat="1" x14ac:dyDescent="0.25">
      <c r="A1109" s="56"/>
      <c r="B1109" s="62"/>
      <c r="C1109" s="62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147"/>
      <c r="Q1109" s="164"/>
    </row>
    <row r="1110" spans="1:17" s="28" customFormat="1" x14ac:dyDescent="0.25">
      <c r="A1110" s="56"/>
      <c r="B1110" s="62"/>
      <c r="C1110" s="62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147"/>
      <c r="Q1110" s="164"/>
    </row>
    <row r="1111" spans="1:17" s="28" customFormat="1" x14ac:dyDescent="0.25">
      <c r="A1111" s="56"/>
      <c r="B1111" s="62"/>
      <c r="C1111" s="62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147"/>
      <c r="Q1111" s="164"/>
    </row>
    <row r="1112" spans="1:17" s="28" customFormat="1" x14ac:dyDescent="0.25">
      <c r="A1112" s="56"/>
      <c r="B1112" s="62"/>
      <c r="C1112" s="62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147"/>
      <c r="Q1112" s="164"/>
    </row>
    <row r="1113" spans="1:17" s="28" customFormat="1" x14ac:dyDescent="0.25">
      <c r="A1113" s="56"/>
      <c r="B1113" s="62"/>
      <c r="C1113" s="62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147"/>
      <c r="Q1113" s="164"/>
    </row>
    <row r="1114" spans="1:17" s="28" customFormat="1" x14ac:dyDescent="0.25">
      <c r="A1114" s="56"/>
      <c r="B1114" s="62"/>
      <c r="C1114" s="62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147"/>
      <c r="Q1114" s="164"/>
    </row>
    <row r="1115" spans="1:17" s="28" customFormat="1" x14ac:dyDescent="0.25">
      <c r="A1115" s="56"/>
      <c r="B1115" s="62"/>
      <c r="C1115" s="62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147"/>
      <c r="Q1115" s="164"/>
    </row>
    <row r="1116" spans="1:17" s="28" customFormat="1" x14ac:dyDescent="0.25">
      <c r="A1116" s="56"/>
      <c r="B1116" s="62"/>
      <c r="C1116" s="62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147"/>
      <c r="Q1116" s="164"/>
    </row>
    <row r="1117" spans="1:17" s="28" customFormat="1" x14ac:dyDescent="0.25">
      <c r="A1117" s="56"/>
      <c r="B1117" s="62"/>
      <c r="C1117" s="62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147"/>
      <c r="Q1117" s="164"/>
    </row>
    <row r="1118" spans="1:17" s="28" customFormat="1" x14ac:dyDescent="0.25">
      <c r="A1118" s="56"/>
      <c r="B1118" s="62"/>
      <c r="C1118" s="62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147"/>
      <c r="Q1118" s="164"/>
    </row>
    <row r="1119" spans="1:17" s="28" customFormat="1" x14ac:dyDescent="0.25">
      <c r="A1119" s="56"/>
      <c r="B1119" s="62"/>
      <c r="C1119" s="62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147"/>
      <c r="Q1119" s="164"/>
    </row>
    <row r="1120" spans="1:17" s="28" customFormat="1" x14ac:dyDescent="0.25">
      <c r="A1120" s="56"/>
      <c r="B1120" s="62"/>
      <c r="C1120" s="62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147"/>
      <c r="Q1120" s="164"/>
    </row>
    <row r="1121" spans="1:17" s="28" customFormat="1" x14ac:dyDescent="0.25">
      <c r="A1121" s="56"/>
      <c r="B1121" s="62"/>
      <c r="C1121" s="62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147"/>
      <c r="Q1121" s="164"/>
    </row>
    <row r="1122" spans="1:17" s="28" customFormat="1" x14ac:dyDescent="0.25">
      <c r="A1122" s="56"/>
      <c r="B1122" s="62"/>
      <c r="C1122" s="62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147"/>
      <c r="Q1122" s="164"/>
    </row>
    <row r="1123" spans="1:17" s="28" customFormat="1" x14ac:dyDescent="0.25">
      <c r="A1123" s="56"/>
      <c r="B1123" s="62"/>
      <c r="C1123" s="62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147"/>
      <c r="Q1123" s="164"/>
    </row>
    <row r="1124" spans="1:17" s="28" customFormat="1" x14ac:dyDescent="0.25">
      <c r="A1124" s="56"/>
      <c r="B1124" s="62"/>
      <c r="C1124" s="62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147"/>
      <c r="Q1124" s="164"/>
    </row>
    <row r="1125" spans="1:17" s="28" customFormat="1" x14ac:dyDescent="0.25">
      <c r="A1125" s="56"/>
      <c r="B1125" s="62"/>
      <c r="C1125" s="62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147"/>
      <c r="Q1125" s="164"/>
    </row>
    <row r="1126" spans="1:17" s="28" customFormat="1" x14ac:dyDescent="0.25">
      <c r="A1126" s="56"/>
      <c r="B1126" s="62"/>
      <c r="C1126" s="62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147"/>
      <c r="Q1126" s="164"/>
    </row>
    <row r="1127" spans="1:17" s="28" customFormat="1" x14ac:dyDescent="0.25">
      <c r="A1127" s="56"/>
      <c r="B1127" s="62"/>
      <c r="C1127" s="62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147"/>
      <c r="Q1127" s="164"/>
    </row>
    <row r="1128" spans="1:17" s="28" customFormat="1" x14ac:dyDescent="0.25">
      <c r="A1128" s="56"/>
      <c r="B1128" s="62"/>
      <c r="C1128" s="62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147"/>
      <c r="Q1128" s="164"/>
    </row>
    <row r="1129" spans="1:17" s="28" customFormat="1" x14ac:dyDescent="0.25">
      <c r="A1129" s="56"/>
      <c r="B1129" s="62"/>
      <c r="C1129" s="62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147"/>
      <c r="Q1129" s="164"/>
    </row>
    <row r="1130" spans="1:17" s="28" customFormat="1" x14ac:dyDescent="0.25">
      <c r="A1130" s="56"/>
      <c r="B1130" s="62"/>
      <c r="C1130" s="62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147"/>
      <c r="Q1130" s="164"/>
    </row>
    <row r="1131" spans="1:17" s="28" customFormat="1" x14ac:dyDescent="0.25">
      <c r="A1131" s="56"/>
      <c r="B1131" s="62"/>
      <c r="C1131" s="62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147"/>
      <c r="Q1131" s="164"/>
    </row>
    <row r="1132" spans="1:17" s="28" customFormat="1" x14ac:dyDescent="0.25">
      <c r="A1132" s="56"/>
      <c r="B1132" s="62"/>
      <c r="C1132" s="62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147"/>
      <c r="Q1132" s="164"/>
    </row>
    <row r="1133" spans="1:17" s="28" customFormat="1" x14ac:dyDescent="0.25">
      <c r="A1133" s="56"/>
      <c r="B1133" s="62"/>
      <c r="C1133" s="62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147"/>
      <c r="Q1133" s="164"/>
    </row>
    <row r="1134" spans="1:17" s="28" customFormat="1" x14ac:dyDescent="0.25">
      <c r="A1134" s="56"/>
      <c r="B1134" s="62"/>
      <c r="C1134" s="62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147"/>
      <c r="Q1134" s="164"/>
    </row>
    <row r="1135" spans="1:17" s="28" customFormat="1" x14ac:dyDescent="0.25">
      <c r="A1135" s="56"/>
      <c r="B1135" s="62"/>
      <c r="C1135" s="62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147"/>
      <c r="Q1135" s="164"/>
    </row>
    <row r="1136" spans="1:17" s="28" customFormat="1" x14ac:dyDescent="0.25">
      <c r="A1136" s="56"/>
      <c r="B1136" s="62"/>
      <c r="C1136" s="62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147"/>
      <c r="Q1136" s="164"/>
    </row>
    <row r="1137" spans="1:17" s="28" customFormat="1" x14ac:dyDescent="0.25">
      <c r="A1137" s="56"/>
      <c r="B1137" s="62"/>
      <c r="C1137" s="62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147"/>
      <c r="Q1137" s="164"/>
    </row>
    <row r="1138" spans="1:17" s="28" customFormat="1" x14ac:dyDescent="0.25">
      <c r="A1138" s="56"/>
      <c r="B1138" s="62"/>
      <c r="C1138" s="62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147"/>
      <c r="Q1138" s="164"/>
    </row>
    <row r="1139" spans="1:17" s="28" customFormat="1" x14ac:dyDescent="0.25">
      <c r="A1139" s="56"/>
      <c r="B1139" s="62"/>
      <c r="C1139" s="62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147"/>
      <c r="Q1139" s="164"/>
    </row>
    <row r="1140" spans="1:17" s="28" customFormat="1" x14ac:dyDescent="0.25">
      <c r="A1140" s="56"/>
      <c r="B1140" s="62"/>
      <c r="C1140" s="62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147"/>
      <c r="Q1140" s="164"/>
    </row>
    <row r="1141" spans="1:17" s="28" customFormat="1" x14ac:dyDescent="0.25">
      <c r="A1141" s="56"/>
      <c r="B1141" s="62"/>
      <c r="C1141" s="62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147"/>
      <c r="Q1141" s="164"/>
    </row>
    <row r="1142" spans="1:17" s="28" customFormat="1" x14ac:dyDescent="0.25">
      <c r="A1142" s="56"/>
      <c r="B1142" s="62"/>
      <c r="C1142" s="62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147"/>
      <c r="Q1142" s="164"/>
    </row>
    <row r="1143" spans="1:17" s="28" customFormat="1" x14ac:dyDescent="0.25">
      <c r="A1143" s="56"/>
      <c r="B1143" s="62"/>
      <c r="C1143" s="62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147"/>
      <c r="Q1143" s="164"/>
    </row>
    <row r="1144" spans="1:17" s="28" customFormat="1" x14ac:dyDescent="0.25">
      <c r="A1144" s="56"/>
      <c r="B1144" s="62"/>
      <c r="C1144" s="62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147"/>
      <c r="Q1144" s="164"/>
    </row>
    <row r="1145" spans="1:17" s="28" customFormat="1" x14ac:dyDescent="0.25">
      <c r="A1145" s="56"/>
      <c r="B1145" s="62"/>
      <c r="C1145" s="62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147"/>
      <c r="Q1145" s="164"/>
    </row>
    <row r="1146" spans="1:17" s="28" customFormat="1" x14ac:dyDescent="0.25">
      <c r="A1146" s="56"/>
      <c r="B1146" s="62"/>
      <c r="C1146" s="62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147"/>
      <c r="Q1146" s="164"/>
    </row>
    <row r="1147" spans="1:17" s="28" customFormat="1" x14ac:dyDescent="0.25">
      <c r="A1147" s="56"/>
      <c r="B1147" s="62"/>
      <c r="C1147" s="62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147"/>
      <c r="Q1147" s="164"/>
    </row>
    <row r="1148" spans="1:17" s="28" customFormat="1" x14ac:dyDescent="0.25">
      <c r="A1148" s="56"/>
      <c r="B1148" s="62"/>
      <c r="C1148" s="62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147"/>
      <c r="Q1148" s="164"/>
    </row>
    <row r="1149" spans="1:17" s="28" customFormat="1" x14ac:dyDescent="0.25">
      <c r="A1149" s="56"/>
      <c r="B1149" s="62"/>
      <c r="C1149" s="62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147"/>
      <c r="Q1149" s="164"/>
    </row>
    <row r="1150" spans="1:17" s="28" customFormat="1" x14ac:dyDescent="0.25">
      <c r="A1150" s="56"/>
      <c r="B1150" s="62"/>
      <c r="C1150" s="62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147"/>
      <c r="Q1150" s="164"/>
    </row>
    <row r="1151" spans="1:17" s="28" customFormat="1" x14ac:dyDescent="0.25">
      <c r="A1151" s="56"/>
      <c r="B1151" s="62"/>
      <c r="C1151" s="62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147"/>
      <c r="Q1151" s="164"/>
    </row>
    <row r="1152" spans="1:17" s="28" customFormat="1" x14ac:dyDescent="0.25">
      <c r="A1152" s="56"/>
      <c r="B1152" s="62"/>
      <c r="C1152" s="62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147"/>
      <c r="Q1152" s="164"/>
    </row>
    <row r="1153" spans="1:17" s="28" customFormat="1" x14ac:dyDescent="0.25">
      <c r="A1153" s="56"/>
      <c r="B1153" s="62"/>
      <c r="C1153" s="62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147"/>
      <c r="Q1153" s="164"/>
    </row>
    <row r="1154" spans="1:17" s="28" customFormat="1" x14ac:dyDescent="0.25">
      <c r="A1154" s="56"/>
      <c r="B1154" s="62"/>
      <c r="C1154" s="62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147"/>
      <c r="Q1154" s="164"/>
    </row>
    <row r="1155" spans="1:17" s="28" customFormat="1" x14ac:dyDescent="0.25">
      <c r="A1155" s="56"/>
      <c r="B1155" s="62"/>
      <c r="C1155" s="62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147"/>
      <c r="Q1155" s="164"/>
    </row>
    <row r="1156" spans="1:17" s="28" customFormat="1" x14ac:dyDescent="0.25">
      <c r="A1156" s="56"/>
      <c r="B1156" s="62"/>
      <c r="C1156" s="62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147"/>
      <c r="Q1156" s="164"/>
    </row>
    <row r="1157" spans="1:17" s="28" customFormat="1" x14ac:dyDescent="0.25">
      <c r="A1157" s="56"/>
      <c r="B1157" s="62"/>
      <c r="C1157" s="62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147"/>
      <c r="Q1157" s="164"/>
    </row>
    <row r="1158" spans="1:17" s="28" customFormat="1" x14ac:dyDescent="0.25">
      <c r="A1158" s="56"/>
      <c r="B1158" s="62"/>
      <c r="C1158" s="62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147"/>
      <c r="Q1158" s="164"/>
    </row>
    <row r="1159" spans="1:17" s="28" customFormat="1" x14ac:dyDescent="0.25">
      <c r="A1159" s="56"/>
      <c r="B1159" s="62"/>
      <c r="C1159" s="62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147"/>
      <c r="Q1159" s="164"/>
    </row>
    <row r="1160" spans="1:17" s="28" customFormat="1" x14ac:dyDescent="0.25">
      <c r="A1160" s="56"/>
      <c r="B1160" s="62"/>
      <c r="C1160" s="62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147"/>
      <c r="Q1160" s="164"/>
    </row>
    <row r="1161" spans="1:17" s="28" customFormat="1" x14ac:dyDescent="0.25">
      <c r="A1161" s="56"/>
      <c r="B1161" s="62"/>
      <c r="C1161" s="62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147"/>
      <c r="Q1161" s="164"/>
    </row>
    <row r="1162" spans="1:17" s="28" customFormat="1" x14ac:dyDescent="0.25">
      <c r="A1162" s="56"/>
      <c r="B1162" s="62"/>
      <c r="C1162" s="62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147"/>
      <c r="Q1162" s="164"/>
    </row>
    <row r="1163" spans="1:17" s="28" customFormat="1" x14ac:dyDescent="0.25">
      <c r="A1163" s="56"/>
      <c r="B1163" s="62"/>
      <c r="C1163" s="62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147"/>
      <c r="Q1163" s="164"/>
    </row>
    <row r="1164" spans="1:17" s="28" customFormat="1" x14ac:dyDescent="0.25">
      <c r="A1164" s="56"/>
      <c r="B1164" s="62"/>
      <c r="C1164" s="62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147"/>
      <c r="Q1164" s="164"/>
    </row>
    <row r="1165" spans="1:17" s="28" customFormat="1" x14ac:dyDescent="0.25">
      <c r="A1165" s="56"/>
      <c r="B1165" s="62"/>
      <c r="C1165" s="62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147"/>
      <c r="Q1165" s="164"/>
    </row>
    <row r="1166" spans="1:17" s="28" customFormat="1" x14ac:dyDescent="0.25">
      <c r="A1166" s="56"/>
      <c r="B1166" s="62"/>
      <c r="C1166" s="62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147"/>
      <c r="Q1166" s="164"/>
    </row>
    <row r="1167" spans="1:17" s="28" customFormat="1" x14ac:dyDescent="0.25">
      <c r="A1167" s="56"/>
      <c r="B1167" s="62"/>
      <c r="C1167" s="62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147"/>
      <c r="Q1167" s="164"/>
    </row>
    <row r="1168" spans="1:17" s="28" customFormat="1" x14ac:dyDescent="0.25">
      <c r="A1168" s="56"/>
      <c r="B1168" s="62"/>
      <c r="C1168" s="62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147"/>
      <c r="Q1168" s="164"/>
    </row>
    <row r="1169" spans="1:17" s="28" customFormat="1" x14ac:dyDescent="0.25">
      <c r="A1169" s="56"/>
      <c r="B1169" s="62"/>
      <c r="C1169" s="62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147"/>
      <c r="Q1169" s="164"/>
    </row>
    <row r="1170" spans="1:17" s="28" customFormat="1" x14ac:dyDescent="0.25">
      <c r="A1170" s="56"/>
      <c r="B1170" s="62"/>
      <c r="C1170" s="62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147"/>
      <c r="Q1170" s="164"/>
    </row>
    <row r="1171" spans="1:17" s="28" customFormat="1" x14ac:dyDescent="0.25">
      <c r="A1171" s="56"/>
      <c r="B1171" s="62"/>
      <c r="C1171" s="62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147"/>
      <c r="Q1171" s="164"/>
    </row>
    <row r="1172" spans="1:17" s="28" customFormat="1" x14ac:dyDescent="0.25">
      <c r="A1172" s="56"/>
      <c r="B1172" s="62"/>
      <c r="C1172" s="62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147"/>
      <c r="Q1172" s="164"/>
    </row>
    <row r="1173" spans="1:17" s="28" customFormat="1" x14ac:dyDescent="0.25">
      <c r="A1173" s="56"/>
      <c r="B1173" s="62"/>
      <c r="C1173" s="62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147"/>
      <c r="Q1173" s="164"/>
    </row>
    <row r="1174" spans="1:17" s="28" customFormat="1" x14ac:dyDescent="0.25">
      <c r="A1174" s="56"/>
      <c r="B1174" s="62"/>
      <c r="C1174" s="62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147"/>
      <c r="Q1174" s="164"/>
    </row>
    <row r="1175" spans="1:17" s="28" customFormat="1" x14ac:dyDescent="0.25">
      <c r="A1175" s="56"/>
      <c r="B1175" s="62"/>
      <c r="C1175" s="62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147"/>
      <c r="Q1175" s="164"/>
    </row>
    <row r="1176" spans="1:17" s="28" customFormat="1" x14ac:dyDescent="0.25">
      <c r="A1176" s="56"/>
      <c r="B1176" s="62"/>
      <c r="C1176" s="62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147"/>
      <c r="Q1176" s="164"/>
    </row>
    <row r="1177" spans="1:17" s="28" customFormat="1" x14ac:dyDescent="0.25">
      <c r="A1177" s="56"/>
      <c r="B1177" s="62"/>
      <c r="C1177" s="62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147"/>
      <c r="Q1177" s="164"/>
    </row>
    <row r="1178" spans="1:17" s="28" customFormat="1" x14ac:dyDescent="0.25">
      <c r="A1178" s="56"/>
      <c r="B1178" s="62"/>
      <c r="C1178" s="62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147"/>
      <c r="Q1178" s="164"/>
    </row>
    <row r="1179" spans="1:17" s="28" customFormat="1" x14ac:dyDescent="0.25">
      <c r="A1179" s="56"/>
      <c r="B1179" s="62"/>
      <c r="C1179" s="62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147"/>
      <c r="Q1179" s="164"/>
    </row>
    <row r="1180" spans="1:17" s="28" customFormat="1" x14ac:dyDescent="0.25">
      <c r="A1180" s="56"/>
      <c r="B1180" s="62"/>
      <c r="C1180" s="62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147"/>
      <c r="Q1180" s="164"/>
    </row>
    <row r="1181" spans="1:17" s="28" customFormat="1" x14ac:dyDescent="0.25">
      <c r="A1181" s="56"/>
      <c r="B1181" s="62"/>
      <c r="C1181" s="62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147"/>
      <c r="Q1181" s="164"/>
    </row>
    <row r="1182" spans="1:17" s="28" customFormat="1" x14ac:dyDescent="0.25">
      <c r="A1182" s="56"/>
      <c r="B1182" s="62"/>
      <c r="C1182" s="62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147"/>
      <c r="Q1182" s="164"/>
    </row>
    <row r="1183" spans="1:17" s="28" customFormat="1" x14ac:dyDescent="0.25">
      <c r="A1183" s="56"/>
      <c r="B1183" s="62"/>
      <c r="C1183" s="62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147"/>
      <c r="Q1183" s="164"/>
    </row>
    <row r="1184" spans="1:17" s="28" customFormat="1" x14ac:dyDescent="0.25">
      <c r="A1184" s="56"/>
      <c r="B1184" s="62"/>
      <c r="C1184" s="62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147"/>
      <c r="Q1184" s="164"/>
    </row>
    <row r="1185" spans="1:17" s="28" customFormat="1" x14ac:dyDescent="0.25">
      <c r="A1185" s="56"/>
      <c r="B1185" s="62"/>
      <c r="C1185" s="62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147"/>
      <c r="Q1185" s="164"/>
    </row>
    <row r="1186" spans="1:17" s="28" customFormat="1" x14ac:dyDescent="0.25">
      <c r="A1186" s="56"/>
      <c r="B1186" s="62"/>
      <c r="C1186" s="62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147"/>
      <c r="Q1186" s="164"/>
    </row>
    <row r="1187" spans="1:17" s="28" customFormat="1" x14ac:dyDescent="0.25">
      <c r="A1187" s="56"/>
      <c r="B1187" s="62"/>
      <c r="C1187" s="62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147"/>
      <c r="Q1187" s="164"/>
    </row>
    <row r="1188" spans="1:17" s="28" customFormat="1" x14ac:dyDescent="0.25">
      <c r="A1188" s="56"/>
      <c r="B1188" s="62"/>
      <c r="C1188" s="62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147"/>
      <c r="Q1188" s="164"/>
    </row>
    <row r="1189" spans="1:17" s="28" customFormat="1" x14ac:dyDescent="0.25">
      <c r="A1189" s="56"/>
      <c r="B1189" s="62"/>
      <c r="C1189" s="62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147"/>
      <c r="Q1189" s="164"/>
    </row>
    <row r="1190" spans="1:17" s="28" customFormat="1" x14ac:dyDescent="0.25">
      <c r="A1190" s="56"/>
      <c r="B1190" s="62"/>
      <c r="C1190" s="62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147"/>
      <c r="Q1190" s="164"/>
    </row>
    <row r="1191" spans="1:17" s="28" customFormat="1" x14ac:dyDescent="0.25">
      <c r="A1191" s="56"/>
      <c r="B1191" s="62"/>
      <c r="C1191" s="62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147"/>
      <c r="Q1191" s="164"/>
    </row>
    <row r="1192" spans="1:17" s="28" customFormat="1" x14ac:dyDescent="0.25">
      <c r="A1192" s="56"/>
      <c r="B1192" s="62"/>
      <c r="C1192" s="62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147"/>
      <c r="Q1192" s="164"/>
    </row>
    <row r="1193" spans="1:17" s="28" customFormat="1" x14ac:dyDescent="0.25">
      <c r="A1193" s="56"/>
      <c r="B1193" s="62"/>
      <c r="C1193" s="62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147"/>
      <c r="Q1193" s="164"/>
    </row>
    <row r="1194" spans="1:17" s="28" customFormat="1" x14ac:dyDescent="0.25">
      <c r="A1194" s="56"/>
      <c r="B1194" s="62"/>
      <c r="C1194" s="62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147"/>
      <c r="Q1194" s="164"/>
    </row>
    <row r="1195" spans="1:17" s="28" customFormat="1" x14ac:dyDescent="0.25">
      <c r="A1195" s="56"/>
      <c r="B1195" s="62"/>
      <c r="C1195" s="62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147"/>
      <c r="Q1195" s="164"/>
    </row>
    <row r="1196" spans="1:17" s="28" customFormat="1" x14ac:dyDescent="0.25">
      <c r="A1196" s="56"/>
      <c r="B1196" s="62"/>
      <c r="C1196" s="62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147"/>
      <c r="Q1196" s="164"/>
    </row>
    <row r="1197" spans="1:17" s="28" customFormat="1" x14ac:dyDescent="0.25">
      <c r="A1197" s="56"/>
      <c r="B1197" s="62"/>
      <c r="C1197" s="62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147"/>
      <c r="Q1197" s="164"/>
    </row>
    <row r="1198" spans="1:17" s="28" customFormat="1" x14ac:dyDescent="0.25">
      <c r="A1198" s="56"/>
      <c r="B1198" s="62"/>
      <c r="C1198" s="62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147"/>
      <c r="Q1198" s="164"/>
    </row>
    <row r="1199" spans="1:17" s="28" customFormat="1" x14ac:dyDescent="0.25">
      <c r="A1199" s="56"/>
      <c r="B1199" s="62"/>
      <c r="C1199" s="62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147"/>
      <c r="Q1199" s="164"/>
    </row>
    <row r="1200" spans="1:17" s="28" customFormat="1" x14ac:dyDescent="0.25">
      <c r="A1200" s="56"/>
      <c r="B1200" s="62"/>
      <c r="C1200" s="62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147"/>
      <c r="Q1200" s="164"/>
    </row>
    <row r="1201" spans="1:17" s="28" customFormat="1" x14ac:dyDescent="0.25">
      <c r="A1201" s="56"/>
      <c r="B1201" s="62"/>
      <c r="C1201" s="62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147"/>
      <c r="Q1201" s="164"/>
    </row>
    <row r="1202" spans="1:17" s="28" customFormat="1" x14ac:dyDescent="0.25">
      <c r="A1202" s="56"/>
      <c r="B1202" s="62"/>
      <c r="C1202" s="62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147"/>
      <c r="Q1202" s="164"/>
    </row>
    <row r="1203" spans="1:17" s="28" customFormat="1" x14ac:dyDescent="0.25">
      <c r="A1203" s="56"/>
      <c r="B1203" s="62"/>
      <c r="C1203" s="62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147"/>
      <c r="Q1203" s="164"/>
    </row>
    <row r="1204" spans="1:17" s="28" customFormat="1" x14ac:dyDescent="0.25">
      <c r="A1204" s="56"/>
      <c r="B1204" s="62"/>
      <c r="C1204" s="62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147"/>
      <c r="Q1204" s="164"/>
    </row>
    <row r="1205" spans="1:17" s="28" customFormat="1" x14ac:dyDescent="0.25">
      <c r="A1205" s="56"/>
      <c r="B1205" s="62"/>
      <c r="C1205" s="62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147"/>
      <c r="Q1205" s="164"/>
    </row>
    <row r="1206" spans="1:17" s="28" customFormat="1" x14ac:dyDescent="0.25">
      <c r="A1206" s="56"/>
      <c r="B1206" s="62"/>
      <c r="C1206" s="62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147"/>
      <c r="Q1206" s="164"/>
    </row>
    <row r="1207" spans="1:17" s="28" customFormat="1" x14ac:dyDescent="0.25">
      <c r="A1207" s="56"/>
      <c r="B1207" s="62"/>
      <c r="C1207" s="62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147"/>
      <c r="Q1207" s="164"/>
    </row>
    <row r="1208" spans="1:17" s="28" customFormat="1" x14ac:dyDescent="0.25">
      <c r="A1208" s="56"/>
      <c r="B1208" s="62"/>
      <c r="C1208" s="62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147"/>
      <c r="Q1208" s="164"/>
    </row>
    <row r="1209" spans="1:17" s="28" customFormat="1" x14ac:dyDescent="0.25">
      <c r="A1209" s="56"/>
      <c r="B1209" s="62"/>
      <c r="C1209" s="62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147"/>
      <c r="Q1209" s="164"/>
    </row>
    <row r="1210" spans="1:17" s="28" customFormat="1" x14ac:dyDescent="0.25">
      <c r="A1210" s="56"/>
      <c r="B1210" s="62"/>
      <c r="C1210" s="62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147"/>
      <c r="Q1210" s="164"/>
    </row>
    <row r="1211" spans="1:17" s="28" customFormat="1" x14ac:dyDescent="0.25">
      <c r="A1211" s="56"/>
      <c r="B1211" s="62"/>
      <c r="C1211" s="62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147"/>
      <c r="Q1211" s="164"/>
    </row>
    <row r="1212" spans="1:17" s="28" customFormat="1" x14ac:dyDescent="0.25">
      <c r="A1212" s="56"/>
      <c r="B1212" s="62"/>
      <c r="C1212" s="62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147"/>
      <c r="Q1212" s="164"/>
    </row>
    <row r="1213" spans="1:17" s="28" customFormat="1" x14ac:dyDescent="0.25">
      <c r="A1213" s="56"/>
      <c r="B1213" s="62"/>
      <c r="C1213" s="62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147"/>
      <c r="Q1213" s="164"/>
    </row>
    <row r="1214" spans="1:17" s="28" customFormat="1" x14ac:dyDescent="0.25">
      <c r="A1214" s="56"/>
      <c r="B1214" s="62"/>
      <c r="C1214" s="62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147"/>
      <c r="Q1214" s="164"/>
    </row>
    <row r="1215" spans="1:17" s="28" customFormat="1" x14ac:dyDescent="0.25">
      <c r="A1215" s="56"/>
      <c r="B1215" s="62"/>
      <c r="C1215" s="62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147"/>
      <c r="Q1215" s="164"/>
    </row>
    <row r="1216" spans="1:17" s="28" customFormat="1" x14ac:dyDescent="0.25">
      <c r="A1216" s="56"/>
      <c r="B1216" s="62"/>
      <c r="C1216" s="62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147"/>
      <c r="Q1216" s="164"/>
    </row>
    <row r="1217" spans="1:17" s="28" customFormat="1" x14ac:dyDescent="0.25">
      <c r="A1217" s="56"/>
      <c r="B1217" s="62"/>
      <c r="C1217" s="62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147"/>
      <c r="Q1217" s="164"/>
    </row>
    <row r="1218" spans="1:17" s="28" customFormat="1" x14ac:dyDescent="0.25">
      <c r="A1218" s="56"/>
      <c r="B1218" s="62"/>
      <c r="C1218" s="62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147"/>
      <c r="Q1218" s="164"/>
    </row>
    <row r="1219" spans="1:17" s="28" customFormat="1" x14ac:dyDescent="0.25">
      <c r="A1219" s="56"/>
      <c r="B1219" s="62"/>
      <c r="C1219" s="62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147"/>
      <c r="Q1219" s="164"/>
    </row>
    <row r="1220" spans="1:17" s="28" customFormat="1" x14ac:dyDescent="0.25">
      <c r="A1220" s="56"/>
      <c r="B1220" s="62"/>
      <c r="C1220" s="62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147"/>
      <c r="Q1220" s="164"/>
    </row>
    <row r="1221" spans="1:17" s="28" customFormat="1" x14ac:dyDescent="0.25">
      <c r="A1221" s="56"/>
      <c r="B1221" s="62"/>
      <c r="C1221" s="62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147"/>
      <c r="Q1221" s="164"/>
    </row>
    <row r="1222" spans="1:17" s="28" customFormat="1" x14ac:dyDescent="0.25">
      <c r="A1222" s="56"/>
      <c r="B1222" s="62"/>
      <c r="C1222" s="62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147"/>
      <c r="Q1222" s="164"/>
    </row>
    <row r="1223" spans="1:17" s="28" customFormat="1" x14ac:dyDescent="0.25">
      <c r="A1223" s="56"/>
      <c r="B1223" s="62"/>
      <c r="C1223" s="62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147"/>
      <c r="Q1223" s="164"/>
    </row>
    <row r="1224" spans="1:17" s="28" customFormat="1" x14ac:dyDescent="0.25">
      <c r="A1224" s="56"/>
      <c r="B1224" s="62"/>
      <c r="C1224" s="62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147"/>
      <c r="Q1224" s="164"/>
    </row>
    <row r="1225" spans="1:17" s="28" customFormat="1" x14ac:dyDescent="0.25">
      <c r="A1225" s="56"/>
      <c r="B1225" s="62"/>
      <c r="C1225" s="62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147"/>
      <c r="Q1225" s="164"/>
    </row>
    <row r="1226" spans="1:17" s="28" customFormat="1" x14ac:dyDescent="0.25">
      <c r="A1226" s="56"/>
      <c r="B1226" s="62"/>
      <c r="C1226" s="62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147"/>
      <c r="Q1226" s="164"/>
    </row>
    <row r="1227" spans="1:17" s="28" customFormat="1" x14ac:dyDescent="0.25">
      <c r="A1227" s="56"/>
      <c r="B1227" s="62"/>
      <c r="C1227" s="62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147"/>
      <c r="Q1227" s="164"/>
    </row>
    <row r="1228" spans="1:17" s="28" customFormat="1" x14ac:dyDescent="0.25">
      <c r="A1228" s="56"/>
      <c r="B1228" s="62"/>
      <c r="C1228" s="62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147"/>
      <c r="Q1228" s="164"/>
    </row>
    <row r="1229" spans="1:17" s="28" customFormat="1" x14ac:dyDescent="0.25">
      <c r="A1229" s="56"/>
      <c r="B1229" s="62"/>
      <c r="C1229" s="62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147"/>
      <c r="Q1229" s="164"/>
    </row>
    <row r="1230" spans="1:17" s="28" customFormat="1" x14ac:dyDescent="0.25">
      <c r="A1230" s="56"/>
      <c r="B1230" s="62"/>
      <c r="C1230" s="62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147"/>
      <c r="Q1230" s="164"/>
    </row>
    <row r="1231" spans="1:17" s="28" customFormat="1" x14ac:dyDescent="0.25">
      <c r="A1231" s="56"/>
      <c r="B1231" s="62"/>
      <c r="C1231" s="62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147"/>
      <c r="Q1231" s="164"/>
    </row>
    <row r="1232" spans="1:17" s="28" customFormat="1" x14ac:dyDescent="0.25">
      <c r="A1232" s="56"/>
      <c r="B1232" s="62"/>
      <c r="C1232" s="62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147"/>
      <c r="Q1232" s="164"/>
    </row>
    <row r="1233" spans="1:17" s="28" customFormat="1" x14ac:dyDescent="0.25">
      <c r="A1233" s="56"/>
      <c r="B1233" s="62"/>
      <c r="C1233" s="62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147"/>
      <c r="Q1233" s="164"/>
    </row>
    <row r="1234" spans="1:17" s="28" customFormat="1" x14ac:dyDescent="0.25">
      <c r="A1234" s="56"/>
      <c r="B1234" s="62"/>
      <c r="C1234" s="62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147"/>
      <c r="Q1234" s="164"/>
    </row>
    <row r="1235" spans="1:17" s="28" customFormat="1" x14ac:dyDescent="0.25">
      <c r="A1235" s="56"/>
      <c r="B1235" s="62"/>
      <c r="C1235" s="62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147"/>
      <c r="Q1235" s="164"/>
    </row>
    <row r="1236" spans="1:17" s="28" customFormat="1" x14ac:dyDescent="0.25">
      <c r="A1236" s="56"/>
      <c r="B1236" s="62"/>
      <c r="C1236" s="62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147"/>
      <c r="Q1236" s="164"/>
    </row>
    <row r="1237" spans="1:17" s="28" customFormat="1" x14ac:dyDescent="0.25">
      <c r="A1237" s="56"/>
      <c r="B1237" s="62"/>
      <c r="C1237" s="62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147"/>
      <c r="Q1237" s="164"/>
    </row>
    <row r="1238" spans="1:17" s="28" customFormat="1" x14ac:dyDescent="0.25">
      <c r="A1238" s="56"/>
      <c r="B1238" s="62"/>
      <c r="C1238" s="62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147"/>
      <c r="Q1238" s="164"/>
    </row>
    <row r="1239" spans="1:17" s="28" customFormat="1" x14ac:dyDescent="0.25">
      <c r="A1239" s="56"/>
      <c r="B1239" s="62"/>
      <c r="C1239" s="62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147"/>
      <c r="Q1239" s="164"/>
    </row>
    <row r="1240" spans="1:17" s="28" customFormat="1" x14ac:dyDescent="0.25">
      <c r="A1240" s="56"/>
      <c r="B1240" s="62"/>
      <c r="C1240" s="62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147"/>
      <c r="Q1240" s="164"/>
    </row>
    <row r="1241" spans="1:17" s="28" customFormat="1" x14ac:dyDescent="0.25">
      <c r="A1241" s="56"/>
      <c r="B1241" s="62"/>
      <c r="C1241" s="62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147"/>
      <c r="Q1241" s="164"/>
    </row>
    <row r="1242" spans="1:17" s="28" customFormat="1" x14ac:dyDescent="0.25">
      <c r="A1242" s="56"/>
      <c r="B1242" s="62"/>
      <c r="C1242" s="62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147"/>
      <c r="Q1242" s="164"/>
    </row>
    <row r="1243" spans="1:17" s="28" customFormat="1" x14ac:dyDescent="0.25">
      <c r="A1243" s="56"/>
      <c r="B1243" s="62"/>
      <c r="C1243" s="62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147"/>
      <c r="Q1243" s="164"/>
    </row>
    <row r="1244" spans="1:17" s="28" customFormat="1" x14ac:dyDescent="0.25">
      <c r="A1244" s="56"/>
      <c r="B1244" s="62"/>
      <c r="C1244" s="62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147"/>
      <c r="Q1244" s="164"/>
    </row>
    <row r="1245" spans="1:17" s="28" customFormat="1" x14ac:dyDescent="0.25">
      <c r="A1245" s="56"/>
      <c r="B1245" s="62"/>
      <c r="C1245" s="62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147"/>
      <c r="Q1245" s="164"/>
    </row>
    <row r="1246" spans="1:17" s="28" customFormat="1" x14ac:dyDescent="0.25">
      <c r="A1246" s="56"/>
      <c r="B1246" s="62"/>
      <c r="C1246" s="62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147"/>
      <c r="Q1246" s="164"/>
    </row>
    <row r="1247" spans="1:17" s="28" customFormat="1" x14ac:dyDescent="0.25">
      <c r="A1247" s="56"/>
      <c r="B1247" s="62"/>
      <c r="C1247" s="62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147"/>
      <c r="Q1247" s="164"/>
    </row>
    <row r="1248" spans="1:17" s="28" customFormat="1" x14ac:dyDescent="0.25">
      <c r="A1248" s="56"/>
      <c r="B1248" s="62"/>
      <c r="C1248" s="62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147"/>
      <c r="Q1248" s="164"/>
    </row>
    <row r="1249" spans="1:17" s="28" customFormat="1" x14ac:dyDescent="0.25">
      <c r="A1249" s="56"/>
      <c r="B1249" s="62"/>
      <c r="C1249" s="62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147"/>
      <c r="Q1249" s="164"/>
    </row>
    <row r="1250" spans="1:17" s="28" customFormat="1" x14ac:dyDescent="0.25">
      <c r="A1250" s="56"/>
      <c r="B1250" s="62"/>
      <c r="C1250" s="62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147"/>
      <c r="Q1250" s="164"/>
    </row>
    <row r="1251" spans="1:17" s="28" customFormat="1" x14ac:dyDescent="0.25">
      <c r="A1251" s="56"/>
      <c r="B1251" s="62"/>
      <c r="C1251" s="62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147"/>
      <c r="Q1251" s="164"/>
    </row>
    <row r="1252" spans="1:17" s="28" customFormat="1" x14ac:dyDescent="0.25">
      <c r="A1252" s="56"/>
      <c r="B1252" s="62"/>
      <c r="C1252" s="62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147"/>
      <c r="Q1252" s="164"/>
    </row>
    <row r="1253" spans="1:17" s="28" customFormat="1" x14ac:dyDescent="0.25">
      <c r="A1253" s="56"/>
      <c r="B1253" s="62"/>
      <c r="C1253" s="62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147"/>
      <c r="Q1253" s="164"/>
    </row>
    <row r="1254" spans="1:17" s="28" customFormat="1" x14ac:dyDescent="0.25">
      <c r="A1254" s="56"/>
      <c r="B1254" s="62"/>
      <c r="C1254" s="62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147"/>
      <c r="Q1254" s="164"/>
    </row>
    <row r="1255" spans="1:17" s="28" customFormat="1" x14ac:dyDescent="0.25">
      <c r="A1255" s="56"/>
      <c r="B1255" s="62"/>
      <c r="C1255" s="62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147"/>
      <c r="Q1255" s="164"/>
    </row>
    <row r="1256" spans="1:17" s="28" customFormat="1" x14ac:dyDescent="0.25">
      <c r="A1256" s="56"/>
      <c r="B1256" s="62"/>
      <c r="C1256" s="62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147"/>
      <c r="Q1256" s="164"/>
    </row>
    <row r="1257" spans="1:17" s="28" customFormat="1" x14ac:dyDescent="0.25">
      <c r="A1257" s="56"/>
      <c r="B1257" s="62"/>
      <c r="C1257" s="62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147"/>
      <c r="Q1257" s="164"/>
    </row>
    <row r="1258" spans="1:17" s="28" customFormat="1" x14ac:dyDescent="0.25">
      <c r="A1258" s="56"/>
      <c r="B1258" s="62"/>
      <c r="C1258" s="62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147"/>
      <c r="Q1258" s="164"/>
    </row>
    <row r="1259" spans="1:17" s="28" customFormat="1" x14ac:dyDescent="0.25">
      <c r="A1259" s="56"/>
      <c r="B1259" s="62"/>
      <c r="C1259" s="62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147"/>
      <c r="Q1259" s="164"/>
    </row>
    <row r="1260" spans="1:17" s="28" customFormat="1" x14ac:dyDescent="0.25">
      <c r="A1260" s="56"/>
      <c r="B1260" s="62"/>
      <c r="C1260" s="62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147"/>
      <c r="Q1260" s="164"/>
    </row>
    <row r="1261" spans="1:17" s="28" customFormat="1" x14ac:dyDescent="0.25">
      <c r="A1261" s="56"/>
      <c r="B1261" s="62"/>
      <c r="C1261" s="62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147"/>
      <c r="Q1261" s="164"/>
    </row>
    <row r="1262" spans="1:17" s="28" customFormat="1" x14ac:dyDescent="0.25">
      <c r="A1262" s="56"/>
      <c r="B1262" s="62"/>
      <c r="C1262" s="62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147"/>
      <c r="Q1262" s="164"/>
    </row>
    <row r="1263" spans="1:17" s="28" customFormat="1" x14ac:dyDescent="0.25">
      <c r="A1263" s="56"/>
      <c r="B1263" s="62"/>
      <c r="C1263" s="62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147"/>
      <c r="Q1263" s="164"/>
    </row>
    <row r="1264" spans="1:17" s="28" customFormat="1" x14ac:dyDescent="0.25">
      <c r="A1264" s="56"/>
      <c r="B1264" s="62"/>
      <c r="C1264" s="62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147"/>
      <c r="Q1264" s="164"/>
    </row>
    <row r="1265" spans="1:17" s="28" customFormat="1" x14ac:dyDescent="0.25">
      <c r="A1265" s="56"/>
      <c r="B1265" s="62"/>
      <c r="C1265" s="62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147"/>
      <c r="Q1265" s="164"/>
    </row>
    <row r="1266" spans="1:17" s="28" customFormat="1" x14ac:dyDescent="0.25">
      <c r="A1266" s="56"/>
      <c r="B1266" s="62"/>
      <c r="C1266" s="62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147"/>
      <c r="Q1266" s="164"/>
    </row>
    <row r="1267" spans="1:17" s="28" customFormat="1" x14ac:dyDescent="0.25">
      <c r="A1267" s="56"/>
      <c r="B1267" s="62"/>
      <c r="C1267" s="62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147"/>
      <c r="Q1267" s="164"/>
    </row>
    <row r="1268" spans="1:17" s="28" customFormat="1" x14ac:dyDescent="0.25">
      <c r="A1268" s="56"/>
      <c r="B1268" s="62"/>
      <c r="C1268" s="62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147"/>
      <c r="Q1268" s="164"/>
    </row>
    <row r="1269" spans="1:17" s="28" customFormat="1" x14ac:dyDescent="0.25">
      <c r="A1269" s="56"/>
      <c r="B1269" s="62"/>
      <c r="C1269" s="62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147"/>
      <c r="Q1269" s="164"/>
    </row>
    <row r="1270" spans="1:17" s="28" customFormat="1" x14ac:dyDescent="0.25">
      <c r="A1270" s="56"/>
      <c r="B1270" s="62"/>
      <c r="C1270" s="62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147"/>
      <c r="Q1270" s="164"/>
    </row>
    <row r="1271" spans="1:17" s="28" customFormat="1" x14ac:dyDescent="0.25">
      <c r="A1271" s="56"/>
      <c r="B1271" s="62"/>
      <c r="C1271" s="62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147"/>
      <c r="Q1271" s="164"/>
    </row>
    <row r="1272" spans="1:17" s="28" customFormat="1" x14ac:dyDescent="0.25">
      <c r="A1272" s="56"/>
      <c r="B1272" s="62"/>
      <c r="C1272" s="62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147"/>
      <c r="Q1272" s="164"/>
    </row>
    <row r="1273" spans="1:17" s="28" customFormat="1" x14ac:dyDescent="0.25">
      <c r="A1273" s="56"/>
      <c r="B1273" s="62"/>
      <c r="C1273" s="62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147"/>
      <c r="Q1273" s="164"/>
    </row>
    <row r="1274" spans="1:17" s="28" customFormat="1" x14ac:dyDescent="0.25">
      <c r="A1274" s="56"/>
      <c r="B1274" s="62"/>
      <c r="C1274" s="62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147"/>
      <c r="Q1274" s="164"/>
    </row>
    <row r="1275" spans="1:17" s="28" customFormat="1" x14ac:dyDescent="0.25">
      <c r="A1275" s="56"/>
      <c r="B1275" s="62"/>
      <c r="C1275" s="62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147"/>
      <c r="Q1275" s="164"/>
    </row>
    <row r="1276" spans="1:17" s="28" customFormat="1" x14ac:dyDescent="0.25">
      <c r="A1276" s="56"/>
      <c r="B1276" s="62"/>
      <c r="C1276" s="62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147"/>
      <c r="Q1276" s="164"/>
    </row>
    <row r="1277" spans="1:17" s="28" customFormat="1" x14ac:dyDescent="0.25">
      <c r="A1277" s="56"/>
      <c r="B1277" s="62"/>
      <c r="C1277" s="62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147"/>
      <c r="Q1277" s="164"/>
    </row>
    <row r="1278" spans="1:17" s="28" customFormat="1" x14ac:dyDescent="0.25">
      <c r="A1278" s="56"/>
      <c r="B1278" s="62"/>
      <c r="C1278" s="62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147"/>
      <c r="Q1278" s="164"/>
    </row>
    <row r="1279" spans="1:17" s="28" customFormat="1" x14ac:dyDescent="0.25">
      <c r="A1279" s="56"/>
      <c r="B1279" s="62"/>
      <c r="C1279" s="62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147"/>
      <c r="Q1279" s="164"/>
    </row>
    <row r="1280" spans="1:17" s="28" customFormat="1" x14ac:dyDescent="0.25">
      <c r="A1280" s="56"/>
      <c r="B1280" s="62"/>
      <c r="C1280" s="62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147"/>
      <c r="Q1280" s="164"/>
    </row>
    <row r="1281" spans="1:17" s="28" customFormat="1" x14ac:dyDescent="0.25">
      <c r="A1281" s="56"/>
      <c r="B1281" s="62"/>
      <c r="C1281" s="62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147"/>
      <c r="Q1281" s="164"/>
    </row>
    <row r="1282" spans="1:17" s="28" customFormat="1" x14ac:dyDescent="0.25">
      <c r="A1282" s="56"/>
      <c r="B1282" s="62"/>
      <c r="C1282" s="62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147"/>
      <c r="Q1282" s="164"/>
    </row>
    <row r="1283" spans="1:17" s="28" customFormat="1" x14ac:dyDescent="0.25">
      <c r="A1283" s="56"/>
      <c r="B1283" s="62"/>
      <c r="C1283" s="62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147"/>
      <c r="Q1283" s="164"/>
    </row>
    <row r="1284" spans="1:17" s="28" customFormat="1" x14ac:dyDescent="0.25">
      <c r="A1284" s="56"/>
      <c r="B1284" s="62"/>
      <c r="C1284" s="62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147"/>
      <c r="Q1284" s="164"/>
    </row>
    <row r="1285" spans="1:17" s="28" customFormat="1" x14ac:dyDescent="0.25">
      <c r="A1285" s="56"/>
      <c r="B1285" s="62"/>
      <c r="C1285" s="62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147"/>
      <c r="Q1285" s="164"/>
    </row>
    <row r="1286" spans="1:17" s="28" customFormat="1" x14ac:dyDescent="0.25">
      <c r="A1286" s="56"/>
      <c r="B1286" s="62"/>
      <c r="C1286" s="62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147"/>
      <c r="Q1286" s="164"/>
    </row>
    <row r="1287" spans="1:17" s="28" customFormat="1" x14ac:dyDescent="0.25">
      <c r="A1287" s="56"/>
      <c r="B1287" s="62"/>
      <c r="C1287" s="62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147"/>
      <c r="Q1287" s="164"/>
    </row>
    <row r="1288" spans="1:17" s="28" customFormat="1" x14ac:dyDescent="0.25">
      <c r="A1288" s="56"/>
      <c r="B1288" s="62"/>
      <c r="C1288" s="62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147"/>
      <c r="Q1288" s="164"/>
    </row>
    <row r="1289" spans="1:17" s="28" customFormat="1" x14ac:dyDescent="0.25">
      <c r="A1289" s="56"/>
      <c r="B1289" s="62"/>
      <c r="C1289" s="62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147"/>
      <c r="Q1289" s="164"/>
    </row>
    <row r="1290" spans="1:17" s="28" customFormat="1" x14ac:dyDescent="0.25">
      <c r="A1290" s="56"/>
      <c r="B1290" s="62"/>
      <c r="C1290" s="62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147"/>
      <c r="Q1290" s="164"/>
    </row>
    <row r="1291" spans="1:17" s="28" customFormat="1" x14ac:dyDescent="0.25">
      <c r="A1291" s="56"/>
      <c r="B1291" s="62"/>
      <c r="C1291" s="62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147"/>
      <c r="Q1291" s="164"/>
    </row>
    <row r="1292" spans="1:17" s="28" customFormat="1" x14ac:dyDescent="0.25">
      <c r="A1292" s="56"/>
      <c r="B1292" s="62"/>
      <c r="C1292" s="62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147"/>
      <c r="Q1292" s="164"/>
    </row>
    <row r="1293" spans="1:17" s="28" customFormat="1" x14ac:dyDescent="0.25">
      <c r="A1293" s="56"/>
      <c r="B1293" s="62"/>
      <c r="C1293" s="62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147"/>
      <c r="Q1293" s="164"/>
    </row>
    <row r="1294" spans="1:17" s="28" customFormat="1" x14ac:dyDescent="0.25">
      <c r="A1294" s="56"/>
      <c r="B1294" s="62"/>
      <c r="C1294" s="62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147"/>
      <c r="Q1294" s="164"/>
    </row>
    <row r="1295" spans="1:17" s="28" customFormat="1" x14ac:dyDescent="0.25">
      <c r="A1295" s="56"/>
      <c r="B1295" s="62"/>
      <c r="C1295" s="62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147"/>
      <c r="Q1295" s="164"/>
    </row>
    <row r="1296" spans="1:17" s="28" customFormat="1" x14ac:dyDescent="0.25">
      <c r="A1296" s="56"/>
      <c r="B1296" s="62"/>
      <c r="C1296" s="62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147"/>
      <c r="Q1296" s="164"/>
    </row>
    <row r="1297" spans="1:17" s="28" customFormat="1" x14ac:dyDescent="0.25">
      <c r="A1297" s="56"/>
      <c r="B1297" s="62"/>
      <c r="C1297" s="62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147"/>
      <c r="Q1297" s="164"/>
    </row>
    <row r="1298" spans="1:17" s="28" customFormat="1" x14ac:dyDescent="0.25">
      <c r="A1298" s="56"/>
      <c r="B1298" s="62"/>
      <c r="C1298" s="62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147"/>
      <c r="Q1298" s="164"/>
    </row>
    <row r="1299" spans="1:17" s="28" customFormat="1" x14ac:dyDescent="0.25">
      <c r="A1299" s="56"/>
      <c r="B1299" s="62"/>
      <c r="C1299" s="62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147"/>
      <c r="Q1299" s="164"/>
    </row>
    <row r="1300" spans="1:17" s="28" customFormat="1" x14ac:dyDescent="0.25">
      <c r="A1300" s="56"/>
      <c r="B1300" s="62"/>
      <c r="C1300" s="62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147"/>
      <c r="Q1300" s="164"/>
    </row>
    <row r="1301" spans="1:17" s="28" customFormat="1" x14ac:dyDescent="0.25">
      <c r="A1301" s="56"/>
      <c r="B1301" s="62"/>
      <c r="C1301" s="62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147"/>
      <c r="Q1301" s="164"/>
    </row>
    <row r="1302" spans="1:17" s="28" customFormat="1" x14ac:dyDescent="0.25">
      <c r="A1302" s="56"/>
      <c r="B1302" s="62"/>
      <c r="C1302" s="62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147"/>
      <c r="Q1302" s="164"/>
    </row>
    <row r="1303" spans="1:17" s="28" customFormat="1" x14ac:dyDescent="0.25">
      <c r="A1303" s="56"/>
      <c r="B1303" s="62"/>
      <c r="C1303" s="62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147"/>
      <c r="Q1303" s="164"/>
    </row>
    <row r="1304" spans="1:17" s="28" customFormat="1" x14ac:dyDescent="0.25">
      <c r="A1304" s="56"/>
      <c r="B1304" s="62"/>
      <c r="C1304" s="62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147"/>
      <c r="Q1304" s="164"/>
    </row>
    <row r="1305" spans="1:17" s="28" customFormat="1" x14ac:dyDescent="0.25">
      <c r="A1305" s="56"/>
      <c r="B1305" s="62"/>
      <c r="C1305" s="62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147"/>
      <c r="Q1305" s="164"/>
    </row>
    <row r="1306" spans="1:17" s="28" customFormat="1" x14ac:dyDescent="0.25">
      <c r="A1306" s="56"/>
      <c r="B1306" s="62"/>
      <c r="C1306" s="62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147"/>
      <c r="Q1306" s="164"/>
    </row>
    <row r="1307" spans="1:17" s="28" customFormat="1" x14ac:dyDescent="0.25">
      <c r="A1307" s="56"/>
      <c r="B1307" s="62"/>
      <c r="C1307" s="62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147"/>
      <c r="Q1307" s="164"/>
    </row>
    <row r="1308" spans="1:17" s="28" customFormat="1" x14ac:dyDescent="0.25">
      <c r="A1308" s="56"/>
      <c r="B1308" s="62"/>
      <c r="C1308" s="62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147"/>
      <c r="Q1308" s="164"/>
    </row>
    <row r="1309" spans="1:17" s="28" customFormat="1" x14ac:dyDescent="0.25">
      <c r="A1309" s="56"/>
      <c r="B1309" s="62"/>
      <c r="C1309" s="62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147"/>
      <c r="Q1309" s="164"/>
    </row>
    <row r="1310" spans="1:17" s="28" customFormat="1" x14ac:dyDescent="0.25">
      <c r="A1310" s="56"/>
      <c r="B1310" s="62"/>
      <c r="C1310" s="62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147"/>
      <c r="Q1310" s="164"/>
    </row>
    <row r="1311" spans="1:17" s="28" customFormat="1" x14ac:dyDescent="0.25">
      <c r="A1311" s="56"/>
      <c r="B1311" s="62"/>
      <c r="C1311" s="62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147"/>
      <c r="Q1311" s="164"/>
    </row>
    <row r="1312" spans="1:17" s="28" customFormat="1" x14ac:dyDescent="0.25">
      <c r="A1312" s="56"/>
      <c r="B1312" s="62"/>
      <c r="C1312" s="62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147"/>
      <c r="Q1312" s="164"/>
    </row>
    <row r="1313" spans="1:17" s="28" customFormat="1" x14ac:dyDescent="0.25">
      <c r="A1313" s="56"/>
      <c r="B1313" s="62"/>
      <c r="C1313" s="62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147"/>
      <c r="Q1313" s="164"/>
    </row>
    <row r="1314" spans="1:17" s="28" customFormat="1" x14ac:dyDescent="0.25">
      <c r="A1314" s="56"/>
      <c r="B1314" s="62"/>
      <c r="C1314" s="62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147"/>
      <c r="Q1314" s="164"/>
    </row>
    <row r="1315" spans="1:17" s="28" customFormat="1" x14ac:dyDescent="0.25">
      <c r="A1315" s="56"/>
      <c r="B1315" s="62"/>
      <c r="C1315" s="62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147"/>
      <c r="Q1315" s="164"/>
    </row>
    <row r="1316" spans="1:17" s="28" customFormat="1" x14ac:dyDescent="0.25">
      <c r="A1316" s="56"/>
      <c r="B1316" s="62"/>
      <c r="C1316" s="62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147"/>
      <c r="Q1316" s="164"/>
    </row>
    <row r="1317" spans="1:17" s="28" customFormat="1" x14ac:dyDescent="0.25">
      <c r="A1317" s="56"/>
      <c r="B1317" s="62"/>
      <c r="C1317" s="62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147"/>
      <c r="Q1317" s="164"/>
    </row>
    <row r="1318" spans="1:17" s="28" customFormat="1" x14ac:dyDescent="0.25">
      <c r="A1318" s="56"/>
      <c r="B1318" s="62"/>
      <c r="C1318" s="62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147"/>
      <c r="Q1318" s="164"/>
    </row>
    <row r="1319" spans="1:17" s="28" customFormat="1" x14ac:dyDescent="0.25">
      <c r="A1319" s="56"/>
      <c r="B1319" s="62"/>
      <c r="C1319" s="62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147"/>
      <c r="Q1319" s="164"/>
    </row>
    <row r="1320" spans="1:17" s="28" customFormat="1" x14ac:dyDescent="0.25">
      <c r="A1320" s="56"/>
      <c r="B1320" s="62"/>
      <c r="C1320" s="62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147"/>
      <c r="Q1320" s="164"/>
    </row>
    <row r="1321" spans="1:17" s="28" customFormat="1" x14ac:dyDescent="0.25">
      <c r="A1321" s="56"/>
      <c r="B1321" s="62"/>
      <c r="C1321" s="62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147"/>
      <c r="Q1321" s="164"/>
    </row>
    <row r="1322" spans="1:17" s="28" customFormat="1" x14ac:dyDescent="0.25">
      <c r="A1322" s="56"/>
      <c r="B1322" s="62"/>
      <c r="C1322" s="62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147"/>
      <c r="Q1322" s="164"/>
    </row>
    <row r="1323" spans="1:17" s="28" customFormat="1" x14ac:dyDescent="0.25">
      <c r="A1323" s="56"/>
      <c r="B1323" s="62"/>
      <c r="C1323" s="62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147"/>
      <c r="Q1323" s="164"/>
    </row>
    <row r="1324" spans="1:17" s="28" customFormat="1" x14ac:dyDescent="0.25">
      <c r="A1324" s="56"/>
      <c r="B1324" s="62"/>
      <c r="C1324" s="62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147"/>
      <c r="Q1324" s="164"/>
    </row>
    <row r="1325" spans="1:17" s="28" customFormat="1" x14ac:dyDescent="0.25">
      <c r="A1325" s="56"/>
      <c r="B1325" s="62"/>
      <c r="C1325" s="62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147"/>
      <c r="Q1325" s="164"/>
    </row>
    <row r="1326" spans="1:17" s="28" customFormat="1" x14ac:dyDescent="0.25">
      <c r="A1326" s="56"/>
      <c r="B1326" s="62"/>
      <c r="C1326" s="62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147"/>
      <c r="Q1326" s="164"/>
    </row>
    <row r="1327" spans="1:17" s="28" customFormat="1" x14ac:dyDescent="0.25">
      <c r="A1327" s="56"/>
      <c r="B1327" s="62"/>
      <c r="C1327" s="62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147"/>
      <c r="Q1327" s="164"/>
    </row>
    <row r="1328" spans="1:17" s="28" customFormat="1" x14ac:dyDescent="0.25">
      <c r="A1328" s="56"/>
      <c r="B1328" s="62"/>
      <c r="C1328" s="62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147"/>
      <c r="Q1328" s="164"/>
    </row>
    <row r="1329" spans="1:17" s="28" customFormat="1" x14ac:dyDescent="0.25">
      <c r="A1329" s="56"/>
      <c r="B1329" s="62"/>
      <c r="C1329" s="62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147"/>
      <c r="Q1329" s="164"/>
    </row>
    <row r="1330" spans="1:17" s="28" customFormat="1" x14ac:dyDescent="0.25">
      <c r="A1330" s="56"/>
      <c r="B1330" s="62"/>
      <c r="C1330" s="62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147"/>
      <c r="Q1330" s="164"/>
    </row>
    <row r="1331" spans="1:17" s="28" customFormat="1" x14ac:dyDescent="0.25">
      <c r="A1331" s="56"/>
      <c r="B1331" s="62"/>
      <c r="C1331" s="62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147"/>
      <c r="Q1331" s="164"/>
    </row>
    <row r="1332" spans="1:17" s="28" customFormat="1" x14ac:dyDescent="0.25">
      <c r="A1332" s="56"/>
      <c r="B1332" s="62"/>
      <c r="C1332" s="62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147"/>
      <c r="Q1332" s="164"/>
    </row>
    <row r="1333" spans="1:17" s="28" customFormat="1" x14ac:dyDescent="0.25">
      <c r="A1333" s="56"/>
      <c r="B1333" s="62"/>
      <c r="C1333" s="62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147"/>
      <c r="Q1333" s="164"/>
    </row>
    <row r="1334" spans="1:17" s="28" customFormat="1" x14ac:dyDescent="0.25">
      <c r="A1334" s="56"/>
      <c r="B1334" s="62"/>
      <c r="C1334" s="62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147"/>
      <c r="Q1334" s="164"/>
    </row>
    <row r="1335" spans="1:17" s="28" customFormat="1" x14ac:dyDescent="0.25">
      <c r="A1335" s="56"/>
      <c r="B1335" s="62"/>
      <c r="C1335" s="62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147"/>
      <c r="Q1335" s="164"/>
    </row>
    <row r="1336" spans="1:17" s="28" customFormat="1" x14ac:dyDescent="0.25">
      <c r="A1336" s="56"/>
      <c r="B1336" s="62"/>
      <c r="C1336" s="62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147"/>
      <c r="Q1336" s="164"/>
    </row>
    <row r="1337" spans="1:17" s="28" customFormat="1" x14ac:dyDescent="0.25">
      <c r="A1337" s="56"/>
      <c r="B1337" s="62"/>
      <c r="C1337" s="62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147"/>
      <c r="Q1337" s="164"/>
    </row>
    <row r="1338" spans="1:17" s="28" customFormat="1" x14ac:dyDescent="0.25">
      <c r="A1338" s="56"/>
      <c r="B1338" s="62"/>
      <c r="C1338" s="62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147"/>
      <c r="Q1338" s="164"/>
    </row>
    <row r="1339" spans="1:17" s="28" customFormat="1" x14ac:dyDescent="0.25">
      <c r="A1339" s="56"/>
      <c r="B1339" s="62"/>
      <c r="C1339" s="62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147"/>
      <c r="Q1339" s="164"/>
    </row>
    <row r="1340" spans="1:17" s="28" customFormat="1" x14ac:dyDescent="0.25">
      <c r="A1340" s="56"/>
      <c r="B1340" s="62"/>
      <c r="C1340" s="62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147"/>
      <c r="Q1340" s="164"/>
    </row>
    <row r="1341" spans="1:17" s="28" customFormat="1" x14ac:dyDescent="0.25">
      <c r="A1341" s="56"/>
      <c r="B1341" s="62"/>
      <c r="C1341" s="62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147"/>
      <c r="Q1341" s="164"/>
    </row>
    <row r="1342" spans="1:17" s="28" customFormat="1" x14ac:dyDescent="0.25">
      <c r="A1342" s="56"/>
      <c r="B1342" s="62"/>
      <c r="C1342" s="62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147"/>
      <c r="Q1342" s="164"/>
    </row>
    <row r="1343" spans="1:17" s="28" customFormat="1" x14ac:dyDescent="0.25">
      <c r="A1343" s="56"/>
      <c r="B1343" s="62"/>
      <c r="C1343" s="62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147"/>
      <c r="Q1343" s="164"/>
    </row>
    <row r="1344" spans="1:17" s="28" customFormat="1" x14ac:dyDescent="0.25">
      <c r="A1344" s="56"/>
      <c r="B1344" s="62"/>
      <c r="C1344" s="62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147"/>
      <c r="Q1344" s="164"/>
    </row>
    <row r="1345" spans="1:17" s="28" customFormat="1" x14ac:dyDescent="0.25">
      <c r="A1345" s="56"/>
      <c r="B1345" s="62"/>
      <c r="C1345" s="62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147"/>
      <c r="Q1345" s="164"/>
    </row>
    <row r="1346" spans="1:17" s="28" customFormat="1" x14ac:dyDescent="0.25">
      <c r="A1346" s="56"/>
      <c r="B1346" s="62"/>
      <c r="C1346" s="62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147"/>
      <c r="Q1346" s="164"/>
    </row>
    <row r="1347" spans="1:17" s="28" customFormat="1" x14ac:dyDescent="0.25">
      <c r="A1347" s="56"/>
      <c r="B1347" s="62"/>
      <c r="C1347" s="62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147"/>
      <c r="Q1347" s="164"/>
    </row>
    <row r="1348" spans="1:17" s="28" customFormat="1" x14ac:dyDescent="0.25">
      <c r="A1348" s="56"/>
      <c r="B1348" s="62"/>
      <c r="C1348" s="62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147"/>
      <c r="Q1348" s="164"/>
    </row>
    <row r="1349" spans="1:17" s="28" customFormat="1" x14ac:dyDescent="0.25">
      <c r="A1349" s="56"/>
      <c r="B1349" s="62"/>
      <c r="C1349" s="62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147"/>
      <c r="Q1349" s="164"/>
    </row>
    <row r="1350" spans="1:17" s="28" customFormat="1" x14ac:dyDescent="0.25">
      <c r="A1350" s="56"/>
      <c r="B1350" s="62"/>
      <c r="C1350" s="62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147"/>
      <c r="Q1350" s="164"/>
    </row>
    <row r="1351" spans="1:17" s="28" customFormat="1" x14ac:dyDescent="0.25">
      <c r="A1351" s="56"/>
      <c r="B1351" s="62"/>
      <c r="C1351" s="62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147"/>
      <c r="Q1351" s="164"/>
    </row>
    <row r="1352" spans="1:17" s="28" customFormat="1" x14ac:dyDescent="0.25">
      <c r="A1352" s="56"/>
      <c r="B1352" s="62"/>
      <c r="C1352" s="62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147"/>
      <c r="Q1352" s="164"/>
    </row>
    <row r="1353" spans="1:17" s="28" customFormat="1" x14ac:dyDescent="0.25">
      <c r="A1353" s="56"/>
      <c r="B1353" s="62"/>
      <c r="C1353" s="62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147"/>
      <c r="Q1353" s="164"/>
    </row>
    <row r="1354" spans="1:17" s="28" customFormat="1" x14ac:dyDescent="0.25">
      <c r="A1354" s="56"/>
      <c r="B1354" s="62"/>
      <c r="C1354" s="62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147"/>
      <c r="Q1354" s="164"/>
    </row>
    <row r="1355" spans="1:17" s="28" customFormat="1" x14ac:dyDescent="0.25">
      <c r="A1355" s="56"/>
      <c r="B1355" s="62"/>
      <c r="C1355" s="62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147"/>
      <c r="Q1355" s="164"/>
    </row>
    <row r="1356" spans="1:17" s="28" customFormat="1" x14ac:dyDescent="0.25">
      <c r="A1356" s="56"/>
      <c r="B1356" s="62"/>
      <c r="C1356" s="62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147"/>
      <c r="Q1356" s="164"/>
    </row>
    <row r="1357" spans="1:17" s="28" customFormat="1" x14ac:dyDescent="0.25">
      <c r="A1357" s="56"/>
      <c r="B1357" s="62"/>
      <c r="C1357" s="62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147"/>
      <c r="Q1357" s="164"/>
    </row>
    <row r="1358" spans="1:17" s="28" customFormat="1" x14ac:dyDescent="0.25">
      <c r="A1358" s="56"/>
      <c r="B1358" s="62"/>
      <c r="C1358" s="62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147"/>
      <c r="Q1358" s="164"/>
    </row>
    <row r="1359" spans="1:17" s="28" customFormat="1" x14ac:dyDescent="0.25">
      <c r="A1359" s="56"/>
      <c r="B1359" s="62"/>
      <c r="C1359" s="62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147"/>
      <c r="Q1359" s="164"/>
    </row>
    <row r="1360" spans="1:17" s="28" customFormat="1" x14ac:dyDescent="0.25">
      <c r="A1360" s="56"/>
      <c r="B1360" s="62"/>
      <c r="C1360" s="62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147"/>
      <c r="Q1360" s="164"/>
    </row>
    <row r="1361" spans="1:17" s="28" customFormat="1" x14ac:dyDescent="0.25">
      <c r="A1361" s="56"/>
      <c r="B1361" s="62"/>
      <c r="C1361" s="62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147"/>
      <c r="Q1361" s="164"/>
    </row>
    <row r="1362" spans="1:17" s="28" customFormat="1" x14ac:dyDescent="0.25">
      <c r="A1362" s="56"/>
      <c r="B1362" s="62"/>
      <c r="C1362" s="62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147"/>
      <c r="Q1362" s="164"/>
    </row>
    <row r="1363" spans="1:17" s="28" customFormat="1" x14ac:dyDescent="0.25">
      <c r="A1363" s="56"/>
      <c r="B1363" s="62"/>
      <c r="C1363" s="62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147"/>
      <c r="Q1363" s="164"/>
    </row>
    <row r="1364" spans="1:17" s="28" customFormat="1" x14ac:dyDescent="0.25">
      <c r="A1364" s="56"/>
      <c r="B1364" s="62"/>
      <c r="C1364" s="62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147"/>
      <c r="Q1364" s="164"/>
    </row>
    <row r="1365" spans="1:17" s="28" customFormat="1" x14ac:dyDescent="0.25">
      <c r="A1365" s="56"/>
      <c r="B1365" s="62"/>
      <c r="C1365" s="62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147"/>
      <c r="Q1365" s="164"/>
    </row>
    <row r="1366" spans="1:17" s="28" customFormat="1" x14ac:dyDescent="0.25">
      <c r="A1366" s="56"/>
      <c r="B1366" s="62"/>
      <c r="C1366" s="62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147"/>
      <c r="Q1366" s="164"/>
    </row>
    <row r="1367" spans="1:17" s="28" customFormat="1" x14ac:dyDescent="0.25">
      <c r="A1367" s="56"/>
      <c r="B1367" s="62"/>
      <c r="C1367" s="62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147"/>
      <c r="Q1367" s="164"/>
    </row>
    <row r="1368" spans="1:17" s="28" customFormat="1" x14ac:dyDescent="0.25">
      <c r="A1368" s="56"/>
      <c r="B1368" s="62"/>
      <c r="C1368" s="62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147"/>
      <c r="Q1368" s="164"/>
    </row>
    <row r="1369" spans="1:17" s="28" customFormat="1" x14ac:dyDescent="0.25">
      <c r="A1369" s="56"/>
      <c r="B1369" s="62"/>
      <c r="C1369" s="62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147"/>
      <c r="Q1369" s="164"/>
    </row>
    <row r="1370" spans="1:17" s="28" customFormat="1" x14ac:dyDescent="0.25">
      <c r="A1370" s="56"/>
      <c r="B1370" s="62"/>
      <c r="C1370" s="62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147"/>
      <c r="Q1370" s="164"/>
    </row>
    <row r="1371" spans="1:17" s="28" customFormat="1" x14ac:dyDescent="0.25">
      <c r="A1371" s="56"/>
      <c r="B1371" s="62"/>
      <c r="C1371" s="62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147"/>
      <c r="Q1371" s="164"/>
    </row>
    <row r="1372" spans="1:17" s="28" customFormat="1" x14ac:dyDescent="0.25">
      <c r="A1372" s="56"/>
      <c r="B1372" s="62"/>
      <c r="C1372" s="62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147"/>
      <c r="Q1372" s="164"/>
    </row>
    <row r="1373" spans="1:17" s="28" customFormat="1" x14ac:dyDescent="0.25">
      <c r="A1373" s="56"/>
      <c r="B1373" s="62"/>
      <c r="C1373" s="62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147"/>
      <c r="Q1373" s="164"/>
    </row>
    <row r="1374" spans="1:17" s="28" customFormat="1" x14ac:dyDescent="0.25">
      <c r="A1374" s="56"/>
      <c r="B1374" s="62"/>
      <c r="C1374" s="62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147"/>
      <c r="Q1374" s="164"/>
    </row>
    <row r="1375" spans="1:17" s="28" customFormat="1" x14ac:dyDescent="0.25">
      <c r="A1375" s="56"/>
      <c r="B1375" s="62"/>
      <c r="C1375" s="62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147"/>
      <c r="Q1375" s="164"/>
    </row>
    <row r="1376" spans="1:17" s="28" customFormat="1" x14ac:dyDescent="0.25">
      <c r="A1376" s="56"/>
      <c r="B1376" s="62"/>
      <c r="C1376" s="62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147"/>
      <c r="Q1376" s="164"/>
    </row>
    <row r="1377" spans="1:17" s="28" customFormat="1" x14ac:dyDescent="0.25">
      <c r="A1377" s="56"/>
      <c r="B1377" s="62"/>
      <c r="C1377" s="62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147"/>
      <c r="Q1377" s="164"/>
    </row>
    <row r="1378" spans="1:17" s="28" customFormat="1" x14ac:dyDescent="0.25">
      <c r="A1378" s="56"/>
      <c r="B1378" s="62"/>
      <c r="C1378" s="62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147"/>
      <c r="Q1378" s="164"/>
    </row>
    <row r="1379" spans="1:17" s="28" customFormat="1" x14ac:dyDescent="0.25">
      <c r="A1379" s="56"/>
      <c r="B1379" s="62"/>
      <c r="C1379" s="62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147"/>
      <c r="Q1379" s="164"/>
    </row>
    <row r="1380" spans="1:17" s="28" customFormat="1" x14ac:dyDescent="0.25">
      <c r="A1380" s="56"/>
      <c r="B1380" s="62"/>
      <c r="C1380" s="62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147"/>
      <c r="Q1380" s="164"/>
    </row>
    <row r="1381" spans="1:17" s="28" customFormat="1" x14ac:dyDescent="0.25">
      <c r="A1381" s="56"/>
      <c r="B1381" s="62"/>
      <c r="C1381" s="62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147"/>
      <c r="Q1381" s="164"/>
    </row>
    <row r="1382" spans="1:17" s="28" customFormat="1" x14ac:dyDescent="0.25">
      <c r="A1382" s="56"/>
      <c r="B1382" s="62"/>
      <c r="C1382" s="62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147"/>
      <c r="Q1382" s="164"/>
    </row>
    <row r="1383" spans="1:17" s="28" customFormat="1" x14ac:dyDescent="0.25">
      <c r="A1383" s="56"/>
      <c r="B1383" s="62"/>
      <c r="C1383" s="62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147"/>
      <c r="Q1383" s="164"/>
    </row>
    <row r="1384" spans="1:17" s="28" customFormat="1" x14ac:dyDescent="0.25">
      <c r="A1384" s="56"/>
      <c r="B1384" s="62"/>
      <c r="C1384" s="62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147"/>
      <c r="Q1384" s="164"/>
    </row>
    <row r="1385" spans="1:17" s="28" customFormat="1" x14ac:dyDescent="0.25">
      <c r="A1385" s="56"/>
      <c r="B1385" s="62"/>
      <c r="C1385" s="62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147"/>
      <c r="Q1385" s="164"/>
    </row>
    <row r="1386" spans="1:17" s="28" customFormat="1" x14ac:dyDescent="0.25">
      <c r="A1386" s="56"/>
      <c r="B1386" s="62"/>
      <c r="C1386" s="62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147"/>
      <c r="Q1386" s="164"/>
    </row>
    <row r="1387" spans="1:17" s="28" customFormat="1" x14ac:dyDescent="0.25">
      <c r="A1387" s="56"/>
      <c r="B1387" s="62"/>
      <c r="C1387" s="62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147"/>
      <c r="Q1387" s="164"/>
    </row>
    <row r="1388" spans="1:17" s="28" customFormat="1" x14ac:dyDescent="0.25">
      <c r="A1388" s="56"/>
      <c r="B1388" s="62"/>
      <c r="C1388" s="62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147"/>
      <c r="Q1388" s="164"/>
    </row>
    <row r="1389" spans="1:17" s="28" customFormat="1" x14ac:dyDescent="0.25">
      <c r="A1389" s="56"/>
      <c r="B1389" s="62"/>
      <c r="C1389" s="62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147"/>
      <c r="Q1389" s="164"/>
    </row>
    <row r="1390" spans="1:17" s="28" customFormat="1" x14ac:dyDescent="0.25">
      <c r="A1390" s="56"/>
      <c r="B1390" s="62"/>
      <c r="C1390" s="62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147"/>
      <c r="Q1390" s="164"/>
    </row>
    <row r="1391" spans="1:17" s="28" customFormat="1" x14ac:dyDescent="0.25">
      <c r="A1391" s="56"/>
      <c r="B1391" s="62"/>
      <c r="C1391" s="62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147"/>
      <c r="Q1391" s="164"/>
    </row>
    <row r="1392" spans="1:17" s="28" customFormat="1" x14ac:dyDescent="0.25">
      <c r="A1392" s="56"/>
      <c r="B1392" s="62"/>
      <c r="C1392" s="62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147"/>
      <c r="Q1392" s="164"/>
    </row>
    <row r="1393" spans="1:17" s="28" customFormat="1" x14ac:dyDescent="0.25">
      <c r="A1393" s="56"/>
      <c r="B1393" s="62"/>
      <c r="C1393" s="62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147"/>
      <c r="Q1393" s="164"/>
    </row>
    <row r="1394" spans="1:17" s="28" customFormat="1" x14ac:dyDescent="0.25">
      <c r="A1394" s="56"/>
      <c r="B1394" s="62"/>
      <c r="C1394" s="62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147"/>
      <c r="Q1394" s="164"/>
    </row>
    <row r="1395" spans="1:17" s="28" customFormat="1" x14ac:dyDescent="0.25">
      <c r="A1395" s="56"/>
      <c r="B1395" s="62"/>
      <c r="C1395" s="62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147"/>
      <c r="Q1395" s="164"/>
    </row>
    <row r="1396" spans="1:17" s="28" customFormat="1" x14ac:dyDescent="0.25">
      <c r="A1396" s="56"/>
      <c r="B1396" s="62"/>
      <c r="C1396" s="62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147"/>
      <c r="Q1396" s="164"/>
    </row>
    <row r="1397" spans="1:17" s="28" customFormat="1" x14ac:dyDescent="0.25">
      <c r="A1397" s="56"/>
      <c r="B1397" s="62"/>
      <c r="C1397" s="62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147"/>
      <c r="Q1397" s="164"/>
    </row>
    <row r="1398" spans="1:17" s="28" customFormat="1" x14ac:dyDescent="0.25">
      <c r="A1398" s="56"/>
      <c r="B1398" s="62"/>
      <c r="C1398" s="62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147"/>
      <c r="Q1398" s="164"/>
    </row>
    <row r="1399" spans="1:17" s="28" customFormat="1" x14ac:dyDescent="0.25">
      <c r="A1399" s="56"/>
      <c r="B1399" s="62"/>
      <c r="C1399" s="62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147"/>
      <c r="Q1399" s="164"/>
    </row>
    <row r="1400" spans="1:17" s="28" customFormat="1" x14ac:dyDescent="0.25">
      <c r="A1400" s="56"/>
      <c r="B1400" s="62"/>
      <c r="C1400" s="62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147"/>
      <c r="Q1400" s="164"/>
    </row>
    <row r="1401" spans="1:17" s="28" customFormat="1" x14ac:dyDescent="0.25">
      <c r="A1401" s="56"/>
      <c r="B1401" s="62"/>
      <c r="C1401" s="62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147"/>
      <c r="Q1401" s="164"/>
    </row>
    <row r="1402" spans="1:17" s="28" customFormat="1" x14ac:dyDescent="0.25">
      <c r="A1402" s="56"/>
      <c r="B1402" s="62"/>
      <c r="C1402" s="62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147"/>
      <c r="Q1402" s="164"/>
    </row>
    <row r="1403" spans="1:17" s="28" customFormat="1" x14ac:dyDescent="0.25">
      <c r="A1403" s="56"/>
      <c r="B1403" s="62"/>
      <c r="C1403" s="62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147"/>
      <c r="Q1403" s="164"/>
    </row>
    <row r="1404" spans="1:17" s="28" customFormat="1" x14ac:dyDescent="0.25">
      <c r="A1404" s="56"/>
      <c r="B1404" s="62"/>
      <c r="C1404" s="62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147"/>
      <c r="Q1404" s="164"/>
    </row>
    <row r="1405" spans="1:17" s="28" customFormat="1" x14ac:dyDescent="0.25">
      <c r="A1405" s="56"/>
      <c r="B1405" s="62"/>
      <c r="C1405" s="62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147"/>
      <c r="Q1405" s="164"/>
    </row>
    <row r="1406" spans="1:17" s="28" customFormat="1" x14ac:dyDescent="0.25">
      <c r="A1406" s="56"/>
      <c r="B1406" s="62"/>
      <c r="C1406" s="62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147"/>
      <c r="Q1406" s="164"/>
    </row>
    <row r="1407" spans="1:17" s="28" customFormat="1" x14ac:dyDescent="0.25">
      <c r="A1407" s="56"/>
      <c r="B1407" s="62"/>
      <c r="C1407" s="62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147"/>
      <c r="Q1407" s="164"/>
    </row>
    <row r="1408" spans="1:17" s="28" customFormat="1" x14ac:dyDescent="0.25">
      <c r="A1408" s="56"/>
      <c r="B1408" s="62"/>
      <c r="C1408" s="62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147"/>
      <c r="Q1408" s="164"/>
    </row>
    <row r="1409" spans="1:17" s="28" customFormat="1" x14ac:dyDescent="0.25">
      <c r="A1409" s="56"/>
      <c r="B1409" s="62"/>
      <c r="C1409" s="62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147"/>
      <c r="Q1409" s="164"/>
    </row>
    <row r="1410" spans="1:17" s="28" customFormat="1" x14ac:dyDescent="0.25">
      <c r="A1410" s="56"/>
      <c r="B1410" s="62"/>
      <c r="C1410" s="62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147"/>
      <c r="Q1410" s="164"/>
    </row>
    <row r="1411" spans="1:17" s="28" customFormat="1" x14ac:dyDescent="0.25">
      <c r="A1411" s="56"/>
      <c r="B1411" s="62"/>
      <c r="C1411" s="62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147"/>
      <c r="Q1411" s="164"/>
    </row>
    <row r="1412" spans="1:17" s="28" customFormat="1" x14ac:dyDescent="0.25">
      <c r="A1412" s="56"/>
      <c r="B1412" s="62"/>
      <c r="C1412" s="62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147"/>
      <c r="Q1412" s="164"/>
    </row>
    <row r="1413" spans="1:17" s="28" customFormat="1" x14ac:dyDescent="0.25">
      <c r="A1413" s="56"/>
      <c r="B1413" s="62"/>
      <c r="C1413" s="62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147"/>
      <c r="Q1413" s="164"/>
    </row>
    <row r="1414" spans="1:17" s="28" customFormat="1" x14ac:dyDescent="0.25">
      <c r="A1414" s="56"/>
      <c r="B1414" s="62"/>
      <c r="C1414" s="62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147"/>
      <c r="Q1414" s="164"/>
    </row>
    <row r="1415" spans="1:17" s="28" customFormat="1" x14ac:dyDescent="0.25">
      <c r="A1415" s="56"/>
      <c r="B1415" s="62"/>
      <c r="C1415" s="62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147"/>
      <c r="Q1415" s="164"/>
    </row>
    <row r="1416" spans="1:17" s="28" customFormat="1" x14ac:dyDescent="0.25">
      <c r="A1416" s="56"/>
      <c r="B1416" s="62"/>
      <c r="C1416" s="62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147"/>
      <c r="Q1416" s="164"/>
    </row>
    <row r="1417" spans="1:17" s="28" customFormat="1" x14ac:dyDescent="0.25">
      <c r="A1417" s="56"/>
      <c r="B1417" s="62"/>
      <c r="C1417" s="62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147"/>
      <c r="Q1417" s="164"/>
    </row>
    <row r="1418" spans="1:17" s="28" customFormat="1" x14ac:dyDescent="0.25">
      <c r="A1418" s="56"/>
      <c r="B1418" s="62"/>
      <c r="C1418" s="62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147"/>
      <c r="Q1418" s="164"/>
    </row>
    <row r="1419" spans="1:17" s="28" customFormat="1" x14ac:dyDescent="0.25">
      <c r="A1419" s="56"/>
      <c r="B1419" s="62"/>
      <c r="C1419" s="62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147"/>
      <c r="Q1419" s="164"/>
    </row>
    <row r="1420" spans="1:17" s="28" customFormat="1" x14ac:dyDescent="0.25">
      <c r="A1420" s="56"/>
      <c r="B1420" s="62"/>
      <c r="C1420" s="62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147"/>
      <c r="Q1420" s="164"/>
    </row>
    <row r="1421" spans="1:17" s="28" customFormat="1" x14ac:dyDescent="0.25">
      <c r="A1421" s="56"/>
      <c r="B1421" s="62"/>
      <c r="C1421" s="62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147"/>
      <c r="Q1421" s="164"/>
    </row>
    <row r="1422" spans="1:17" s="28" customFormat="1" x14ac:dyDescent="0.25">
      <c r="A1422" s="56"/>
      <c r="B1422" s="62"/>
      <c r="C1422" s="62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147"/>
      <c r="Q1422" s="164"/>
    </row>
    <row r="1423" spans="1:17" s="28" customFormat="1" x14ac:dyDescent="0.25">
      <c r="A1423" s="56"/>
      <c r="B1423" s="62"/>
      <c r="C1423" s="62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147"/>
      <c r="Q1423" s="164"/>
    </row>
    <row r="1424" spans="1:17" s="28" customFormat="1" x14ac:dyDescent="0.25">
      <c r="A1424" s="56"/>
      <c r="B1424" s="62"/>
      <c r="C1424" s="62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147"/>
      <c r="Q1424" s="164"/>
    </row>
    <row r="1425" spans="1:17" s="28" customFormat="1" x14ac:dyDescent="0.25">
      <c r="A1425" s="56"/>
      <c r="B1425" s="62"/>
      <c r="C1425" s="62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147"/>
      <c r="Q1425" s="164"/>
    </row>
    <row r="1426" spans="1:17" s="28" customFormat="1" x14ac:dyDescent="0.25">
      <c r="A1426" s="56"/>
      <c r="B1426" s="62"/>
      <c r="C1426" s="62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147"/>
      <c r="Q1426" s="164"/>
    </row>
    <row r="1427" spans="1:17" s="28" customFormat="1" x14ac:dyDescent="0.25">
      <c r="A1427" s="56"/>
      <c r="B1427" s="62"/>
      <c r="C1427" s="62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147"/>
      <c r="Q1427" s="164"/>
    </row>
    <row r="1428" spans="1:17" s="28" customFormat="1" x14ac:dyDescent="0.25">
      <c r="A1428" s="56"/>
      <c r="B1428" s="62"/>
      <c r="C1428" s="62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147"/>
      <c r="Q1428" s="164"/>
    </row>
    <row r="1429" spans="1:17" s="28" customFormat="1" x14ac:dyDescent="0.25">
      <c r="A1429" s="56"/>
      <c r="B1429" s="62"/>
      <c r="C1429" s="62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147"/>
      <c r="Q1429" s="164"/>
    </row>
    <row r="1430" spans="1:17" s="28" customFormat="1" x14ac:dyDescent="0.25">
      <c r="A1430" s="56"/>
      <c r="B1430" s="62"/>
      <c r="C1430" s="62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147"/>
      <c r="Q1430" s="164"/>
    </row>
    <row r="1431" spans="1:17" s="28" customFormat="1" x14ac:dyDescent="0.25">
      <c r="A1431" s="56"/>
      <c r="B1431" s="62"/>
      <c r="C1431" s="62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147"/>
      <c r="Q1431" s="164"/>
    </row>
    <row r="1432" spans="1:17" s="28" customFormat="1" x14ac:dyDescent="0.25">
      <c r="A1432" s="56"/>
      <c r="B1432" s="62"/>
      <c r="C1432" s="62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147"/>
      <c r="Q1432" s="164"/>
    </row>
    <row r="1433" spans="1:17" s="28" customFormat="1" x14ac:dyDescent="0.25">
      <c r="A1433" s="56"/>
      <c r="B1433" s="62"/>
      <c r="C1433" s="62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147"/>
      <c r="Q1433" s="164"/>
    </row>
    <row r="1434" spans="1:17" s="28" customFormat="1" x14ac:dyDescent="0.25">
      <c r="A1434" s="56"/>
      <c r="B1434" s="62"/>
      <c r="C1434" s="62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147"/>
      <c r="Q1434" s="164"/>
    </row>
    <row r="1435" spans="1:17" s="28" customFormat="1" x14ac:dyDescent="0.25">
      <c r="A1435" s="56"/>
      <c r="B1435" s="62"/>
      <c r="C1435" s="62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147"/>
      <c r="Q1435" s="164"/>
    </row>
    <row r="1436" spans="1:17" s="28" customFormat="1" x14ac:dyDescent="0.25">
      <c r="A1436" s="56"/>
      <c r="B1436" s="62"/>
      <c r="C1436" s="62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147"/>
      <c r="Q1436" s="164"/>
    </row>
    <row r="1437" spans="1:17" s="28" customFormat="1" x14ac:dyDescent="0.25">
      <c r="A1437" s="56"/>
      <c r="B1437" s="62"/>
      <c r="C1437" s="62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147"/>
      <c r="Q1437" s="164"/>
    </row>
    <row r="1438" spans="1:17" s="28" customFormat="1" x14ac:dyDescent="0.25">
      <c r="A1438" s="56"/>
      <c r="B1438" s="62"/>
      <c r="C1438" s="62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147"/>
      <c r="Q1438" s="164"/>
    </row>
    <row r="1439" spans="1:17" s="28" customFormat="1" x14ac:dyDescent="0.25">
      <c r="A1439" s="56"/>
      <c r="B1439" s="62"/>
      <c r="C1439" s="62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147"/>
      <c r="Q1439" s="164"/>
    </row>
    <row r="1440" spans="1:17" s="28" customFormat="1" x14ac:dyDescent="0.25">
      <c r="A1440" s="56"/>
      <c r="B1440" s="62"/>
      <c r="C1440" s="62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147"/>
      <c r="Q1440" s="164"/>
    </row>
    <row r="1441" spans="1:17" s="28" customFormat="1" x14ac:dyDescent="0.25">
      <c r="A1441" s="56"/>
      <c r="B1441" s="62"/>
      <c r="C1441" s="62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147"/>
      <c r="Q1441" s="164"/>
    </row>
    <row r="1442" spans="1:17" s="28" customFormat="1" x14ac:dyDescent="0.25">
      <c r="A1442" s="56"/>
      <c r="B1442" s="62"/>
      <c r="C1442" s="62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147"/>
      <c r="Q1442" s="164"/>
    </row>
    <row r="1443" spans="1:17" s="28" customFormat="1" x14ac:dyDescent="0.25">
      <c r="A1443" s="56"/>
      <c r="B1443" s="62"/>
      <c r="C1443" s="62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147"/>
      <c r="Q1443" s="164"/>
    </row>
    <row r="1444" spans="1:17" s="28" customFormat="1" x14ac:dyDescent="0.25">
      <c r="A1444" s="56"/>
      <c r="B1444" s="62"/>
      <c r="C1444" s="62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147"/>
      <c r="Q1444" s="164"/>
    </row>
    <row r="1445" spans="1:17" s="28" customFormat="1" x14ac:dyDescent="0.25">
      <c r="A1445" s="56"/>
      <c r="B1445" s="62"/>
      <c r="C1445" s="62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147"/>
      <c r="Q1445" s="164"/>
    </row>
    <row r="1446" spans="1:17" s="28" customFormat="1" x14ac:dyDescent="0.25">
      <c r="A1446" s="56"/>
      <c r="B1446" s="62"/>
      <c r="C1446" s="62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147"/>
      <c r="Q1446" s="164"/>
    </row>
    <row r="1447" spans="1:17" s="28" customFormat="1" x14ac:dyDescent="0.25">
      <c r="A1447" s="56"/>
      <c r="B1447" s="62"/>
      <c r="C1447" s="62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147"/>
      <c r="Q1447" s="164"/>
    </row>
    <row r="1448" spans="1:17" s="28" customFormat="1" x14ac:dyDescent="0.25">
      <c r="A1448" s="56"/>
      <c r="B1448" s="62"/>
      <c r="C1448" s="62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147"/>
      <c r="Q1448" s="164"/>
    </row>
    <row r="1449" spans="1:17" s="28" customFormat="1" x14ac:dyDescent="0.25">
      <c r="A1449" s="56"/>
      <c r="B1449" s="62"/>
      <c r="C1449" s="62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147"/>
      <c r="Q1449" s="164"/>
    </row>
    <row r="1450" spans="1:17" s="28" customFormat="1" x14ac:dyDescent="0.25">
      <c r="A1450" s="56"/>
      <c r="B1450" s="62"/>
      <c r="C1450" s="62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147"/>
      <c r="Q1450" s="164"/>
    </row>
    <row r="1451" spans="1:17" s="28" customFormat="1" x14ac:dyDescent="0.25">
      <c r="A1451" s="56"/>
      <c r="B1451" s="62"/>
      <c r="C1451" s="62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147"/>
      <c r="Q1451" s="164"/>
    </row>
    <row r="1452" spans="1:17" s="28" customFormat="1" x14ac:dyDescent="0.25">
      <c r="A1452" s="56"/>
      <c r="B1452" s="62"/>
      <c r="C1452" s="62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147"/>
      <c r="Q1452" s="164"/>
    </row>
    <row r="1453" spans="1:17" s="28" customFormat="1" x14ac:dyDescent="0.25">
      <c r="A1453" s="56"/>
      <c r="B1453" s="62"/>
      <c r="C1453" s="62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147"/>
      <c r="Q1453" s="164"/>
    </row>
    <row r="1454" spans="1:17" s="28" customFormat="1" x14ac:dyDescent="0.25">
      <c r="A1454" s="56"/>
      <c r="B1454" s="62"/>
      <c r="C1454" s="62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147"/>
      <c r="Q1454" s="164"/>
    </row>
    <row r="1455" spans="1:17" s="28" customFormat="1" x14ac:dyDescent="0.25">
      <c r="A1455" s="56"/>
      <c r="B1455" s="62"/>
      <c r="C1455" s="62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147"/>
      <c r="Q1455" s="164"/>
    </row>
    <row r="1456" spans="1:17" s="28" customFormat="1" x14ac:dyDescent="0.25">
      <c r="A1456" s="56"/>
      <c r="B1456" s="62"/>
      <c r="C1456" s="62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147"/>
      <c r="Q1456" s="164"/>
    </row>
    <row r="1457" spans="1:17" s="28" customFormat="1" x14ac:dyDescent="0.25">
      <c r="A1457" s="56"/>
      <c r="B1457" s="62"/>
      <c r="C1457" s="62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147"/>
      <c r="Q1457" s="164"/>
    </row>
    <row r="1458" spans="1:17" s="28" customFormat="1" x14ac:dyDescent="0.25">
      <c r="A1458" s="56"/>
      <c r="B1458" s="62"/>
      <c r="C1458" s="62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147"/>
      <c r="Q1458" s="164"/>
    </row>
    <row r="1459" spans="1:17" s="28" customFormat="1" x14ac:dyDescent="0.25">
      <c r="A1459" s="56"/>
      <c r="B1459" s="62"/>
      <c r="C1459" s="62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147"/>
      <c r="Q1459" s="164"/>
    </row>
    <row r="1460" spans="1:17" s="28" customFormat="1" x14ac:dyDescent="0.25">
      <c r="A1460" s="56"/>
      <c r="B1460" s="62"/>
      <c r="C1460" s="62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147"/>
      <c r="Q1460" s="164"/>
    </row>
    <row r="1461" spans="1:17" s="28" customFormat="1" x14ac:dyDescent="0.25">
      <c r="A1461" s="56"/>
      <c r="B1461" s="62"/>
      <c r="C1461" s="62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147"/>
      <c r="Q1461" s="164"/>
    </row>
    <row r="1462" spans="1:17" s="28" customFormat="1" x14ac:dyDescent="0.25">
      <c r="A1462" s="56"/>
      <c r="B1462" s="62"/>
      <c r="C1462" s="62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147"/>
      <c r="Q1462" s="164"/>
    </row>
    <row r="1463" spans="1:17" s="28" customFormat="1" x14ac:dyDescent="0.25">
      <c r="A1463" s="56"/>
      <c r="B1463" s="62"/>
      <c r="C1463" s="62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147"/>
      <c r="Q1463" s="164"/>
    </row>
    <row r="1464" spans="1:17" s="28" customFormat="1" x14ac:dyDescent="0.25">
      <c r="A1464" s="56"/>
      <c r="B1464" s="62"/>
      <c r="C1464" s="62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147"/>
      <c r="Q1464" s="164"/>
    </row>
    <row r="1465" spans="1:17" s="28" customFormat="1" x14ac:dyDescent="0.25">
      <c r="A1465" s="56"/>
      <c r="B1465" s="62"/>
      <c r="C1465" s="62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147"/>
      <c r="Q1465" s="164"/>
    </row>
    <row r="1466" spans="1:17" s="28" customFormat="1" x14ac:dyDescent="0.25">
      <c r="A1466" s="56"/>
      <c r="B1466" s="62"/>
      <c r="C1466" s="62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147"/>
      <c r="Q1466" s="164"/>
    </row>
    <row r="1467" spans="1:17" s="28" customFormat="1" x14ac:dyDescent="0.25">
      <c r="A1467" s="56"/>
      <c r="B1467" s="62"/>
      <c r="C1467" s="62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147"/>
      <c r="Q1467" s="164"/>
    </row>
    <row r="1468" spans="1:17" s="28" customFormat="1" x14ac:dyDescent="0.25">
      <c r="A1468" s="56"/>
      <c r="B1468" s="62"/>
      <c r="C1468" s="62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147"/>
      <c r="Q1468" s="164"/>
    </row>
    <row r="1469" spans="1:17" s="28" customFormat="1" x14ac:dyDescent="0.25">
      <c r="A1469" s="56"/>
      <c r="B1469" s="62"/>
      <c r="C1469" s="62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147"/>
      <c r="Q1469" s="164"/>
    </row>
    <row r="1470" spans="1:17" s="28" customFormat="1" x14ac:dyDescent="0.25">
      <c r="A1470" s="56"/>
      <c r="B1470" s="62"/>
      <c r="C1470" s="62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147"/>
      <c r="Q1470" s="164"/>
    </row>
    <row r="1471" spans="1:17" s="28" customFormat="1" x14ac:dyDescent="0.25">
      <c r="A1471" s="56"/>
      <c r="B1471" s="62"/>
      <c r="C1471" s="62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147"/>
      <c r="Q1471" s="164"/>
    </row>
    <row r="1472" spans="1:17" s="28" customFormat="1" x14ac:dyDescent="0.25">
      <c r="A1472" s="56"/>
      <c r="B1472" s="62"/>
      <c r="C1472" s="62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147"/>
      <c r="Q1472" s="164"/>
    </row>
    <row r="1473" spans="1:17" s="28" customFormat="1" x14ac:dyDescent="0.25">
      <c r="A1473" s="56"/>
      <c r="B1473" s="62"/>
      <c r="C1473" s="62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147"/>
      <c r="Q1473" s="164"/>
    </row>
    <row r="1474" spans="1:17" s="28" customFormat="1" x14ac:dyDescent="0.25">
      <c r="A1474" s="56"/>
      <c r="B1474" s="62"/>
      <c r="C1474" s="62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147"/>
      <c r="Q1474" s="164"/>
    </row>
    <row r="1475" spans="1:17" s="28" customFormat="1" x14ac:dyDescent="0.25">
      <c r="A1475" s="56"/>
      <c r="B1475" s="62"/>
      <c r="C1475" s="62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147"/>
      <c r="Q1475" s="164"/>
    </row>
    <row r="1476" spans="1:17" s="28" customFormat="1" x14ac:dyDescent="0.25">
      <c r="A1476" s="56"/>
      <c r="B1476" s="62"/>
      <c r="C1476" s="62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147"/>
      <c r="Q1476" s="164"/>
    </row>
    <row r="1477" spans="1:17" s="28" customFormat="1" x14ac:dyDescent="0.25">
      <c r="A1477" s="56"/>
      <c r="B1477" s="62"/>
      <c r="C1477" s="62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147"/>
      <c r="Q1477" s="164"/>
    </row>
    <row r="1478" spans="1:17" s="28" customFormat="1" x14ac:dyDescent="0.25">
      <c r="A1478" s="56"/>
      <c r="B1478" s="62"/>
      <c r="C1478" s="62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147"/>
      <c r="Q1478" s="164"/>
    </row>
    <row r="1479" spans="1:17" s="28" customFormat="1" x14ac:dyDescent="0.25">
      <c r="A1479" s="56"/>
      <c r="B1479" s="62"/>
      <c r="C1479" s="62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147"/>
      <c r="Q1479" s="164"/>
    </row>
    <row r="1480" spans="1:17" s="28" customFormat="1" x14ac:dyDescent="0.25">
      <c r="A1480" s="56"/>
      <c r="B1480" s="62"/>
      <c r="C1480" s="62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147"/>
      <c r="Q1480" s="164"/>
    </row>
    <row r="1481" spans="1:17" s="28" customFormat="1" x14ac:dyDescent="0.25">
      <c r="A1481" s="56"/>
      <c r="B1481" s="62"/>
      <c r="C1481" s="62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147"/>
      <c r="Q1481" s="164"/>
    </row>
    <row r="1482" spans="1:17" s="28" customFormat="1" x14ac:dyDescent="0.25">
      <c r="A1482" s="56"/>
      <c r="B1482" s="62"/>
      <c r="C1482" s="62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147"/>
      <c r="Q1482" s="164"/>
    </row>
    <row r="1483" spans="1:17" s="28" customFormat="1" x14ac:dyDescent="0.25">
      <c r="A1483" s="56"/>
      <c r="B1483" s="62"/>
      <c r="C1483" s="62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147"/>
      <c r="Q1483" s="164"/>
    </row>
    <row r="1484" spans="1:17" s="28" customFormat="1" x14ac:dyDescent="0.25">
      <c r="A1484" s="56"/>
      <c r="B1484" s="62"/>
      <c r="C1484" s="62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147"/>
      <c r="Q1484" s="164"/>
    </row>
    <row r="1485" spans="1:17" s="28" customFormat="1" x14ac:dyDescent="0.25">
      <c r="A1485" s="56"/>
      <c r="B1485" s="62"/>
      <c r="C1485" s="62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147"/>
      <c r="Q1485" s="164"/>
    </row>
    <row r="1486" spans="1:17" s="28" customFormat="1" x14ac:dyDescent="0.25">
      <c r="A1486" s="56"/>
      <c r="B1486" s="62"/>
      <c r="C1486" s="62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147"/>
      <c r="Q1486" s="164"/>
    </row>
    <row r="1487" spans="1:17" s="28" customFormat="1" x14ac:dyDescent="0.25">
      <c r="A1487" s="56"/>
      <c r="B1487" s="62"/>
      <c r="C1487" s="62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147"/>
      <c r="Q1487" s="164"/>
    </row>
    <row r="1488" spans="1:17" s="28" customFormat="1" x14ac:dyDescent="0.25">
      <c r="A1488" s="56"/>
      <c r="B1488" s="62"/>
      <c r="C1488" s="62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147"/>
      <c r="Q1488" s="164"/>
    </row>
    <row r="1489" spans="1:17" s="28" customFormat="1" x14ac:dyDescent="0.25">
      <c r="A1489" s="56"/>
      <c r="B1489" s="62"/>
      <c r="C1489" s="62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147"/>
      <c r="Q1489" s="164"/>
    </row>
    <row r="1490" spans="1:17" s="28" customFormat="1" x14ac:dyDescent="0.25">
      <c r="A1490" s="56"/>
      <c r="B1490" s="62"/>
      <c r="C1490" s="62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147"/>
      <c r="Q1490" s="164"/>
    </row>
    <row r="1491" spans="1:17" s="28" customFormat="1" x14ac:dyDescent="0.25">
      <c r="A1491" s="56"/>
      <c r="B1491" s="62"/>
      <c r="C1491" s="62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147"/>
      <c r="Q1491" s="164"/>
    </row>
    <row r="1492" spans="1:17" s="28" customFormat="1" x14ac:dyDescent="0.25">
      <c r="A1492" s="56"/>
      <c r="B1492" s="62"/>
      <c r="C1492" s="62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147"/>
      <c r="Q1492" s="164"/>
    </row>
    <row r="1493" spans="1:17" s="28" customFormat="1" x14ac:dyDescent="0.25">
      <c r="A1493" s="56"/>
      <c r="B1493" s="62"/>
      <c r="C1493" s="62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147"/>
      <c r="Q1493" s="164"/>
    </row>
    <row r="1494" spans="1:17" s="28" customFormat="1" x14ac:dyDescent="0.25">
      <c r="A1494" s="56"/>
      <c r="B1494" s="62"/>
      <c r="C1494" s="62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147"/>
      <c r="Q1494" s="164"/>
    </row>
    <row r="1495" spans="1:17" s="28" customFormat="1" x14ac:dyDescent="0.25">
      <c r="A1495" s="56"/>
      <c r="B1495" s="62"/>
      <c r="C1495" s="62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147"/>
      <c r="Q1495" s="164"/>
    </row>
    <row r="1496" spans="1:17" s="28" customFormat="1" x14ac:dyDescent="0.25">
      <c r="A1496" s="56"/>
      <c r="B1496" s="62"/>
      <c r="C1496" s="62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147"/>
      <c r="Q1496" s="164"/>
    </row>
    <row r="1497" spans="1:17" s="28" customFormat="1" x14ac:dyDescent="0.25">
      <c r="A1497" s="56"/>
      <c r="B1497" s="62"/>
      <c r="C1497" s="62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147"/>
      <c r="Q1497" s="164"/>
    </row>
    <row r="1498" spans="1:17" s="28" customFormat="1" x14ac:dyDescent="0.25">
      <c r="A1498" s="56"/>
      <c r="B1498" s="62"/>
      <c r="C1498" s="62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147"/>
      <c r="Q1498" s="164"/>
    </row>
    <row r="1499" spans="1:17" s="28" customFormat="1" x14ac:dyDescent="0.25">
      <c r="A1499" s="56"/>
      <c r="B1499" s="62"/>
      <c r="C1499" s="62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147"/>
      <c r="Q1499" s="164"/>
    </row>
    <row r="1500" spans="1:17" s="28" customFormat="1" x14ac:dyDescent="0.25">
      <c r="A1500" s="56"/>
      <c r="B1500" s="62"/>
      <c r="C1500" s="62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147"/>
      <c r="Q1500" s="164"/>
    </row>
    <row r="1501" spans="1:17" s="28" customFormat="1" x14ac:dyDescent="0.25">
      <c r="A1501" s="56"/>
      <c r="B1501" s="62"/>
      <c r="C1501" s="62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147"/>
      <c r="Q1501" s="164"/>
    </row>
    <row r="1502" spans="1:17" s="28" customFormat="1" x14ac:dyDescent="0.25">
      <c r="A1502" s="56"/>
      <c r="B1502" s="62"/>
      <c r="C1502" s="62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147"/>
      <c r="Q1502" s="164"/>
    </row>
    <row r="1503" spans="1:17" s="28" customFormat="1" x14ac:dyDescent="0.25">
      <c r="A1503" s="56"/>
      <c r="B1503" s="62"/>
      <c r="C1503" s="62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147"/>
      <c r="Q1503" s="164"/>
    </row>
    <row r="1504" spans="1:17" s="28" customFormat="1" x14ac:dyDescent="0.25">
      <c r="A1504" s="56"/>
      <c r="B1504" s="62"/>
      <c r="C1504" s="62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147"/>
      <c r="Q1504" s="164"/>
    </row>
    <row r="1505" spans="1:17" s="28" customFormat="1" x14ac:dyDescent="0.25">
      <c r="A1505" s="56"/>
      <c r="B1505" s="62"/>
      <c r="C1505" s="62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147"/>
      <c r="Q1505" s="164"/>
    </row>
    <row r="1506" spans="1:17" s="28" customFormat="1" x14ac:dyDescent="0.25">
      <c r="A1506" s="56"/>
      <c r="B1506" s="62"/>
      <c r="C1506" s="62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147"/>
      <c r="Q1506" s="164"/>
    </row>
    <row r="1507" spans="1:17" s="28" customFormat="1" x14ac:dyDescent="0.25">
      <c r="A1507" s="56"/>
      <c r="B1507" s="62"/>
      <c r="C1507" s="62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147"/>
      <c r="Q1507" s="164"/>
    </row>
    <row r="1508" spans="1:17" s="28" customFormat="1" x14ac:dyDescent="0.25">
      <c r="A1508" s="56"/>
      <c r="B1508" s="62"/>
      <c r="C1508" s="62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147"/>
      <c r="Q1508" s="164"/>
    </row>
    <row r="1509" spans="1:17" s="28" customFormat="1" x14ac:dyDescent="0.25">
      <c r="A1509" s="56"/>
      <c r="B1509" s="62"/>
      <c r="C1509" s="62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147"/>
      <c r="Q1509" s="164"/>
    </row>
    <row r="1510" spans="1:17" s="28" customFormat="1" x14ac:dyDescent="0.25">
      <c r="A1510" s="56"/>
      <c r="B1510" s="62"/>
      <c r="C1510" s="62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147"/>
      <c r="Q1510" s="164"/>
    </row>
    <row r="1511" spans="1:17" s="28" customFormat="1" x14ac:dyDescent="0.25">
      <c r="A1511" s="56"/>
      <c r="B1511" s="62"/>
      <c r="C1511" s="62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147"/>
      <c r="Q1511" s="164"/>
    </row>
    <row r="1512" spans="1:17" s="28" customFormat="1" x14ac:dyDescent="0.25">
      <c r="A1512" s="56"/>
      <c r="B1512" s="62"/>
      <c r="C1512" s="62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147"/>
      <c r="Q1512" s="164"/>
    </row>
    <row r="1513" spans="1:17" s="28" customFormat="1" x14ac:dyDescent="0.25">
      <c r="A1513" s="56"/>
      <c r="B1513" s="62"/>
      <c r="C1513" s="62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147"/>
      <c r="Q1513" s="164"/>
    </row>
    <row r="1514" spans="1:17" s="28" customFormat="1" x14ac:dyDescent="0.25">
      <c r="A1514" s="56"/>
      <c r="B1514" s="62"/>
      <c r="C1514" s="62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147"/>
      <c r="Q1514" s="164"/>
    </row>
    <row r="1515" spans="1:17" s="28" customFormat="1" x14ac:dyDescent="0.25">
      <c r="A1515" s="56"/>
      <c r="B1515" s="62"/>
      <c r="C1515" s="62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147"/>
      <c r="Q1515" s="164"/>
    </row>
    <row r="1516" spans="1:17" s="28" customFormat="1" x14ac:dyDescent="0.25">
      <c r="A1516" s="56"/>
      <c r="B1516" s="62"/>
      <c r="C1516" s="62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147"/>
      <c r="Q1516" s="164"/>
    </row>
    <row r="1517" spans="1:17" s="28" customFormat="1" x14ac:dyDescent="0.25">
      <c r="A1517" s="56"/>
      <c r="B1517" s="62"/>
      <c r="C1517" s="62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147"/>
      <c r="Q1517" s="164"/>
    </row>
    <row r="1518" spans="1:17" s="28" customFormat="1" x14ac:dyDescent="0.25">
      <c r="A1518" s="56"/>
      <c r="B1518" s="62"/>
      <c r="C1518" s="62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147"/>
      <c r="Q1518" s="164"/>
    </row>
    <row r="1519" spans="1:17" s="28" customFormat="1" x14ac:dyDescent="0.25">
      <c r="A1519" s="56"/>
      <c r="B1519" s="62"/>
      <c r="C1519" s="62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147"/>
      <c r="Q1519" s="164"/>
    </row>
    <row r="1520" spans="1:17" s="28" customFormat="1" x14ac:dyDescent="0.25">
      <c r="A1520" s="56"/>
      <c r="B1520" s="62"/>
      <c r="C1520" s="62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147"/>
      <c r="Q1520" s="164"/>
    </row>
    <row r="1521" spans="1:17" s="28" customFormat="1" x14ac:dyDescent="0.25">
      <c r="A1521" s="56"/>
      <c r="B1521" s="62"/>
      <c r="C1521" s="62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147"/>
      <c r="Q1521" s="164"/>
    </row>
    <row r="1522" spans="1:17" s="28" customFormat="1" x14ac:dyDescent="0.25">
      <c r="A1522" s="56"/>
      <c r="B1522" s="62"/>
      <c r="C1522" s="62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147"/>
      <c r="Q1522" s="164"/>
    </row>
    <row r="1523" spans="1:17" s="28" customFormat="1" x14ac:dyDescent="0.25">
      <c r="A1523" s="56"/>
      <c r="B1523" s="62"/>
      <c r="C1523" s="62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147"/>
      <c r="Q1523" s="164"/>
    </row>
    <row r="1524" spans="1:17" s="28" customFormat="1" x14ac:dyDescent="0.25">
      <c r="A1524" s="56"/>
      <c r="B1524" s="62"/>
      <c r="C1524" s="62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147"/>
      <c r="Q1524" s="164"/>
    </row>
    <row r="1525" spans="1:17" s="28" customFormat="1" x14ac:dyDescent="0.25">
      <c r="A1525" s="56"/>
      <c r="B1525" s="62"/>
      <c r="C1525" s="62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147"/>
      <c r="Q1525" s="164"/>
    </row>
    <row r="1526" spans="1:17" s="28" customFormat="1" x14ac:dyDescent="0.25">
      <c r="A1526" s="56"/>
      <c r="B1526" s="62"/>
      <c r="C1526" s="62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147"/>
      <c r="Q1526" s="164"/>
    </row>
    <row r="1527" spans="1:17" s="28" customFormat="1" x14ac:dyDescent="0.25">
      <c r="A1527" s="56"/>
      <c r="B1527" s="62"/>
      <c r="C1527" s="62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147"/>
      <c r="Q1527" s="164"/>
    </row>
    <row r="1528" spans="1:17" s="28" customFormat="1" x14ac:dyDescent="0.25">
      <c r="A1528" s="56"/>
      <c r="B1528" s="62"/>
      <c r="C1528" s="62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147"/>
      <c r="Q1528" s="164"/>
    </row>
    <row r="1529" spans="1:17" s="28" customFormat="1" x14ac:dyDescent="0.25">
      <c r="A1529" s="56"/>
      <c r="B1529" s="62"/>
      <c r="C1529" s="62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147"/>
      <c r="Q1529" s="164"/>
    </row>
    <row r="1530" spans="1:17" s="28" customFormat="1" x14ac:dyDescent="0.25">
      <c r="A1530" s="56"/>
      <c r="B1530" s="62"/>
      <c r="C1530" s="62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147"/>
      <c r="Q1530" s="164"/>
    </row>
    <row r="1531" spans="1:17" s="28" customFormat="1" x14ac:dyDescent="0.25">
      <c r="A1531" s="56"/>
      <c r="B1531" s="62"/>
      <c r="C1531" s="62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147"/>
      <c r="Q1531" s="164"/>
    </row>
    <row r="1532" spans="1:17" s="28" customFormat="1" x14ac:dyDescent="0.25">
      <c r="A1532" s="56"/>
      <c r="B1532" s="62"/>
      <c r="C1532" s="62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147"/>
      <c r="Q1532" s="164"/>
    </row>
    <row r="1533" spans="1:17" s="28" customFormat="1" x14ac:dyDescent="0.25">
      <c r="A1533" s="56"/>
      <c r="B1533" s="62"/>
      <c r="C1533" s="62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147"/>
      <c r="Q1533" s="164"/>
    </row>
    <row r="1534" spans="1:17" s="28" customFormat="1" x14ac:dyDescent="0.25">
      <c r="A1534" s="56"/>
      <c r="B1534" s="62"/>
      <c r="C1534" s="62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147"/>
      <c r="Q1534" s="164"/>
    </row>
    <row r="1535" spans="1:17" s="28" customFormat="1" x14ac:dyDescent="0.25">
      <c r="A1535" s="56"/>
      <c r="B1535" s="62"/>
      <c r="C1535" s="62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147"/>
      <c r="Q1535" s="164"/>
    </row>
    <row r="1536" spans="1:17" s="28" customFormat="1" x14ac:dyDescent="0.25">
      <c r="A1536" s="56"/>
      <c r="B1536" s="62"/>
      <c r="C1536" s="62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147"/>
      <c r="Q1536" s="164"/>
    </row>
    <row r="1537" spans="1:17" s="28" customFormat="1" x14ac:dyDescent="0.25">
      <c r="A1537" s="56"/>
      <c r="B1537" s="62"/>
      <c r="C1537" s="62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147"/>
      <c r="Q1537" s="164"/>
    </row>
    <row r="1538" spans="1:17" s="28" customFormat="1" x14ac:dyDescent="0.25">
      <c r="A1538" s="56"/>
      <c r="B1538" s="62"/>
      <c r="C1538" s="62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147"/>
      <c r="Q1538" s="164"/>
    </row>
    <row r="1539" spans="1:17" s="28" customFormat="1" x14ac:dyDescent="0.25">
      <c r="A1539" s="56"/>
      <c r="B1539" s="62"/>
      <c r="C1539" s="62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147"/>
      <c r="Q1539" s="164"/>
    </row>
    <row r="1540" spans="1:17" s="28" customFormat="1" x14ac:dyDescent="0.25">
      <c r="A1540" s="56"/>
      <c r="B1540" s="62"/>
      <c r="C1540" s="62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147"/>
      <c r="Q1540" s="164"/>
    </row>
    <row r="1541" spans="1:17" s="28" customFormat="1" x14ac:dyDescent="0.25">
      <c r="A1541" s="56"/>
      <c r="B1541" s="62"/>
      <c r="C1541" s="62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147"/>
      <c r="Q1541" s="164"/>
    </row>
    <row r="1542" spans="1:17" s="28" customFormat="1" x14ac:dyDescent="0.25">
      <c r="A1542" s="56"/>
      <c r="B1542" s="62"/>
      <c r="C1542" s="62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147"/>
      <c r="Q1542" s="164"/>
    </row>
    <row r="1543" spans="1:17" s="28" customFormat="1" x14ac:dyDescent="0.25">
      <c r="A1543" s="56"/>
      <c r="B1543" s="62"/>
      <c r="C1543" s="62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147"/>
      <c r="Q1543" s="164"/>
    </row>
    <row r="1544" spans="1:17" s="28" customFormat="1" x14ac:dyDescent="0.25">
      <c r="A1544" s="56"/>
      <c r="B1544" s="62"/>
      <c r="C1544" s="62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147"/>
      <c r="Q1544" s="164"/>
    </row>
    <row r="1545" spans="1:17" s="28" customFormat="1" x14ac:dyDescent="0.25">
      <c r="A1545" s="56"/>
      <c r="B1545" s="62"/>
      <c r="C1545" s="62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147"/>
      <c r="Q1545" s="164"/>
    </row>
    <row r="1546" spans="1:17" s="28" customFormat="1" x14ac:dyDescent="0.25">
      <c r="A1546" s="56"/>
      <c r="B1546" s="62"/>
      <c r="C1546" s="62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147"/>
      <c r="Q1546" s="164"/>
    </row>
    <row r="1547" spans="1:17" s="28" customFormat="1" x14ac:dyDescent="0.25">
      <c r="A1547" s="56"/>
      <c r="B1547" s="62"/>
      <c r="C1547" s="62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147"/>
      <c r="Q1547" s="164"/>
    </row>
    <row r="1548" spans="1:17" s="28" customFormat="1" x14ac:dyDescent="0.25">
      <c r="A1548" s="56"/>
      <c r="B1548" s="62"/>
      <c r="C1548" s="62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147"/>
      <c r="Q1548" s="164"/>
    </row>
    <row r="1549" spans="1:17" s="28" customFormat="1" x14ac:dyDescent="0.25">
      <c r="A1549" s="56"/>
      <c r="B1549" s="62"/>
      <c r="C1549" s="62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147"/>
      <c r="Q1549" s="164"/>
    </row>
    <row r="1550" spans="1:17" s="28" customFormat="1" x14ac:dyDescent="0.25">
      <c r="A1550" s="56"/>
      <c r="B1550" s="62"/>
      <c r="C1550" s="62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147"/>
      <c r="Q1550" s="164"/>
    </row>
    <row r="1551" spans="1:17" s="28" customFormat="1" x14ac:dyDescent="0.25">
      <c r="A1551" s="56"/>
      <c r="B1551" s="62"/>
      <c r="C1551" s="62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147"/>
      <c r="Q1551" s="164"/>
    </row>
    <row r="1552" spans="1:17" s="28" customFormat="1" x14ac:dyDescent="0.25">
      <c r="A1552" s="56"/>
      <c r="B1552" s="62"/>
      <c r="C1552" s="62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147"/>
      <c r="Q1552" s="164"/>
    </row>
    <row r="1553" spans="1:17" s="28" customFormat="1" x14ac:dyDescent="0.25">
      <c r="A1553" s="56"/>
      <c r="B1553" s="62"/>
      <c r="C1553" s="62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147"/>
      <c r="Q1553" s="164"/>
    </row>
    <row r="1554" spans="1:17" s="28" customFormat="1" x14ac:dyDescent="0.25">
      <c r="A1554" s="56"/>
      <c r="B1554" s="62"/>
      <c r="C1554" s="62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147"/>
      <c r="Q1554" s="164"/>
    </row>
    <row r="1555" spans="1:17" s="28" customFormat="1" x14ac:dyDescent="0.25">
      <c r="A1555" s="56"/>
      <c r="B1555" s="62"/>
      <c r="C1555" s="62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147"/>
      <c r="Q1555" s="164"/>
    </row>
    <row r="1556" spans="1:17" s="28" customFormat="1" x14ac:dyDescent="0.25">
      <c r="A1556" s="56"/>
      <c r="B1556" s="62"/>
      <c r="C1556" s="62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147"/>
      <c r="Q1556" s="164"/>
    </row>
    <row r="1557" spans="1:17" s="28" customFormat="1" x14ac:dyDescent="0.25">
      <c r="A1557" s="56"/>
      <c r="B1557" s="62"/>
      <c r="C1557" s="62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147"/>
      <c r="Q1557" s="164"/>
    </row>
    <row r="1558" spans="1:17" s="28" customFormat="1" x14ac:dyDescent="0.25">
      <c r="A1558" s="56"/>
      <c r="B1558" s="62"/>
      <c r="C1558" s="62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147"/>
      <c r="Q1558" s="164"/>
    </row>
    <row r="1559" spans="1:17" s="28" customFormat="1" x14ac:dyDescent="0.25">
      <c r="A1559" s="56"/>
      <c r="B1559" s="62"/>
      <c r="C1559" s="62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147"/>
      <c r="Q1559" s="164"/>
    </row>
    <row r="1560" spans="1:17" s="28" customFormat="1" x14ac:dyDescent="0.25">
      <c r="A1560" s="56"/>
      <c r="B1560" s="62"/>
      <c r="C1560" s="62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147"/>
      <c r="Q1560" s="164"/>
    </row>
    <row r="1561" spans="1:17" s="28" customFormat="1" x14ac:dyDescent="0.25">
      <c r="A1561" s="56"/>
      <c r="B1561" s="62"/>
      <c r="C1561" s="62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147"/>
      <c r="Q1561" s="164"/>
    </row>
    <row r="1562" spans="1:17" s="28" customFormat="1" x14ac:dyDescent="0.25">
      <c r="A1562" s="56"/>
      <c r="B1562" s="62"/>
      <c r="C1562" s="62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147"/>
      <c r="Q1562" s="164"/>
    </row>
    <row r="1563" spans="1:17" s="28" customFormat="1" x14ac:dyDescent="0.25">
      <c r="A1563" s="56"/>
      <c r="B1563" s="62"/>
      <c r="C1563" s="62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147"/>
      <c r="Q1563" s="164"/>
    </row>
    <row r="1564" spans="1:17" s="28" customFormat="1" x14ac:dyDescent="0.25">
      <c r="A1564" s="56"/>
      <c r="B1564" s="62"/>
      <c r="C1564" s="62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147"/>
      <c r="Q1564" s="164"/>
    </row>
    <row r="1565" spans="1:17" s="28" customFormat="1" x14ac:dyDescent="0.25">
      <c r="A1565" s="56"/>
      <c r="B1565" s="62"/>
      <c r="C1565" s="62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147"/>
      <c r="Q1565" s="164"/>
    </row>
    <row r="1566" spans="1:17" s="28" customFormat="1" x14ac:dyDescent="0.25">
      <c r="A1566" s="56"/>
      <c r="B1566" s="62"/>
      <c r="C1566" s="62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147"/>
      <c r="Q1566" s="164"/>
    </row>
    <row r="1567" spans="1:17" s="28" customFormat="1" x14ac:dyDescent="0.25">
      <c r="A1567" s="56"/>
      <c r="B1567" s="62"/>
      <c r="C1567" s="62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147"/>
      <c r="Q1567" s="164"/>
    </row>
    <row r="1568" spans="1:17" s="28" customFormat="1" x14ac:dyDescent="0.25">
      <c r="A1568" s="56"/>
      <c r="B1568" s="62"/>
      <c r="C1568" s="62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147"/>
      <c r="Q1568" s="164"/>
    </row>
    <row r="1569" spans="1:17" s="28" customFormat="1" x14ac:dyDescent="0.25">
      <c r="A1569" s="56"/>
      <c r="B1569" s="62"/>
      <c r="C1569" s="62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147"/>
      <c r="Q1569" s="164"/>
    </row>
    <row r="1570" spans="1:17" s="28" customFormat="1" x14ac:dyDescent="0.25">
      <c r="A1570" s="56"/>
      <c r="B1570" s="62"/>
      <c r="C1570" s="62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147"/>
      <c r="Q1570" s="164"/>
    </row>
    <row r="1571" spans="1:17" s="28" customFormat="1" x14ac:dyDescent="0.25">
      <c r="A1571" s="56"/>
      <c r="B1571" s="62"/>
      <c r="C1571" s="62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147"/>
      <c r="Q1571" s="164"/>
    </row>
    <row r="1572" spans="1:17" s="28" customFormat="1" x14ac:dyDescent="0.25">
      <c r="A1572" s="56"/>
      <c r="B1572" s="62"/>
      <c r="C1572" s="62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147"/>
      <c r="Q1572" s="164"/>
    </row>
    <row r="1573" spans="1:17" s="28" customFormat="1" x14ac:dyDescent="0.25">
      <c r="A1573" s="56"/>
      <c r="B1573" s="62"/>
      <c r="C1573" s="62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147"/>
      <c r="Q1573" s="164"/>
    </row>
    <row r="1574" spans="1:17" s="28" customFormat="1" x14ac:dyDescent="0.25">
      <c r="A1574" s="56"/>
      <c r="B1574" s="62"/>
      <c r="C1574" s="62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147"/>
      <c r="Q1574" s="164"/>
    </row>
    <row r="1575" spans="1:17" s="28" customFormat="1" x14ac:dyDescent="0.25">
      <c r="A1575" s="56"/>
      <c r="B1575" s="62"/>
      <c r="C1575" s="62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147"/>
      <c r="Q1575" s="164"/>
    </row>
    <row r="1576" spans="1:17" s="28" customFormat="1" x14ac:dyDescent="0.25">
      <c r="A1576" s="56"/>
      <c r="B1576" s="62"/>
      <c r="C1576" s="62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147"/>
      <c r="Q1576" s="164"/>
    </row>
    <row r="1577" spans="1:17" s="28" customFormat="1" x14ac:dyDescent="0.25">
      <c r="A1577" s="56"/>
      <c r="B1577" s="62"/>
      <c r="C1577" s="62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147"/>
      <c r="Q1577" s="164"/>
    </row>
    <row r="1578" spans="1:17" s="28" customFormat="1" x14ac:dyDescent="0.25">
      <c r="A1578" s="56"/>
      <c r="B1578" s="62"/>
      <c r="C1578" s="62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147"/>
      <c r="Q1578" s="164"/>
    </row>
    <row r="1579" spans="1:17" s="28" customFormat="1" x14ac:dyDescent="0.25">
      <c r="A1579" s="56"/>
      <c r="B1579" s="62"/>
      <c r="C1579" s="62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147"/>
      <c r="Q1579" s="164"/>
    </row>
    <row r="1580" spans="1:17" s="28" customFormat="1" x14ac:dyDescent="0.25">
      <c r="A1580" s="56"/>
      <c r="B1580" s="62"/>
      <c r="C1580" s="62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147"/>
      <c r="Q1580" s="164"/>
    </row>
    <row r="1581" spans="1:17" s="28" customFormat="1" x14ac:dyDescent="0.25">
      <c r="A1581" s="56"/>
      <c r="B1581" s="62"/>
      <c r="C1581" s="62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147"/>
      <c r="Q1581" s="164"/>
    </row>
    <row r="1582" spans="1:17" s="28" customFormat="1" x14ac:dyDescent="0.25">
      <c r="A1582" s="56"/>
      <c r="B1582" s="62"/>
      <c r="C1582" s="62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147"/>
      <c r="Q1582" s="164"/>
    </row>
    <row r="1583" spans="1:17" s="28" customFormat="1" x14ac:dyDescent="0.25">
      <c r="A1583" s="56"/>
      <c r="B1583" s="62"/>
      <c r="C1583" s="62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147"/>
      <c r="Q1583" s="164"/>
    </row>
    <row r="1584" spans="1:17" s="28" customFormat="1" x14ac:dyDescent="0.25">
      <c r="A1584" s="56"/>
      <c r="B1584" s="62"/>
      <c r="C1584" s="62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147"/>
      <c r="Q1584" s="164"/>
    </row>
    <row r="1585" spans="1:17" s="28" customFormat="1" x14ac:dyDescent="0.25">
      <c r="A1585" s="56"/>
      <c r="B1585" s="62"/>
      <c r="C1585" s="62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147"/>
      <c r="Q1585" s="164"/>
    </row>
    <row r="1586" spans="1:17" s="28" customFormat="1" x14ac:dyDescent="0.25">
      <c r="A1586" s="56"/>
      <c r="B1586" s="62"/>
      <c r="C1586" s="62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147"/>
      <c r="Q1586" s="164"/>
    </row>
    <row r="1587" spans="1:17" s="28" customFormat="1" x14ac:dyDescent="0.25">
      <c r="A1587" s="56"/>
      <c r="B1587" s="62"/>
      <c r="C1587" s="62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147"/>
      <c r="Q1587" s="164"/>
    </row>
    <row r="1588" spans="1:17" s="28" customFormat="1" x14ac:dyDescent="0.25">
      <c r="A1588" s="56"/>
      <c r="B1588" s="62"/>
      <c r="C1588" s="62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147"/>
      <c r="Q1588" s="164"/>
    </row>
    <row r="1589" spans="1:17" s="28" customFormat="1" x14ac:dyDescent="0.25">
      <c r="A1589" s="56"/>
      <c r="B1589" s="62"/>
      <c r="C1589" s="62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147"/>
      <c r="Q1589" s="164"/>
    </row>
    <row r="1590" spans="1:17" s="28" customFormat="1" x14ac:dyDescent="0.25">
      <c r="A1590" s="56"/>
      <c r="B1590" s="62"/>
      <c r="C1590" s="62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147"/>
      <c r="Q1590" s="164"/>
    </row>
    <row r="1591" spans="1:17" s="28" customFormat="1" x14ac:dyDescent="0.25">
      <c r="A1591" s="56"/>
      <c r="B1591" s="62"/>
      <c r="C1591" s="62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147"/>
      <c r="Q1591" s="164"/>
    </row>
    <row r="1592" spans="1:17" s="28" customFormat="1" x14ac:dyDescent="0.25">
      <c r="A1592" s="56"/>
      <c r="B1592" s="62"/>
      <c r="C1592" s="62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147"/>
      <c r="Q1592" s="164"/>
    </row>
    <row r="1593" spans="1:17" s="28" customFormat="1" x14ac:dyDescent="0.25">
      <c r="A1593" s="56"/>
      <c r="B1593" s="62"/>
      <c r="C1593" s="62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147"/>
      <c r="Q1593" s="164"/>
    </row>
    <row r="1594" spans="1:17" s="28" customFormat="1" x14ac:dyDescent="0.25">
      <c r="A1594" s="56"/>
      <c r="B1594" s="62"/>
      <c r="C1594" s="62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147"/>
      <c r="Q1594" s="164"/>
    </row>
    <row r="1595" spans="1:17" s="28" customFormat="1" x14ac:dyDescent="0.25">
      <c r="A1595" s="56"/>
      <c r="B1595" s="62"/>
      <c r="C1595" s="62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147"/>
      <c r="Q1595" s="164"/>
    </row>
    <row r="1596" spans="1:17" s="28" customFormat="1" x14ac:dyDescent="0.25">
      <c r="A1596" s="56"/>
      <c r="B1596" s="62"/>
      <c r="C1596" s="62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147"/>
      <c r="Q1596" s="164"/>
    </row>
    <row r="1597" spans="1:17" s="28" customFormat="1" x14ac:dyDescent="0.25">
      <c r="A1597" s="56"/>
      <c r="B1597" s="62"/>
      <c r="C1597" s="62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147"/>
      <c r="Q1597" s="164"/>
    </row>
    <row r="1598" spans="1:17" s="28" customFormat="1" x14ac:dyDescent="0.25">
      <c r="A1598" s="56"/>
      <c r="B1598" s="62"/>
      <c r="C1598" s="62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147"/>
      <c r="Q1598" s="164"/>
    </row>
    <row r="1599" spans="1:17" s="28" customFormat="1" x14ac:dyDescent="0.25">
      <c r="A1599" s="56"/>
      <c r="B1599" s="62"/>
      <c r="C1599" s="62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147"/>
      <c r="Q1599" s="164"/>
    </row>
    <row r="1600" spans="1:17" s="28" customFormat="1" x14ac:dyDescent="0.25">
      <c r="A1600" s="56"/>
      <c r="B1600" s="62"/>
      <c r="C1600" s="62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147"/>
      <c r="Q1600" s="164"/>
    </row>
    <row r="1601" spans="1:17" s="28" customFormat="1" x14ac:dyDescent="0.25">
      <c r="A1601" s="56"/>
      <c r="B1601" s="62"/>
      <c r="C1601" s="62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147"/>
      <c r="Q1601" s="164"/>
    </row>
    <row r="1602" spans="1:17" s="28" customFormat="1" x14ac:dyDescent="0.25">
      <c r="A1602" s="56"/>
      <c r="B1602" s="62"/>
      <c r="C1602" s="62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147"/>
      <c r="Q1602" s="164"/>
    </row>
    <row r="1603" spans="1:17" s="28" customFormat="1" x14ac:dyDescent="0.25">
      <c r="A1603" s="56"/>
      <c r="B1603" s="62"/>
      <c r="C1603" s="62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147"/>
      <c r="Q1603" s="164"/>
    </row>
    <row r="1604" spans="1:17" s="28" customFormat="1" x14ac:dyDescent="0.25">
      <c r="A1604" s="56"/>
      <c r="B1604" s="62"/>
      <c r="C1604" s="62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147"/>
      <c r="Q1604" s="164"/>
    </row>
    <row r="1605" spans="1:17" s="28" customFormat="1" x14ac:dyDescent="0.25">
      <c r="A1605" s="56"/>
      <c r="B1605" s="62"/>
      <c r="C1605" s="62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147"/>
      <c r="Q1605" s="164"/>
    </row>
    <row r="1606" spans="1:17" s="28" customFormat="1" x14ac:dyDescent="0.25">
      <c r="A1606" s="56"/>
      <c r="B1606" s="62"/>
      <c r="C1606" s="62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147"/>
      <c r="Q1606" s="164"/>
    </row>
    <row r="1607" spans="1:17" s="28" customFormat="1" x14ac:dyDescent="0.25">
      <c r="A1607" s="56"/>
      <c r="B1607" s="62"/>
      <c r="C1607" s="62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147"/>
      <c r="Q1607" s="164"/>
    </row>
    <row r="1608" spans="1:17" s="28" customFormat="1" x14ac:dyDescent="0.25">
      <c r="A1608" s="56"/>
      <c r="B1608" s="62"/>
      <c r="C1608" s="62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147"/>
      <c r="Q1608" s="164"/>
    </row>
    <row r="1609" spans="1:17" s="28" customFormat="1" x14ac:dyDescent="0.25">
      <c r="A1609" s="56"/>
      <c r="B1609" s="62"/>
      <c r="C1609" s="62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147"/>
      <c r="Q1609" s="164"/>
    </row>
    <row r="1610" spans="1:17" s="28" customFormat="1" x14ac:dyDescent="0.25">
      <c r="A1610" s="56"/>
      <c r="B1610" s="62"/>
      <c r="C1610" s="62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147"/>
      <c r="Q1610" s="164"/>
    </row>
    <row r="1611" spans="1:17" s="28" customFormat="1" x14ac:dyDescent="0.25">
      <c r="A1611" s="56"/>
      <c r="B1611" s="62"/>
      <c r="C1611" s="62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147"/>
      <c r="Q1611" s="164"/>
    </row>
    <row r="1612" spans="1:17" s="28" customFormat="1" x14ac:dyDescent="0.25">
      <c r="A1612" s="56"/>
      <c r="B1612" s="62"/>
      <c r="C1612" s="62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147"/>
      <c r="Q1612" s="164"/>
    </row>
    <row r="1613" spans="1:17" s="28" customFormat="1" x14ac:dyDescent="0.25">
      <c r="A1613" s="56"/>
      <c r="B1613" s="62"/>
      <c r="C1613" s="62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147"/>
      <c r="Q1613" s="164"/>
    </row>
    <row r="1614" spans="1:17" s="28" customFormat="1" x14ac:dyDescent="0.25">
      <c r="A1614" s="56"/>
      <c r="B1614" s="62"/>
      <c r="C1614" s="62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147"/>
      <c r="Q1614" s="164"/>
    </row>
    <row r="1615" spans="1:17" s="28" customFormat="1" x14ac:dyDescent="0.25">
      <c r="A1615" s="56"/>
      <c r="B1615" s="62"/>
      <c r="C1615" s="62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147"/>
      <c r="Q1615" s="164"/>
    </row>
    <row r="1616" spans="1:17" s="28" customFormat="1" x14ac:dyDescent="0.25">
      <c r="A1616" s="56"/>
      <c r="B1616" s="62"/>
      <c r="C1616" s="62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147"/>
      <c r="Q1616" s="164"/>
    </row>
    <row r="1617" spans="1:17" s="28" customFormat="1" x14ac:dyDescent="0.25">
      <c r="A1617" s="56"/>
      <c r="B1617" s="62"/>
      <c r="C1617" s="62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147"/>
      <c r="Q1617" s="164"/>
    </row>
    <row r="1618" spans="1:17" s="28" customFormat="1" x14ac:dyDescent="0.25">
      <c r="A1618" s="56"/>
      <c r="B1618" s="62"/>
      <c r="C1618" s="62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147"/>
      <c r="Q1618" s="164"/>
    </row>
    <row r="1619" spans="1:17" s="28" customFormat="1" x14ac:dyDescent="0.25">
      <c r="A1619" s="56"/>
      <c r="B1619" s="62"/>
      <c r="C1619" s="62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147"/>
      <c r="Q1619" s="164"/>
    </row>
    <row r="1620" spans="1:17" s="28" customFormat="1" x14ac:dyDescent="0.25">
      <c r="A1620" s="56"/>
      <c r="B1620" s="62"/>
      <c r="C1620" s="62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147"/>
      <c r="Q1620" s="164"/>
    </row>
    <row r="1621" spans="1:17" s="28" customFormat="1" x14ac:dyDescent="0.25">
      <c r="A1621" s="56"/>
      <c r="B1621" s="62"/>
      <c r="C1621" s="62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147"/>
      <c r="Q1621" s="164"/>
    </row>
    <row r="1622" spans="1:17" s="28" customFormat="1" x14ac:dyDescent="0.25">
      <c r="A1622" s="56"/>
      <c r="B1622" s="62"/>
      <c r="C1622" s="62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147"/>
      <c r="Q1622" s="164"/>
    </row>
    <row r="1623" spans="1:17" s="28" customFormat="1" x14ac:dyDescent="0.25">
      <c r="A1623" s="56"/>
      <c r="B1623" s="62"/>
      <c r="C1623" s="62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147"/>
      <c r="Q1623" s="164"/>
    </row>
    <row r="1624" spans="1:17" s="28" customFormat="1" x14ac:dyDescent="0.25">
      <c r="A1624" s="56"/>
      <c r="B1624" s="62"/>
      <c r="C1624" s="62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147"/>
      <c r="Q1624" s="164"/>
    </row>
    <row r="1625" spans="1:17" s="28" customFormat="1" x14ac:dyDescent="0.25">
      <c r="A1625" s="56"/>
      <c r="B1625" s="62"/>
      <c r="C1625" s="62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147"/>
      <c r="Q1625" s="164"/>
    </row>
    <row r="1626" spans="1:17" s="28" customFormat="1" x14ac:dyDescent="0.25">
      <c r="A1626" s="56"/>
      <c r="B1626" s="62"/>
      <c r="C1626" s="62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147"/>
      <c r="Q1626" s="164"/>
    </row>
    <row r="1627" spans="1:17" s="28" customFormat="1" x14ac:dyDescent="0.25">
      <c r="A1627" s="56"/>
      <c r="B1627" s="62"/>
      <c r="C1627" s="62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147"/>
      <c r="Q1627" s="164"/>
    </row>
    <row r="1628" spans="1:17" s="28" customFormat="1" x14ac:dyDescent="0.25">
      <c r="A1628" s="56"/>
      <c r="B1628" s="62"/>
      <c r="C1628" s="62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147"/>
      <c r="Q1628" s="164"/>
    </row>
    <row r="1629" spans="1:17" s="28" customFormat="1" x14ac:dyDescent="0.25">
      <c r="A1629" s="56"/>
      <c r="B1629" s="62"/>
      <c r="C1629" s="62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147"/>
      <c r="Q1629" s="164"/>
    </row>
    <row r="1630" spans="1:17" s="28" customFormat="1" x14ac:dyDescent="0.25">
      <c r="A1630" s="56"/>
      <c r="B1630" s="62"/>
      <c r="C1630" s="62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147"/>
      <c r="Q1630" s="164"/>
    </row>
    <row r="1631" spans="1:17" s="28" customFormat="1" x14ac:dyDescent="0.25">
      <c r="A1631" s="56"/>
      <c r="B1631" s="62"/>
      <c r="C1631" s="62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147"/>
      <c r="Q1631" s="164"/>
    </row>
    <row r="1632" spans="1:17" s="28" customFormat="1" x14ac:dyDescent="0.25">
      <c r="A1632" s="56"/>
      <c r="B1632" s="62"/>
      <c r="C1632" s="62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147"/>
      <c r="Q1632" s="164"/>
    </row>
    <row r="1633" spans="1:17" s="28" customFormat="1" x14ac:dyDescent="0.25">
      <c r="A1633" s="56"/>
      <c r="B1633" s="62"/>
      <c r="C1633" s="62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147"/>
      <c r="Q1633" s="164"/>
    </row>
    <row r="1634" spans="1:17" s="28" customFormat="1" x14ac:dyDescent="0.25">
      <c r="A1634" s="56"/>
      <c r="B1634" s="62"/>
      <c r="C1634" s="62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147"/>
      <c r="Q1634" s="164"/>
    </row>
    <row r="1635" spans="1:17" s="28" customFormat="1" x14ac:dyDescent="0.25">
      <c r="A1635" s="56"/>
      <c r="B1635" s="62"/>
      <c r="C1635" s="62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147"/>
      <c r="Q1635" s="164"/>
    </row>
    <row r="1636" spans="1:17" s="28" customFormat="1" x14ac:dyDescent="0.25">
      <c r="A1636" s="56"/>
      <c r="B1636" s="62"/>
      <c r="C1636" s="62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147"/>
      <c r="Q1636" s="164"/>
    </row>
    <row r="1637" spans="1:17" s="28" customFormat="1" x14ac:dyDescent="0.25">
      <c r="A1637" s="56"/>
      <c r="B1637" s="62"/>
      <c r="C1637" s="62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147"/>
      <c r="Q1637" s="164"/>
    </row>
    <row r="1638" spans="1:17" s="28" customFormat="1" x14ac:dyDescent="0.25">
      <c r="A1638" s="56"/>
      <c r="B1638" s="62"/>
      <c r="C1638" s="62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147"/>
      <c r="Q1638" s="164"/>
    </row>
    <row r="1639" spans="1:17" s="28" customFormat="1" x14ac:dyDescent="0.25">
      <c r="A1639" s="56"/>
      <c r="B1639" s="62"/>
      <c r="C1639" s="62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147"/>
      <c r="Q1639" s="164"/>
    </row>
    <row r="1640" spans="1:17" s="28" customFormat="1" x14ac:dyDescent="0.25">
      <c r="A1640" s="56"/>
      <c r="B1640" s="62"/>
      <c r="C1640" s="62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147"/>
      <c r="Q1640" s="164"/>
    </row>
    <row r="1641" spans="1:17" s="28" customFormat="1" x14ac:dyDescent="0.25">
      <c r="A1641" s="56"/>
      <c r="B1641" s="62"/>
      <c r="C1641" s="62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147"/>
      <c r="Q1641" s="164"/>
    </row>
    <row r="1642" spans="1:17" s="28" customFormat="1" x14ac:dyDescent="0.25">
      <c r="A1642" s="56"/>
      <c r="B1642" s="62"/>
      <c r="C1642" s="62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147"/>
      <c r="Q1642" s="164"/>
    </row>
    <row r="1643" spans="1:17" s="28" customFormat="1" x14ac:dyDescent="0.25">
      <c r="A1643" s="56"/>
      <c r="B1643" s="62"/>
      <c r="C1643" s="62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147"/>
      <c r="Q1643" s="164"/>
    </row>
    <row r="1644" spans="1:17" s="28" customFormat="1" x14ac:dyDescent="0.25">
      <c r="A1644" s="56"/>
      <c r="B1644" s="62"/>
      <c r="C1644" s="62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147"/>
      <c r="Q1644" s="164"/>
    </row>
    <row r="1645" spans="1:17" s="28" customFormat="1" x14ac:dyDescent="0.25">
      <c r="A1645" s="56"/>
      <c r="B1645" s="62"/>
      <c r="C1645" s="62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147"/>
      <c r="Q1645" s="164"/>
    </row>
    <row r="1646" spans="1:17" s="28" customFormat="1" x14ac:dyDescent="0.25">
      <c r="A1646" s="56"/>
      <c r="B1646" s="62"/>
      <c r="C1646" s="62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147"/>
      <c r="Q1646" s="164"/>
    </row>
    <row r="1647" spans="1:17" s="28" customFormat="1" x14ac:dyDescent="0.25">
      <c r="A1647" s="56"/>
      <c r="B1647" s="62"/>
      <c r="C1647" s="62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147"/>
      <c r="Q1647" s="164"/>
    </row>
    <row r="1648" spans="1:17" s="28" customFormat="1" x14ac:dyDescent="0.25">
      <c r="A1648" s="56"/>
      <c r="B1648" s="62"/>
      <c r="C1648" s="62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147"/>
      <c r="Q1648" s="164"/>
    </row>
    <row r="1649" spans="1:17" s="28" customFormat="1" x14ac:dyDescent="0.25">
      <c r="A1649" s="56"/>
      <c r="B1649" s="62"/>
      <c r="C1649" s="62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147"/>
      <c r="Q1649" s="164"/>
    </row>
    <row r="1650" spans="1:17" s="28" customFormat="1" x14ac:dyDescent="0.25">
      <c r="A1650" s="56"/>
      <c r="B1650" s="62"/>
      <c r="C1650" s="62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147"/>
      <c r="Q1650" s="164"/>
    </row>
    <row r="1651" spans="1:17" s="28" customFormat="1" x14ac:dyDescent="0.25">
      <c r="A1651" s="56"/>
      <c r="B1651" s="62"/>
      <c r="C1651" s="62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147"/>
      <c r="Q1651" s="164"/>
    </row>
    <row r="1652" spans="1:17" s="28" customFormat="1" x14ac:dyDescent="0.25">
      <c r="A1652" s="56"/>
      <c r="B1652" s="62"/>
      <c r="C1652" s="62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147"/>
      <c r="Q1652" s="164"/>
    </row>
    <row r="1653" spans="1:17" s="28" customFormat="1" x14ac:dyDescent="0.25">
      <c r="A1653" s="56"/>
      <c r="B1653" s="62"/>
      <c r="C1653" s="62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147"/>
      <c r="Q1653" s="164"/>
    </row>
    <row r="1654" spans="1:17" s="28" customFormat="1" x14ac:dyDescent="0.25">
      <c r="A1654" s="56"/>
      <c r="B1654" s="62"/>
      <c r="C1654" s="62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147"/>
      <c r="Q1654" s="164"/>
    </row>
    <row r="1655" spans="1:17" s="28" customFormat="1" x14ac:dyDescent="0.25">
      <c r="A1655" s="56"/>
      <c r="B1655" s="62"/>
      <c r="C1655" s="62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147"/>
      <c r="Q1655" s="164"/>
    </row>
    <row r="1656" spans="1:17" s="28" customFormat="1" x14ac:dyDescent="0.25">
      <c r="A1656" s="56"/>
      <c r="B1656" s="62"/>
      <c r="C1656" s="62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147"/>
      <c r="Q1656" s="164"/>
    </row>
    <row r="1657" spans="1:17" s="28" customFormat="1" x14ac:dyDescent="0.25">
      <c r="A1657" s="56"/>
      <c r="B1657" s="62"/>
      <c r="C1657" s="62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147"/>
      <c r="Q1657" s="164"/>
    </row>
    <row r="1658" spans="1:17" s="28" customFormat="1" x14ac:dyDescent="0.25">
      <c r="A1658" s="56"/>
      <c r="B1658" s="62"/>
      <c r="C1658" s="62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147"/>
      <c r="Q1658" s="164"/>
    </row>
    <row r="1659" spans="1:17" s="28" customFormat="1" x14ac:dyDescent="0.25">
      <c r="A1659" s="56"/>
      <c r="B1659" s="62"/>
      <c r="C1659" s="62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147"/>
      <c r="Q1659" s="164"/>
    </row>
    <row r="1660" spans="1:17" s="28" customFormat="1" x14ac:dyDescent="0.25">
      <c r="A1660" s="56"/>
      <c r="B1660" s="62"/>
      <c r="C1660" s="62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147"/>
      <c r="Q1660" s="164"/>
    </row>
    <row r="1661" spans="1:17" s="28" customFormat="1" x14ac:dyDescent="0.25">
      <c r="A1661" s="56"/>
      <c r="B1661" s="62"/>
      <c r="C1661" s="62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147"/>
      <c r="Q1661" s="164"/>
    </row>
    <row r="1662" spans="1:17" s="28" customFormat="1" x14ac:dyDescent="0.25">
      <c r="A1662" s="56"/>
      <c r="B1662" s="62"/>
      <c r="C1662" s="62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147"/>
      <c r="Q1662" s="164"/>
    </row>
    <row r="1663" spans="1:17" s="28" customFormat="1" x14ac:dyDescent="0.25">
      <c r="A1663" s="56"/>
      <c r="B1663" s="62"/>
      <c r="C1663" s="62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147"/>
      <c r="Q1663" s="164"/>
    </row>
    <row r="1664" spans="1:17" s="28" customFormat="1" x14ac:dyDescent="0.25">
      <c r="A1664" s="56"/>
      <c r="B1664" s="62"/>
      <c r="C1664" s="62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147"/>
      <c r="Q1664" s="164"/>
    </row>
    <row r="1665" spans="1:17" s="28" customFormat="1" x14ac:dyDescent="0.25">
      <c r="A1665" s="56"/>
      <c r="B1665" s="62"/>
      <c r="C1665" s="62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147"/>
      <c r="Q1665" s="164"/>
    </row>
    <row r="1666" spans="1:17" s="28" customFormat="1" x14ac:dyDescent="0.25">
      <c r="A1666" s="56"/>
      <c r="B1666" s="62"/>
      <c r="C1666" s="62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147"/>
      <c r="Q1666" s="164"/>
    </row>
    <row r="1667" spans="1:17" s="28" customFormat="1" x14ac:dyDescent="0.25">
      <c r="A1667" s="56"/>
      <c r="B1667" s="62"/>
      <c r="C1667" s="62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147"/>
      <c r="Q1667" s="164"/>
    </row>
    <row r="1668" spans="1:17" s="28" customFormat="1" x14ac:dyDescent="0.25">
      <c r="A1668" s="56"/>
      <c r="B1668" s="62"/>
      <c r="C1668" s="62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147"/>
      <c r="Q1668" s="164"/>
    </row>
    <row r="1669" spans="1:17" s="28" customFormat="1" x14ac:dyDescent="0.25">
      <c r="A1669" s="56"/>
      <c r="B1669" s="62"/>
      <c r="C1669" s="62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147"/>
      <c r="Q1669" s="164"/>
    </row>
    <row r="1670" spans="1:17" s="28" customFormat="1" x14ac:dyDescent="0.25">
      <c r="A1670" s="56"/>
      <c r="B1670" s="62"/>
      <c r="C1670" s="62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147"/>
      <c r="Q1670" s="164"/>
    </row>
    <row r="1671" spans="1:17" s="28" customFormat="1" x14ac:dyDescent="0.25">
      <c r="A1671" s="56"/>
      <c r="B1671" s="62"/>
      <c r="C1671" s="62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147"/>
      <c r="Q1671" s="164"/>
    </row>
    <row r="1672" spans="1:17" s="28" customFormat="1" x14ac:dyDescent="0.25">
      <c r="A1672" s="56"/>
      <c r="B1672" s="62"/>
      <c r="C1672" s="62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147"/>
      <c r="Q1672" s="164"/>
    </row>
    <row r="1673" spans="1:17" s="28" customFormat="1" x14ac:dyDescent="0.25">
      <c r="A1673" s="56"/>
      <c r="B1673" s="62"/>
      <c r="C1673" s="62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147"/>
      <c r="Q1673" s="164"/>
    </row>
    <row r="1674" spans="1:17" s="28" customFormat="1" x14ac:dyDescent="0.25">
      <c r="A1674" s="56"/>
      <c r="B1674" s="62"/>
      <c r="C1674" s="62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147"/>
      <c r="Q1674" s="164"/>
    </row>
    <row r="1675" spans="1:17" s="28" customFormat="1" x14ac:dyDescent="0.25">
      <c r="A1675" s="56"/>
      <c r="B1675" s="62"/>
      <c r="C1675" s="62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147"/>
      <c r="Q1675" s="164"/>
    </row>
    <row r="1676" spans="1:17" s="28" customFormat="1" x14ac:dyDescent="0.25">
      <c r="A1676" s="56"/>
      <c r="B1676" s="62"/>
      <c r="C1676" s="62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147"/>
      <c r="Q1676" s="164"/>
    </row>
    <row r="1677" spans="1:17" s="28" customFormat="1" x14ac:dyDescent="0.25">
      <c r="A1677" s="56"/>
      <c r="B1677" s="62"/>
      <c r="C1677" s="62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147"/>
      <c r="Q1677" s="164"/>
    </row>
    <row r="1678" spans="1:17" s="28" customFormat="1" x14ac:dyDescent="0.25">
      <c r="A1678" s="56"/>
      <c r="B1678" s="62"/>
      <c r="C1678" s="62"/>
      <c r="D1678" s="35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147"/>
      <c r="Q1678" s="164"/>
    </row>
    <row r="1679" spans="1:17" s="28" customFormat="1" x14ac:dyDescent="0.25">
      <c r="A1679" s="56"/>
      <c r="B1679" s="62"/>
      <c r="C1679" s="62"/>
      <c r="D1679" s="35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147"/>
      <c r="Q1679" s="164"/>
    </row>
    <row r="1680" spans="1:17" s="28" customFormat="1" x14ac:dyDescent="0.25">
      <c r="A1680" s="56"/>
      <c r="B1680" s="62"/>
      <c r="C1680" s="62"/>
      <c r="D1680" s="35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147"/>
      <c r="Q1680" s="164"/>
    </row>
    <row r="1681" spans="1:17" s="28" customFormat="1" x14ac:dyDescent="0.25">
      <c r="A1681" s="56"/>
      <c r="B1681" s="62"/>
      <c r="C1681" s="62"/>
      <c r="D1681" s="35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147"/>
      <c r="Q1681" s="164"/>
    </row>
    <row r="1682" spans="1:17" s="28" customFormat="1" x14ac:dyDescent="0.25">
      <c r="A1682" s="56"/>
      <c r="B1682" s="62"/>
      <c r="C1682" s="62"/>
      <c r="D1682" s="35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147"/>
      <c r="Q1682" s="164"/>
    </row>
    <row r="1683" spans="1:17" s="28" customFormat="1" x14ac:dyDescent="0.25">
      <c r="A1683" s="56"/>
      <c r="B1683" s="62"/>
      <c r="C1683" s="62"/>
      <c r="D1683" s="35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147"/>
      <c r="Q1683" s="164"/>
    </row>
    <row r="1684" spans="1:17" s="28" customFormat="1" x14ac:dyDescent="0.25">
      <c r="A1684" s="56"/>
      <c r="B1684" s="62"/>
      <c r="C1684" s="62"/>
      <c r="D1684" s="35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147"/>
      <c r="Q1684" s="164"/>
    </row>
    <row r="1685" spans="1:17" s="28" customFormat="1" x14ac:dyDescent="0.25">
      <c r="A1685" s="56"/>
      <c r="B1685" s="62"/>
      <c r="C1685" s="62"/>
      <c r="D1685" s="35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147"/>
      <c r="Q1685" s="164"/>
    </row>
    <row r="1686" spans="1:17" s="28" customFormat="1" x14ac:dyDescent="0.25">
      <c r="A1686" s="56"/>
      <c r="B1686" s="62"/>
      <c r="C1686" s="62"/>
      <c r="D1686" s="35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147"/>
      <c r="Q1686" s="164"/>
    </row>
    <row r="1687" spans="1:17" s="28" customFormat="1" x14ac:dyDescent="0.25">
      <c r="A1687" s="56"/>
      <c r="B1687" s="62"/>
      <c r="C1687" s="62"/>
      <c r="D1687" s="35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147"/>
      <c r="Q1687" s="164"/>
    </row>
    <row r="1688" spans="1:17" s="28" customFormat="1" x14ac:dyDescent="0.25">
      <c r="A1688" s="56"/>
      <c r="B1688" s="62"/>
      <c r="C1688" s="62"/>
      <c r="D1688" s="35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147"/>
      <c r="Q1688" s="164"/>
    </row>
    <row r="1689" spans="1:17" s="28" customFormat="1" x14ac:dyDescent="0.25">
      <c r="A1689" s="56"/>
      <c r="B1689" s="62"/>
      <c r="C1689" s="62"/>
      <c r="D1689" s="35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147"/>
      <c r="Q1689" s="164"/>
    </row>
    <row r="1690" spans="1:17" s="28" customFormat="1" x14ac:dyDescent="0.25">
      <c r="A1690" s="56"/>
      <c r="B1690" s="62"/>
      <c r="C1690" s="62"/>
      <c r="D1690" s="35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147"/>
      <c r="Q1690" s="164"/>
    </row>
    <row r="1691" spans="1:17" s="28" customFormat="1" x14ac:dyDescent="0.25">
      <c r="A1691" s="56"/>
      <c r="B1691" s="62"/>
      <c r="C1691" s="62"/>
      <c r="D1691" s="35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147"/>
      <c r="Q1691" s="164"/>
    </row>
  </sheetData>
  <mergeCells count="36">
    <mergeCell ref="Q237:Q264"/>
    <mergeCell ref="Q265:Q294"/>
    <mergeCell ref="Q295:Q319"/>
    <mergeCell ref="Q144:Q160"/>
    <mergeCell ref="Q161:Q178"/>
    <mergeCell ref="Q179:Q186"/>
    <mergeCell ref="Q187:Q201"/>
    <mergeCell ref="Q202:Q234"/>
    <mergeCell ref="Q1:Q35"/>
    <mergeCell ref="Q36:Q62"/>
    <mergeCell ref="Q63:Q86"/>
    <mergeCell ref="Q87:Q106"/>
    <mergeCell ref="Q107:Q142"/>
    <mergeCell ref="M15:N15"/>
    <mergeCell ref="O15:O16"/>
    <mergeCell ref="K3:P3"/>
    <mergeCell ref="K4:P4"/>
    <mergeCell ref="K5:P5"/>
    <mergeCell ref="K6:P6"/>
    <mergeCell ref="K8:P8"/>
    <mergeCell ref="A317:D317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F15:F16"/>
    <mergeCell ref="E14:I14"/>
    <mergeCell ref="L15:L16"/>
  </mergeCells>
  <phoneticPr fontId="3" type="noConversion"/>
  <printOptions horizontalCentered="1"/>
  <pageMargins left="0.19685039370078741" right="0" top="0.78740157480314965" bottom="0.59055118110236227" header="0.39370078740157483" footer="0.31496062992125984"/>
  <pageSetup paperSize="9" scale="43" fitToHeight="100" orientation="landscape" useFirstPageNumber="1" r:id="rId1"/>
  <headerFooter scaleWithDoc="0" alignWithMargins="0">
    <oddHeader xml:space="preserve">&amp;RПродовження додатку
</oddHeader>
  </headerFooter>
  <rowBreaks count="3" manualBreakCount="3">
    <brk id="34" max="16" man="1"/>
    <brk id="61" max="16" man="1"/>
    <brk id="30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S258"/>
  <sheetViews>
    <sheetView showGridLines="0" showZeros="0" tabSelected="1" view="pageBreakPreview" topLeftCell="A204" zoomScale="55" zoomScaleNormal="87" zoomScaleSheetLayoutView="55" workbookViewId="0">
      <selection activeCell="C212" sqref="C212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.1640625" style="4" customWidth="1"/>
    <col min="5" max="5" width="23.83203125" style="4" customWidth="1"/>
    <col min="6" max="6" width="22.33203125" style="4" customWidth="1"/>
    <col min="7" max="7" width="20.1640625" style="4" customWidth="1"/>
    <col min="8" max="8" width="19.6640625" style="4" customWidth="1"/>
    <col min="9" max="9" width="21.33203125" style="4" bestFit="1" customWidth="1"/>
    <col min="10" max="10" width="21.1640625" style="4" customWidth="1"/>
    <col min="11" max="11" width="19.83203125" style="4" customWidth="1"/>
    <col min="12" max="12" width="18" style="4" customWidth="1"/>
    <col min="13" max="13" width="14.83203125" style="4" customWidth="1"/>
    <col min="14" max="14" width="21.5" style="4" customWidth="1"/>
    <col min="15" max="15" width="22.83203125" style="4" customWidth="1"/>
    <col min="16" max="16" width="10.6640625" style="165" bestFit="1" customWidth="1"/>
    <col min="17" max="16384" width="9.1640625" style="4"/>
  </cols>
  <sheetData>
    <row r="1" spans="1:16" ht="27.75" customHeight="1" x14ac:dyDescent="0.4">
      <c r="J1" s="193" t="s">
        <v>614</v>
      </c>
      <c r="K1" s="193"/>
      <c r="L1" s="193"/>
      <c r="M1" s="193"/>
      <c r="N1" s="193"/>
      <c r="O1" s="193"/>
    </row>
    <row r="2" spans="1:16" ht="24" customHeight="1" x14ac:dyDescent="0.25">
      <c r="J2" s="96" t="s">
        <v>600</v>
      </c>
      <c r="K2" s="96"/>
      <c r="L2" s="96"/>
      <c r="M2" s="96"/>
      <c r="N2" s="96"/>
      <c r="O2" s="96"/>
    </row>
    <row r="3" spans="1:16" ht="26.25" customHeight="1" x14ac:dyDescent="0.4">
      <c r="J3" s="186" t="s">
        <v>599</v>
      </c>
      <c r="K3" s="186"/>
      <c r="L3" s="186"/>
      <c r="M3" s="186"/>
      <c r="N3" s="186"/>
      <c r="O3" s="186"/>
    </row>
    <row r="4" spans="1:16" ht="26.25" customHeight="1" x14ac:dyDescent="0.4">
      <c r="J4" s="186" t="s">
        <v>593</v>
      </c>
      <c r="K4" s="186"/>
      <c r="L4" s="186"/>
      <c r="M4" s="186"/>
      <c r="N4" s="186"/>
      <c r="O4" s="186"/>
    </row>
    <row r="5" spans="1:16" ht="29.25" customHeight="1" x14ac:dyDescent="0.4">
      <c r="J5" s="186" t="s">
        <v>601</v>
      </c>
      <c r="K5" s="186"/>
      <c r="L5" s="186"/>
      <c r="M5" s="186"/>
      <c r="N5" s="186"/>
      <c r="O5" s="186"/>
    </row>
    <row r="6" spans="1:16" ht="29.25" customHeight="1" x14ac:dyDescent="0.4">
      <c r="J6" s="186" t="s">
        <v>602</v>
      </c>
      <c r="K6" s="186"/>
      <c r="L6" s="186"/>
      <c r="M6" s="186"/>
      <c r="N6" s="186"/>
      <c r="O6" s="186"/>
    </row>
    <row r="7" spans="1:16" ht="29.25" customHeight="1" x14ac:dyDescent="0.4">
      <c r="J7" s="132" t="s">
        <v>548</v>
      </c>
      <c r="K7" s="132"/>
      <c r="L7" s="132"/>
      <c r="M7" s="132"/>
      <c r="N7" s="132"/>
      <c r="O7" s="132"/>
    </row>
    <row r="8" spans="1:16" ht="29.25" customHeight="1" x14ac:dyDescent="0.4">
      <c r="J8" s="186" t="s">
        <v>611</v>
      </c>
      <c r="K8" s="186"/>
      <c r="L8" s="186"/>
      <c r="M8" s="186"/>
      <c r="N8" s="186"/>
      <c r="O8" s="186"/>
    </row>
    <row r="9" spans="1:16" ht="29.25" customHeight="1" x14ac:dyDescent="0.25">
      <c r="J9" s="96"/>
      <c r="K9" s="96"/>
      <c r="L9" s="96"/>
      <c r="M9" s="96"/>
      <c r="N9" s="96"/>
      <c r="O9" s="96"/>
    </row>
    <row r="10" spans="1:16" ht="105.75" customHeight="1" x14ac:dyDescent="0.25">
      <c r="A10" s="194" t="s">
        <v>453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</row>
    <row r="11" spans="1:16" ht="23.25" customHeight="1" x14ac:dyDescent="0.25">
      <c r="A11" s="65"/>
      <c r="B11" s="65"/>
      <c r="C11" s="58"/>
      <c r="D11" s="58"/>
      <c r="E11" s="58"/>
      <c r="F11" s="124" t="s">
        <v>528</v>
      </c>
      <c r="G11" s="58"/>
      <c r="H11" s="58"/>
      <c r="I11" s="58"/>
      <c r="J11" s="58"/>
      <c r="K11" s="58"/>
      <c r="L11" s="58"/>
      <c r="M11" s="58"/>
      <c r="N11" s="58"/>
      <c r="O11" s="58"/>
    </row>
    <row r="12" spans="1:16" ht="21" customHeight="1" x14ac:dyDescent="0.25">
      <c r="A12" s="66"/>
      <c r="B12" s="66"/>
      <c r="C12" s="58"/>
      <c r="D12" s="58"/>
      <c r="E12" s="58"/>
      <c r="F12" s="66" t="s">
        <v>529</v>
      </c>
      <c r="G12" s="58"/>
      <c r="H12" s="58"/>
      <c r="I12" s="58"/>
      <c r="J12" s="58"/>
      <c r="K12" s="58"/>
      <c r="L12" s="58"/>
      <c r="M12" s="58"/>
      <c r="N12" s="58"/>
      <c r="O12" s="58"/>
    </row>
    <row r="13" spans="1:16" ht="21" customHeight="1" x14ac:dyDescent="0.25">
      <c r="A13" s="66"/>
      <c r="B13" s="66"/>
      <c r="C13" s="58"/>
      <c r="D13" s="58"/>
      <c r="E13" s="58"/>
      <c r="F13" s="66"/>
      <c r="G13" s="58"/>
      <c r="H13" s="58"/>
      <c r="I13" s="58"/>
      <c r="J13" s="58"/>
      <c r="K13" s="58"/>
      <c r="L13" s="58"/>
      <c r="M13" s="58"/>
      <c r="N13" s="58"/>
      <c r="O13" s="58"/>
    </row>
    <row r="14" spans="1:16" s="17" customFormat="1" ht="20.25" customHeight="1" x14ac:dyDescent="0.3">
      <c r="A14" s="14"/>
      <c r="B14" s="15"/>
      <c r="C14" s="16"/>
      <c r="O14" s="133" t="s">
        <v>360</v>
      </c>
      <c r="P14" s="165"/>
    </row>
    <row r="15" spans="1:16" s="52" customFormat="1" ht="21.75" customHeight="1" x14ac:dyDescent="0.25">
      <c r="A15" s="185" t="s">
        <v>339</v>
      </c>
      <c r="B15" s="185" t="s">
        <v>329</v>
      </c>
      <c r="C15" s="185" t="s">
        <v>341</v>
      </c>
      <c r="D15" s="184" t="s">
        <v>226</v>
      </c>
      <c r="E15" s="184"/>
      <c r="F15" s="184"/>
      <c r="G15" s="184"/>
      <c r="H15" s="184"/>
      <c r="I15" s="184" t="s">
        <v>227</v>
      </c>
      <c r="J15" s="184"/>
      <c r="K15" s="184"/>
      <c r="L15" s="184"/>
      <c r="M15" s="184"/>
      <c r="N15" s="184"/>
      <c r="O15" s="184" t="s">
        <v>228</v>
      </c>
      <c r="P15" s="165"/>
    </row>
    <row r="16" spans="1:16" s="52" customFormat="1" ht="29.25" customHeight="1" x14ac:dyDescent="0.25">
      <c r="A16" s="185"/>
      <c r="B16" s="185"/>
      <c r="C16" s="185"/>
      <c r="D16" s="182" t="s">
        <v>330</v>
      </c>
      <c r="E16" s="182" t="s">
        <v>229</v>
      </c>
      <c r="F16" s="183" t="s">
        <v>230</v>
      </c>
      <c r="G16" s="183"/>
      <c r="H16" s="182" t="s">
        <v>231</v>
      </c>
      <c r="I16" s="182" t="s">
        <v>330</v>
      </c>
      <c r="J16" s="182" t="s">
        <v>331</v>
      </c>
      <c r="K16" s="182" t="s">
        <v>229</v>
      </c>
      <c r="L16" s="183" t="s">
        <v>230</v>
      </c>
      <c r="M16" s="183"/>
      <c r="N16" s="182" t="s">
        <v>231</v>
      </c>
      <c r="O16" s="184"/>
      <c r="P16" s="165"/>
    </row>
    <row r="17" spans="1:16" s="52" customFormat="1" ht="60.75" customHeight="1" x14ac:dyDescent="0.25">
      <c r="A17" s="185"/>
      <c r="B17" s="185"/>
      <c r="C17" s="185"/>
      <c r="D17" s="182"/>
      <c r="E17" s="182"/>
      <c r="F17" s="131" t="s">
        <v>232</v>
      </c>
      <c r="G17" s="131" t="s">
        <v>233</v>
      </c>
      <c r="H17" s="182"/>
      <c r="I17" s="182"/>
      <c r="J17" s="182"/>
      <c r="K17" s="182"/>
      <c r="L17" s="131" t="s">
        <v>232</v>
      </c>
      <c r="M17" s="131" t="s">
        <v>233</v>
      </c>
      <c r="N17" s="182"/>
      <c r="O17" s="184"/>
      <c r="P17" s="165"/>
    </row>
    <row r="18" spans="1:16" s="52" customFormat="1" ht="36.75" customHeight="1" x14ac:dyDescent="0.25">
      <c r="A18" s="7" t="s">
        <v>44</v>
      </c>
      <c r="B18" s="8"/>
      <c r="C18" s="9" t="s">
        <v>45</v>
      </c>
      <c r="D18" s="48">
        <f>D20+D21+D22+D23</f>
        <v>261244473</v>
      </c>
      <c r="E18" s="48">
        <f t="shared" ref="E18:O18" si="0">E20+E21+E22+E23</f>
        <v>261244473</v>
      </c>
      <c r="F18" s="48">
        <f>F20+F21+F22+F23</f>
        <v>196459700</v>
      </c>
      <c r="G18" s="48">
        <f t="shared" si="0"/>
        <v>5172383</v>
      </c>
      <c r="H18" s="48">
        <f t="shared" si="0"/>
        <v>0</v>
      </c>
      <c r="I18" s="48">
        <f t="shared" si="0"/>
        <v>2568000</v>
      </c>
      <c r="J18" s="48">
        <f t="shared" si="0"/>
        <v>668000</v>
      </c>
      <c r="K18" s="48">
        <f t="shared" si="0"/>
        <v>1900000</v>
      </c>
      <c r="L18" s="48">
        <f t="shared" si="0"/>
        <v>1332000</v>
      </c>
      <c r="M18" s="48">
        <f t="shared" si="0"/>
        <v>71500</v>
      </c>
      <c r="N18" s="48">
        <f t="shared" si="0"/>
        <v>668000</v>
      </c>
      <c r="O18" s="48">
        <f t="shared" si="0"/>
        <v>263812473</v>
      </c>
      <c r="P18" s="165">
        <v>91</v>
      </c>
    </row>
    <row r="19" spans="1:16" s="52" customFormat="1" ht="61.5" hidden="1" customHeight="1" x14ac:dyDescent="0.25">
      <c r="A19" s="7"/>
      <c r="B19" s="8"/>
      <c r="C19" s="9" t="s">
        <v>442</v>
      </c>
      <c r="D19" s="48">
        <f>D24</f>
        <v>0</v>
      </c>
      <c r="E19" s="48">
        <f t="shared" ref="E19:O19" si="1">E24</f>
        <v>0</v>
      </c>
      <c r="F19" s="48">
        <f t="shared" si="1"/>
        <v>0</v>
      </c>
      <c r="G19" s="48">
        <f t="shared" si="1"/>
        <v>0</v>
      </c>
      <c r="H19" s="48">
        <f t="shared" si="1"/>
        <v>0</v>
      </c>
      <c r="I19" s="48">
        <f t="shared" si="1"/>
        <v>0</v>
      </c>
      <c r="J19" s="48">
        <f t="shared" si="1"/>
        <v>0</v>
      </c>
      <c r="K19" s="48">
        <f t="shared" si="1"/>
        <v>0</v>
      </c>
      <c r="L19" s="48">
        <f t="shared" si="1"/>
        <v>0</v>
      </c>
      <c r="M19" s="48">
        <f t="shared" si="1"/>
        <v>0</v>
      </c>
      <c r="N19" s="48">
        <f t="shared" si="1"/>
        <v>0</v>
      </c>
      <c r="O19" s="48">
        <f t="shared" si="1"/>
        <v>0</v>
      </c>
      <c r="P19" s="165"/>
    </row>
    <row r="20" spans="1:16" ht="37.5" customHeight="1" x14ac:dyDescent="0.25">
      <c r="A20" s="37" t="s">
        <v>121</v>
      </c>
      <c r="B20" s="37" t="s">
        <v>47</v>
      </c>
      <c r="C20" s="6" t="s">
        <v>503</v>
      </c>
      <c r="D20" s="49">
        <f>'дод 2'!E21+'дод 2'!E76+'дод 2'!E130+'дод 2'!E162+'дод 2'!E199+'дод 2'!E206+'дод 2'!E222+'дод 2'!E254+'дод 2'!E258+'дод 2'!E277+'дод 2'!E284+'дод 2'!E287+'дод 2'!E298+'дод 2'!E295</f>
        <v>259608973</v>
      </c>
      <c r="E20" s="49">
        <f>'дод 2'!F21+'дод 2'!F76+'дод 2'!F130+'дод 2'!F162+'дод 2'!F199+'дод 2'!F206+'дод 2'!F222+'дод 2'!F254+'дод 2'!F258+'дод 2'!F277+'дод 2'!F284+'дод 2'!F287+'дод 2'!F298+'дод 2'!F295</f>
        <v>259608973</v>
      </c>
      <c r="F20" s="49">
        <f>'дод 2'!G21+'дод 2'!G76+'дод 2'!G130+'дод 2'!G162+'дод 2'!G199+'дод 2'!G206+'дод 2'!G222+'дод 2'!G254+'дод 2'!G258+'дод 2'!G277+'дод 2'!G284+'дод 2'!G287+'дод 2'!G298+'дод 2'!G295</f>
        <v>196459700</v>
      </c>
      <c r="G20" s="49">
        <f>'дод 2'!H21+'дод 2'!H76+'дод 2'!H130+'дод 2'!H162+'дод 2'!H199+'дод 2'!H206+'дод 2'!H222+'дод 2'!H254+'дод 2'!H258+'дод 2'!H277+'дод 2'!H284+'дод 2'!H287+'дод 2'!H298+'дод 2'!H295</f>
        <v>5172383</v>
      </c>
      <c r="H20" s="49">
        <f>'дод 2'!I21+'дод 2'!I76+'дод 2'!I130+'дод 2'!I162+'дод 2'!I199+'дод 2'!I206+'дод 2'!I222+'дод 2'!I254+'дод 2'!I258+'дод 2'!I277+'дод 2'!I284+'дод 2'!I287+'дод 2'!I298+'дод 2'!I295</f>
        <v>0</v>
      </c>
      <c r="I20" s="49">
        <f>'дод 2'!J21+'дод 2'!J76+'дод 2'!J130+'дод 2'!J162+'дод 2'!J199+'дод 2'!J206+'дод 2'!J222+'дод 2'!J254+'дод 2'!J258+'дод 2'!J277+'дод 2'!J284+'дод 2'!J287+'дод 2'!J298+'дод 2'!J295</f>
        <v>2568000</v>
      </c>
      <c r="J20" s="49">
        <f>'дод 2'!K21+'дод 2'!K76+'дод 2'!K130+'дод 2'!K162+'дод 2'!K199+'дод 2'!K206+'дод 2'!K222+'дод 2'!K254+'дод 2'!K258+'дод 2'!K277+'дод 2'!K284+'дод 2'!K287+'дод 2'!K298+'дод 2'!K295</f>
        <v>668000</v>
      </c>
      <c r="K20" s="49">
        <f>'дод 2'!L21+'дод 2'!L76+'дод 2'!L130+'дод 2'!L162+'дод 2'!L199+'дод 2'!L206+'дод 2'!L222+'дод 2'!L254+'дод 2'!L258+'дод 2'!L277+'дод 2'!L284+'дод 2'!L287+'дод 2'!L298+'дод 2'!L295</f>
        <v>1900000</v>
      </c>
      <c r="L20" s="49">
        <f>'дод 2'!M21+'дод 2'!M76+'дод 2'!M130+'дод 2'!M162+'дод 2'!M199+'дод 2'!M206+'дод 2'!M222+'дод 2'!M254+'дод 2'!M258+'дод 2'!M277+'дод 2'!M284+'дод 2'!M287+'дод 2'!M298+'дод 2'!M295</f>
        <v>1332000</v>
      </c>
      <c r="M20" s="49">
        <f>'дод 2'!N21+'дод 2'!N76+'дод 2'!N130+'дод 2'!N162+'дод 2'!N199+'дод 2'!N206+'дод 2'!N222+'дод 2'!N254+'дод 2'!N258+'дод 2'!N277+'дод 2'!N284+'дод 2'!N287+'дод 2'!N298+'дод 2'!N295</f>
        <v>71500</v>
      </c>
      <c r="N20" s="49">
        <f>'дод 2'!O21+'дод 2'!O76+'дод 2'!O130+'дод 2'!O162+'дод 2'!O199+'дод 2'!O206+'дод 2'!O222+'дод 2'!O254+'дод 2'!O258+'дод 2'!O277+'дод 2'!O284+'дод 2'!O287+'дод 2'!O298+'дод 2'!O295</f>
        <v>668000</v>
      </c>
      <c r="O20" s="49">
        <f>'дод 2'!P21+'дод 2'!P76+'дод 2'!P130+'дод 2'!P162+'дод 2'!P199+'дод 2'!P206+'дод 2'!P222+'дод 2'!P254+'дод 2'!P258+'дод 2'!P277+'дод 2'!P284+'дод 2'!P287+'дод 2'!P298+'дод 2'!P295</f>
        <v>262176973</v>
      </c>
    </row>
    <row r="21" spans="1:16" ht="33" customHeight="1" x14ac:dyDescent="0.25">
      <c r="A21" s="59" t="s">
        <v>92</v>
      </c>
      <c r="B21" s="59" t="s">
        <v>465</v>
      </c>
      <c r="C21" s="6" t="s">
        <v>456</v>
      </c>
      <c r="D21" s="49">
        <f>'дод 2'!E22</f>
        <v>200000</v>
      </c>
      <c r="E21" s="49">
        <f>'дод 2'!F22</f>
        <v>200000</v>
      </c>
      <c r="F21" s="49">
        <f>'дод 2'!G22</f>
        <v>0</v>
      </c>
      <c r="G21" s="49">
        <f>'дод 2'!H22</f>
        <v>0</v>
      </c>
      <c r="H21" s="49">
        <f>'дод 2'!I22</f>
        <v>0</v>
      </c>
      <c r="I21" s="49">
        <f>'дод 2'!J22</f>
        <v>0</v>
      </c>
      <c r="J21" s="49">
        <f>'дод 2'!K22</f>
        <v>0</v>
      </c>
      <c r="K21" s="49">
        <f>'дод 2'!L22</f>
        <v>0</v>
      </c>
      <c r="L21" s="49">
        <f>'дод 2'!M22</f>
        <v>0</v>
      </c>
      <c r="M21" s="49">
        <f>'дод 2'!N22</f>
        <v>0</v>
      </c>
      <c r="N21" s="49">
        <f>'дод 2'!O22</f>
        <v>0</v>
      </c>
      <c r="O21" s="49">
        <f>'дод 2'!P22</f>
        <v>200000</v>
      </c>
    </row>
    <row r="22" spans="1:16" ht="22.5" customHeight="1" x14ac:dyDescent="0.25">
      <c r="A22" s="37" t="s">
        <v>46</v>
      </c>
      <c r="B22" s="37" t="s">
        <v>95</v>
      </c>
      <c r="C22" s="6" t="s">
        <v>244</v>
      </c>
      <c r="D22" s="49">
        <f>'дод 2'!E23+'дод 2'!E163+'дод 2'!E223</f>
        <v>1435500</v>
      </c>
      <c r="E22" s="49">
        <f>'дод 2'!F23+'дод 2'!F163+'дод 2'!F223</f>
        <v>1435500</v>
      </c>
      <c r="F22" s="49">
        <f>'дод 2'!G23+'дод 2'!G163+'дод 2'!G223</f>
        <v>0</v>
      </c>
      <c r="G22" s="49">
        <f>'дод 2'!H23+'дод 2'!H163+'дод 2'!H223</f>
        <v>0</v>
      </c>
      <c r="H22" s="49">
        <f>'дод 2'!I23+'дод 2'!I163+'дод 2'!I223</f>
        <v>0</v>
      </c>
      <c r="I22" s="49">
        <f>'дод 2'!J23+'дод 2'!J163+'дод 2'!J223</f>
        <v>0</v>
      </c>
      <c r="J22" s="49">
        <f>'дод 2'!K23+'дод 2'!K163+'дод 2'!K223</f>
        <v>0</v>
      </c>
      <c r="K22" s="49">
        <f>'дод 2'!L23+'дод 2'!L163+'дод 2'!L223</f>
        <v>0</v>
      </c>
      <c r="L22" s="49">
        <f>'дод 2'!M23+'дод 2'!M163+'дод 2'!M223</f>
        <v>0</v>
      </c>
      <c r="M22" s="49">
        <f>'дод 2'!N23+'дод 2'!N163+'дод 2'!N223</f>
        <v>0</v>
      </c>
      <c r="N22" s="49">
        <f>'дод 2'!O23+'дод 2'!O163+'дод 2'!O223</f>
        <v>0</v>
      </c>
      <c r="O22" s="49">
        <f>'дод 2'!P23+'дод 2'!P163+'дод 2'!P223</f>
        <v>1435500</v>
      </c>
    </row>
    <row r="23" spans="1:16" ht="27" hidden="1" customHeight="1" x14ac:dyDescent="0.25">
      <c r="A23" s="59" t="s">
        <v>438</v>
      </c>
      <c r="B23" s="59" t="s">
        <v>121</v>
      </c>
      <c r="C23" s="6" t="s">
        <v>439</v>
      </c>
      <c r="D23" s="49">
        <f>'дод 2'!E24</f>
        <v>0</v>
      </c>
      <c r="E23" s="49">
        <f>'дод 2'!F24</f>
        <v>0</v>
      </c>
      <c r="F23" s="49">
        <f>'дод 2'!G24</f>
        <v>0</v>
      </c>
      <c r="G23" s="49">
        <f>'дод 2'!H24</f>
        <v>0</v>
      </c>
      <c r="H23" s="49">
        <f>'дод 2'!I24</f>
        <v>0</v>
      </c>
      <c r="I23" s="49">
        <f>'дод 2'!J24</f>
        <v>0</v>
      </c>
      <c r="J23" s="49">
        <f>'дод 2'!K24</f>
        <v>0</v>
      </c>
      <c r="K23" s="49">
        <f>'дод 2'!L24</f>
        <v>0</v>
      </c>
      <c r="L23" s="49">
        <f>'дод 2'!M24</f>
        <v>0</v>
      </c>
      <c r="M23" s="49">
        <f>'дод 2'!N24</f>
        <v>0</v>
      </c>
      <c r="N23" s="49">
        <f>'дод 2'!O24</f>
        <v>0</v>
      </c>
      <c r="O23" s="49">
        <f>'дод 2'!P24</f>
        <v>0</v>
      </c>
    </row>
    <row r="24" spans="1:16" s="54" customFormat="1" ht="63" hidden="1" customHeight="1" x14ac:dyDescent="0.25">
      <c r="A24" s="82"/>
      <c r="B24" s="92"/>
      <c r="C24" s="83" t="s">
        <v>442</v>
      </c>
      <c r="D24" s="84">
        <f>'дод 2'!E25</f>
        <v>0</v>
      </c>
      <c r="E24" s="84">
        <f>'дод 2'!F25</f>
        <v>0</v>
      </c>
      <c r="F24" s="84">
        <f>'дод 2'!G25</f>
        <v>0</v>
      </c>
      <c r="G24" s="84">
        <f>'дод 2'!H25</f>
        <v>0</v>
      </c>
      <c r="H24" s="84">
        <f>'дод 2'!I25</f>
        <v>0</v>
      </c>
      <c r="I24" s="84">
        <f>'дод 2'!J25</f>
        <v>0</v>
      </c>
      <c r="J24" s="84">
        <f>'дод 2'!K25</f>
        <v>0</v>
      </c>
      <c r="K24" s="84">
        <f>'дод 2'!L25</f>
        <v>0</v>
      </c>
      <c r="L24" s="84">
        <f>'дод 2'!M25</f>
        <v>0</v>
      </c>
      <c r="M24" s="84">
        <f>'дод 2'!N25</f>
        <v>0</v>
      </c>
      <c r="N24" s="84">
        <f>'дод 2'!O25</f>
        <v>0</v>
      </c>
      <c r="O24" s="84">
        <f>'дод 2'!P25</f>
        <v>0</v>
      </c>
      <c r="P24" s="165"/>
    </row>
    <row r="25" spans="1:16" s="52" customFormat="1" ht="18.75" customHeight="1" x14ac:dyDescent="0.25">
      <c r="A25" s="38" t="s">
        <v>48</v>
      </c>
      <c r="B25" s="39"/>
      <c r="C25" s="9" t="s">
        <v>405</v>
      </c>
      <c r="D25" s="48">
        <f>D36+D38+D45+D47+D50+D52+D55+D57+D58+D59+D60+D61+D62+D64+D65+D66+D68+D69+D71+D73</f>
        <v>1122701685.23</v>
      </c>
      <c r="E25" s="48">
        <f t="shared" ref="E25:O25" si="2">E36+E38+E45+E47+E50+E52+E55+E57+E58+E59+E60+E61+E62+E64+E65+E66+E68+E69+E71+E73</f>
        <v>1122701685.23</v>
      </c>
      <c r="F25" s="48">
        <f t="shared" si="2"/>
        <v>810172830</v>
      </c>
      <c r="G25" s="48">
        <f t="shared" si="2"/>
        <v>62483910</v>
      </c>
      <c r="H25" s="48">
        <f t="shared" si="2"/>
        <v>0</v>
      </c>
      <c r="I25" s="48">
        <f t="shared" si="2"/>
        <v>53745664.18</v>
      </c>
      <c r="J25" s="48">
        <f t="shared" si="2"/>
        <v>14126064.18</v>
      </c>
      <c r="K25" s="48">
        <f t="shared" si="2"/>
        <v>39616470</v>
      </c>
      <c r="L25" s="48">
        <f t="shared" si="2"/>
        <v>4494964</v>
      </c>
      <c r="M25" s="48">
        <f t="shared" si="2"/>
        <v>139890</v>
      </c>
      <c r="N25" s="48">
        <f t="shared" si="2"/>
        <v>14129194.18</v>
      </c>
      <c r="O25" s="48">
        <f t="shared" si="2"/>
        <v>1176447349.4099998</v>
      </c>
      <c r="P25" s="165"/>
    </row>
    <row r="26" spans="1:16" s="53" customFormat="1" ht="31.5" x14ac:dyDescent="0.25">
      <c r="A26" s="75"/>
      <c r="B26" s="78"/>
      <c r="C26" s="79" t="s">
        <v>391</v>
      </c>
      <c r="D26" s="80">
        <f>D48+D51</f>
        <v>482448000</v>
      </c>
      <c r="E26" s="80">
        <f t="shared" ref="E26:O26" si="3">E48+E51</f>
        <v>482448000</v>
      </c>
      <c r="F26" s="80">
        <f t="shared" si="3"/>
        <v>396066000</v>
      </c>
      <c r="G26" s="80">
        <f t="shared" si="3"/>
        <v>0</v>
      </c>
      <c r="H26" s="80">
        <f t="shared" si="3"/>
        <v>0</v>
      </c>
      <c r="I26" s="80">
        <f t="shared" si="3"/>
        <v>0</v>
      </c>
      <c r="J26" s="80">
        <f t="shared" si="3"/>
        <v>0</v>
      </c>
      <c r="K26" s="80">
        <f t="shared" si="3"/>
        <v>0</v>
      </c>
      <c r="L26" s="80">
        <f t="shared" si="3"/>
        <v>0</v>
      </c>
      <c r="M26" s="80">
        <f t="shared" si="3"/>
        <v>0</v>
      </c>
      <c r="N26" s="80">
        <f t="shared" si="3"/>
        <v>0</v>
      </c>
      <c r="O26" s="80">
        <f t="shared" si="3"/>
        <v>482448000</v>
      </c>
      <c r="P26" s="165"/>
    </row>
    <row r="27" spans="1:16" s="53" customFormat="1" ht="47.25" x14ac:dyDescent="0.25">
      <c r="A27" s="75"/>
      <c r="B27" s="78"/>
      <c r="C27" s="81" t="s">
        <v>558</v>
      </c>
      <c r="D27" s="80">
        <f>D53</f>
        <v>246000</v>
      </c>
      <c r="E27" s="80">
        <f t="shared" ref="E27:O27" si="4">E53</f>
        <v>246000</v>
      </c>
      <c r="F27" s="80">
        <f t="shared" si="4"/>
        <v>0</v>
      </c>
      <c r="G27" s="80">
        <f t="shared" si="4"/>
        <v>0</v>
      </c>
      <c r="H27" s="80">
        <f t="shared" si="4"/>
        <v>0</v>
      </c>
      <c r="I27" s="80">
        <f t="shared" si="4"/>
        <v>1754000</v>
      </c>
      <c r="J27" s="80">
        <f t="shared" si="4"/>
        <v>1754000</v>
      </c>
      <c r="K27" s="80">
        <f t="shared" si="4"/>
        <v>0</v>
      </c>
      <c r="L27" s="80">
        <f t="shared" si="4"/>
        <v>0</v>
      </c>
      <c r="M27" s="80">
        <f t="shared" si="4"/>
        <v>0</v>
      </c>
      <c r="N27" s="80">
        <f t="shared" si="4"/>
        <v>1754000</v>
      </c>
      <c r="O27" s="80">
        <f t="shared" si="4"/>
        <v>2000000</v>
      </c>
      <c r="P27" s="165"/>
    </row>
    <row r="28" spans="1:16" s="53" customFormat="1" ht="47.25" x14ac:dyDescent="0.25">
      <c r="A28" s="75"/>
      <c r="B28" s="78"/>
      <c r="C28" s="79" t="s">
        <v>386</v>
      </c>
      <c r="D28" s="80">
        <f>D49+D63</f>
        <v>3578416</v>
      </c>
      <c r="E28" s="80">
        <f t="shared" ref="E28:O28" si="5">E49+E63</f>
        <v>3578416</v>
      </c>
      <c r="F28" s="80">
        <f t="shared" si="5"/>
        <v>1228720</v>
      </c>
      <c r="G28" s="80">
        <f t="shared" si="5"/>
        <v>0</v>
      </c>
      <c r="H28" s="80">
        <f t="shared" si="5"/>
        <v>0</v>
      </c>
      <c r="I28" s="80">
        <f t="shared" si="5"/>
        <v>0</v>
      </c>
      <c r="J28" s="80">
        <f t="shared" si="5"/>
        <v>0</v>
      </c>
      <c r="K28" s="80">
        <f t="shared" si="5"/>
        <v>0</v>
      </c>
      <c r="L28" s="80">
        <f t="shared" si="5"/>
        <v>0</v>
      </c>
      <c r="M28" s="80">
        <f t="shared" si="5"/>
        <v>0</v>
      </c>
      <c r="N28" s="80">
        <f t="shared" si="5"/>
        <v>0</v>
      </c>
      <c r="O28" s="80">
        <f t="shared" si="5"/>
        <v>3578416</v>
      </c>
      <c r="P28" s="165"/>
    </row>
    <row r="29" spans="1:16" s="53" customFormat="1" ht="47.25" hidden="1" customHeight="1" x14ac:dyDescent="0.25">
      <c r="A29" s="75"/>
      <c r="B29" s="78"/>
      <c r="C29" s="79" t="s">
        <v>388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165"/>
    </row>
    <row r="30" spans="1:16" s="53" customFormat="1" ht="50.25" customHeight="1" x14ac:dyDescent="0.25">
      <c r="A30" s="75"/>
      <c r="B30" s="78"/>
      <c r="C30" s="81" t="s">
        <v>385</v>
      </c>
      <c r="D30" s="80">
        <f>D72</f>
        <v>2612700</v>
      </c>
      <c r="E30" s="80">
        <f t="shared" ref="E30:O30" si="6">E72</f>
        <v>2612700</v>
      </c>
      <c r="F30" s="80">
        <f t="shared" si="6"/>
        <v>1459720</v>
      </c>
      <c r="G30" s="80">
        <f t="shared" si="6"/>
        <v>0</v>
      </c>
      <c r="H30" s="80">
        <f t="shared" si="6"/>
        <v>0</v>
      </c>
      <c r="I30" s="80">
        <f t="shared" si="6"/>
        <v>72000</v>
      </c>
      <c r="J30" s="80">
        <f t="shared" si="6"/>
        <v>72000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72000</v>
      </c>
      <c r="O30" s="80">
        <f t="shared" si="6"/>
        <v>2684700</v>
      </c>
      <c r="P30" s="165"/>
    </row>
    <row r="31" spans="1:16" s="53" customFormat="1" ht="63" hidden="1" customHeight="1" x14ac:dyDescent="0.25">
      <c r="A31" s="75"/>
      <c r="B31" s="78"/>
      <c r="C31" s="79" t="s">
        <v>387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165"/>
    </row>
    <row r="32" spans="1:16" s="53" customFormat="1" ht="63" x14ac:dyDescent="0.25">
      <c r="A32" s="75"/>
      <c r="B32" s="75"/>
      <c r="C32" s="81" t="s">
        <v>537</v>
      </c>
      <c r="D32" s="80">
        <f>D74</f>
        <v>1174231</v>
      </c>
      <c r="E32" s="80">
        <f t="shared" ref="E32:O32" si="7">E74</f>
        <v>1174231</v>
      </c>
      <c r="F32" s="80">
        <f t="shared" si="7"/>
        <v>962484</v>
      </c>
      <c r="G32" s="80">
        <f t="shared" si="7"/>
        <v>0</v>
      </c>
      <c r="H32" s="80">
        <f t="shared" si="7"/>
        <v>0</v>
      </c>
      <c r="I32" s="80">
        <f t="shared" si="7"/>
        <v>0</v>
      </c>
      <c r="J32" s="80">
        <f t="shared" si="7"/>
        <v>0</v>
      </c>
      <c r="K32" s="80">
        <f t="shared" si="7"/>
        <v>0</v>
      </c>
      <c r="L32" s="80">
        <f t="shared" si="7"/>
        <v>0</v>
      </c>
      <c r="M32" s="80">
        <f t="shared" si="7"/>
        <v>0</v>
      </c>
      <c r="N32" s="80">
        <f t="shared" si="7"/>
        <v>0</v>
      </c>
      <c r="O32" s="80">
        <f t="shared" si="7"/>
        <v>1174231</v>
      </c>
      <c r="P32" s="165"/>
    </row>
    <row r="33" spans="1:16" s="53" customFormat="1" ht="31.5" x14ac:dyDescent="0.25">
      <c r="A33" s="75"/>
      <c r="B33" s="75"/>
      <c r="C33" s="81" t="s">
        <v>555</v>
      </c>
      <c r="D33" s="80">
        <f>D54+D56</f>
        <v>709009.6</v>
      </c>
      <c r="E33" s="80">
        <f t="shared" ref="E33:O33" si="8">E54+E56</f>
        <v>709009.6</v>
      </c>
      <c r="F33" s="80">
        <f t="shared" si="8"/>
        <v>0</v>
      </c>
      <c r="G33" s="80">
        <f t="shared" si="8"/>
        <v>0</v>
      </c>
      <c r="H33" s="80">
        <f t="shared" si="8"/>
        <v>0</v>
      </c>
      <c r="I33" s="80">
        <f t="shared" si="8"/>
        <v>4388733.18</v>
      </c>
      <c r="J33" s="80">
        <f t="shared" si="8"/>
        <v>4388733.18</v>
      </c>
      <c r="K33" s="80">
        <f t="shared" si="8"/>
        <v>0</v>
      </c>
      <c r="L33" s="80">
        <f t="shared" si="8"/>
        <v>0</v>
      </c>
      <c r="M33" s="80">
        <f t="shared" si="8"/>
        <v>0</v>
      </c>
      <c r="N33" s="80">
        <f t="shared" si="8"/>
        <v>4388733.18</v>
      </c>
      <c r="O33" s="80">
        <f t="shared" si="8"/>
        <v>5097742.7799999993</v>
      </c>
      <c r="P33" s="165"/>
    </row>
    <row r="34" spans="1:16" s="53" customFormat="1" ht="55.5" customHeight="1" x14ac:dyDescent="0.25">
      <c r="A34" s="75"/>
      <c r="B34" s="75"/>
      <c r="C34" s="79" t="s">
        <v>432</v>
      </c>
      <c r="D34" s="80">
        <f>D67</f>
        <v>287772</v>
      </c>
      <c r="E34" s="80">
        <f t="shared" ref="E34:O34" si="9">E67</f>
        <v>287772</v>
      </c>
      <c r="F34" s="80">
        <f t="shared" si="9"/>
        <v>0</v>
      </c>
      <c r="G34" s="80">
        <f t="shared" si="9"/>
        <v>0</v>
      </c>
      <c r="H34" s="80">
        <f t="shared" si="9"/>
        <v>0</v>
      </c>
      <c r="I34" s="80">
        <f t="shared" si="9"/>
        <v>2859726</v>
      </c>
      <c r="J34" s="80">
        <f t="shared" si="9"/>
        <v>2859726</v>
      </c>
      <c r="K34" s="80">
        <f t="shared" si="9"/>
        <v>0</v>
      </c>
      <c r="L34" s="80">
        <f t="shared" si="9"/>
        <v>0</v>
      </c>
      <c r="M34" s="80">
        <f t="shared" si="9"/>
        <v>0</v>
      </c>
      <c r="N34" s="80">
        <f t="shared" si="9"/>
        <v>2859726</v>
      </c>
      <c r="O34" s="80">
        <f t="shared" si="9"/>
        <v>3147498</v>
      </c>
      <c r="P34" s="165"/>
    </row>
    <row r="35" spans="1:16" s="53" customFormat="1" ht="63" x14ac:dyDescent="0.25">
      <c r="A35" s="75"/>
      <c r="B35" s="75"/>
      <c r="C35" s="81" t="s">
        <v>578</v>
      </c>
      <c r="D35" s="80">
        <f>D70</f>
        <v>5811208</v>
      </c>
      <c r="E35" s="80">
        <f t="shared" ref="E35:O35" si="10">E70</f>
        <v>5811208</v>
      </c>
      <c r="F35" s="80">
        <f t="shared" si="10"/>
        <v>0</v>
      </c>
      <c r="G35" s="80">
        <f t="shared" si="10"/>
        <v>0</v>
      </c>
      <c r="H35" s="80">
        <f t="shared" si="10"/>
        <v>0</v>
      </c>
      <c r="I35" s="80">
        <f t="shared" si="10"/>
        <v>1095855</v>
      </c>
      <c r="J35" s="80">
        <f t="shared" si="10"/>
        <v>1095855</v>
      </c>
      <c r="K35" s="80">
        <f t="shared" si="10"/>
        <v>0</v>
      </c>
      <c r="L35" s="80">
        <f t="shared" si="10"/>
        <v>0</v>
      </c>
      <c r="M35" s="80">
        <f t="shared" si="10"/>
        <v>0</v>
      </c>
      <c r="N35" s="80">
        <f t="shared" si="10"/>
        <v>1095855</v>
      </c>
      <c r="O35" s="80">
        <f t="shared" si="10"/>
        <v>6907063</v>
      </c>
      <c r="P35" s="165"/>
    </row>
    <row r="36" spans="1:16" ht="17.25" customHeight="1" x14ac:dyDescent="0.25">
      <c r="A36" s="37" t="s">
        <v>49</v>
      </c>
      <c r="B36" s="37" t="s">
        <v>50</v>
      </c>
      <c r="C36" s="6" t="s">
        <v>512</v>
      </c>
      <c r="D36" s="49">
        <f>'дод 2'!E77</f>
        <v>295981344.63</v>
      </c>
      <c r="E36" s="49">
        <f>'дод 2'!F77</f>
        <v>295981344.63</v>
      </c>
      <c r="F36" s="49">
        <f>'дод 2'!G77</f>
        <v>205054200</v>
      </c>
      <c r="G36" s="49">
        <f>'дод 2'!H77</f>
        <v>24363307</v>
      </c>
      <c r="H36" s="49">
        <f>'дод 2'!I77</f>
        <v>0</v>
      </c>
      <c r="I36" s="49">
        <f>'дод 2'!J77</f>
        <v>12331180</v>
      </c>
      <c r="J36" s="49">
        <f>'дод 2'!K77</f>
        <v>571480</v>
      </c>
      <c r="K36" s="49">
        <f>'дод 2'!L77</f>
        <v>11759700</v>
      </c>
      <c r="L36" s="49">
        <f>'дод 2'!M77</f>
        <v>0</v>
      </c>
      <c r="M36" s="49">
        <f>'дод 2'!N77</f>
        <v>0</v>
      </c>
      <c r="N36" s="49">
        <f>'дод 2'!O77</f>
        <v>571480</v>
      </c>
      <c r="O36" s="49">
        <f>'дод 2'!P77</f>
        <v>308312524.63</v>
      </c>
    </row>
    <row r="37" spans="1:16" s="54" customFormat="1" ht="47.25" hidden="1" customHeight="1" x14ac:dyDescent="0.25">
      <c r="A37" s="82"/>
      <c r="B37" s="82"/>
      <c r="C37" s="83" t="s">
        <v>385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165"/>
    </row>
    <row r="38" spans="1:16" ht="38.25" customHeight="1" x14ac:dyDescent="0.25">
      <c r="A38" s="37">
        <v>1021</v>
      </c>
      <c r="B38" s="37" t="s">
        <v>52</v>
      </c>
      <c r="C38" s="61" t="s">
        <v>480</v>
      </c>
      <c r="D38" s="49">
        <f>'дод 2'!E78</f>
        <v>213253921</v>
      </c>
      <c r="E38" s="49">
        <f>'дод 2'!F78</f>
        <v>213253921</v>
      </c>
      <c r="F38" s="49">
        <f>'дод 2'!G78</f>
        <v>119662706</v>
      </c>
      <c r="G38" s="49">
        <f>'дод 2'!H78</f>
        <v>32280276</v>
      </c>
      <c r="H38" s="49">
        <f>'дод 2'!I78</f>
        <v>0</v>
      </c>
      <c r="I38" s="49">
        <f>'дод 2'!J78</f>
        <v>26170904</v>
      </c>
      <c r="J38" s="49">
        <f>'дод 2'!K78</f>
        <v>1040104</v>
      </c>
      <c r="K38" s="49">
        <f>'дод 2'!L78</f>
        <v>25130800</v>
      </c>
      <c r="L38" s="49">
        <f>'дод 2'!M78</f>
        <v>2268060</v>
      </c>
      <c r="M38" s="49">
        <f>'дод 2'!N78</f>
        <v>139890</v>
      </c>
      <c r="N38" s="49">
        <f>'дод 2'!O78</f>
        <v>1040104</v>
      </c>
      <c r="O38" s="49">
        <f>'дод 2'!P78</f>
        <v>239424825</v>
      </c>
      <c r="P38" s="191">
        <v>92</v>
      </c>
    </row>
    <row r="39" spans="1:16" s="54" customFormat="1" ht="63" hidden="1" customHeight="1" x14ac:dyDescent="0.25">
      <c r="A39" s="82"/>
      <c r="B39" s="82"/>
      <c r="C39" s="83" t="s">
        <v>389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191"/>
    </row>
    <row r="40" spans="1:16" s="54" customFormat="1" ht="47.25" hidden="1" customHeight="1" x14ac:dyDescent="0.25">
      <c r="A40" s="82"/>
      <c r="B40" s="82"/>
      <c r="C40" s="83" t="s">
        <v>386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191"/>
    </row>
    <row r="41" spans="1:16" s="54" customFormat="1" ht="47.25" hidden="1" customHeight="1" x14ac:dyDescent="0.25">
      <c r="A41" s="82"/>
      <c r="B41" s="82"/>
      <c r="C41" s="83" t="s">
        <v>388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191"/>
    </row>
    <row r="42" spans="1:16" s="54" customFormat="1" ht="47.25" hidden="1" customHeight="1" x14ac:dyDescent="0.25">
      <c r="A42" s="82"/>
      <c r="B42" s="82"/>
      <c r="C42" s="83" t="s">
        <v>385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191"/>
    </row>
    <row r="43" spans="1:16" s="54" customFormat="1" ht="31.5" hidden="1" customHeight="1" x14ac:dyDescent="0.25">
      <c r="A43" s="82"/>
      <c r="B43" s="82"/>
      <c r="C43" s="83" t="s">
        <v>391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191"/>
    </row>
    <row r="44" spans="1:16" s="54" customFormat="1" ht="63" hidden="1" customHeight="1" x14ac:dyDescent="0.25">
      <c r="A44" s="82"/>
      <c r="B44" s="82"/>
      <c r="C44" s="83" t="s">
        <v>387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191"/>
    </row>
    <row r="45" spans="1:16" ht="59.25" customHeight="1" x14ac:dyDescent="0.25">
      <c r="A45" s="37">
        <v>1022</v>
      </c>
      <c r="B45" s="60" t="s">
        <v>56</v>
      </c>
      <c r="C45" s="36" t="s">
        <v>482</v>
      </c>
      <c r="D45" s="49">
        <f>'дод 2'!E79</f>
        <v>14338277</v>
      </c>
      <c r="E45" s="49">
        <f>'дод 2'!F79</f>
        <v>14338277</v>
      </c>
      <c r="F45" s="49">
        <f>'дод 2'!G79</f>
        <v>8830500</v>
      </c>
      <c r="G45" s="49">
        <f>'дод 2'!H79</f>
        <v>1512107</v>
      </c>
      <c r="H45" s="49">
        <f>'дод 2'!I79</f>
        <v>0</v>
      </c>
      <c r="I45" s="49">
        <f>'дод 2'!J79</f>
        <v>153030</v>
      </c>
      <c r="J45" s="49">
        <f>'дод 2'!K79</f>
        <v>153030</v>
      </c>
      <c r="K45" s="49">
        <f>'дод 2'!L79</f>
        <v>0</v>
      </c>
      <c r="L45" s="49">
        <f>'дод 2'!M79</f>
        <v>0</v>
      </c>
      <c r="M45" s="49">
        <f>'дод 2'!N79</f>
        <v>0</v>
      </c>
      <c r="N45" s="49">
        <f>'дод 2'!O79</f>
        <v>153030</v>
      </c>
      <c r="O45" s="49">
        <f>'дод 2'!P79</f>
        <v>14491307</v>
      </c>
      <c r="P45" s="191"/>
    </row>
    <row r="46" spans="1:16" ht="63" hidden="1" customHeight="1" x14ac:dyDescent="0.25">
      <c r="A46" s="37"/>
      <c r="B46" s="37"/>
      <c r="C46" s="83" t="s">
        <v>389</v>
      </c>
      <c r="D46" s="49" t="e">
        <f>'дод 2'!#REF!</f>
        <v>#REF!</v>
      </c>
      <c r="E46" s="49" t="e">
        <f>'дод 2'!#REF!</f>
        <v>#REF!</v>
      </c>
      <c r="F46" s="49" t="e">
        <f>'дод 2'!#REF!</f>
        <v>#REF!</v>
      </c>
      <c r="G46" s="49" t="e">
        <f>'дод 2'!#REF!</f>
        <v>#REF!</v>
      </c>
      <c r="H46" s="49" t="e">
        <f>'дод 2'!#REF!</f>
        <v>#REF!</v>
      </c>
      <c r="I46" s="49" t="e">
        <f>'дод 2'!#REF!</f>
        <v>#REF!</v>
      </c>
      <c r="J46" s="49" t="e">
        <f>'дод 2'!#REF!</f>
        <v>#REF!</v>
      </c>
      <c r="K46" s="49" t="e">
        <f>'дод 2'!#REF!</f>
        <v>#REF!</v>
      </c>
      <c r="L46" s="49" t="e">
        <f>'дод 2'!#REF!</f>
        <v>#REF!</v>
      </c>
      <c r="M46" s="49" t="e">
        <f>'дод 2'!#REF!</f>
        <v>#REF!</v>
      </c>
      <c r="N46" s="49" t="e">
        <f>'дод 2'!#REF!</f>
        <v>#REF!</v>
      </c>
      <c r="O46" s="49" t="e">
        <f>'дод 2'!#REF!</f>
        <v>#REF!</v>
      </c>
      <c r="P46" s="191"/>
    </row>
    <row r="47" spans="1:16" s="54" customFormat="1" ht="35.25" customHeight="1" x14ac:dyDescent="0.25">
      <c r="A47" s="97">
        <v>1031</v>
      </c>
      <c r="B47" s="60" t="s">
        <v>52</v>
      </c>
      <c r="C47" s="61" t="s">
        <v>513</v>
      </c>
      <c r="D47" s="49">
        <f>'дод 2'!E80</f>
        <v>468962880</v>
      </c>
      <c r="E47" s="49">
        <f>'дод 2'!F80</f>
        <v>468962880</v>
      </c>
      <c r="F47" s="49">
        <f>'дод 2'!G80</f>
        <v>383296900</v>
      </c>
      <c r="G47" s="49">
        <f>'дод 2'!H80</f>
        <v>0</v>
      </c>
      <c r="H47" s="49">
        <f>'дод 2'!I80</f>
        <v>0</v>
      </c>
      <c r="I47" s="49">
        <f>'дод 2'!J80</f>
        <v>0</v>
      </c>
      <c r="J47" s="49">
        <f>'дод 2'!K80</f>
        <v>0</v>
      </c>
      <c r="K47" s="49">
        <f>'дод 2'!L80</f>
        <v>0</v>
      </c>
      <c r="L47" s="49">
        <f>'дод 2'!M80</f>
        <v>0</v>
      </c>
      <c r="M47" s="49">
        <f>'дод 2'!N80</f>
        <v>0</v>
      </c>
      <c r="N47" s="49">
        <f>'дод 2'!O80</f>
        <v>0</v>
      </c>
      <c r="O47" s="49">
        <f>'дод 2'!P80</f>
        <v>468962880</v>
      </c>
      <c r="P47" s="191"/>
    </row>
    <row r="48" spans="1:16" s="54" customFormat="1" ht="31.5" x14ac:dyDescent="0.25">
      <c r="A48" s="82"/>
      <c r="B48" s="82"/>
      <c r="C48" s="91" t="s">
        <v>391</v>
      </c>
      <c r="D48" s="84">
        <f>'дод 2'!E81</f>
        <v>466883500</v>
      </c>
      <c r="E48" s="84">
        <f>'дод 2'!F81</f>
        <v>466883500</v>
      </c>
      <c r="F48" s="84">
        <f>'дод 2'!G81</f>
        <v>383296900</v>
      </c>
      <c r="G48" s="84">
        <f>'дод 2'!H81</f>
        <v>0</v>
      </c>
      <c r="H48" s="84">
        <f>'дод 2'!I81</f>
        <v>0</v>
      </c>
      <c r="I48" s="84">
        <f>'дод 2'!J81</f>
        <v>0</v>
      </c>
      <c r="J48" s="84">
        <f>'дод 2'!K81</f>
        <v>0</v>
      </c>
      <c r="K48" s="84">
        <f>'дод 2'!L81</f>
        <v>0</v>
      </c>
      <c r="L48" s="84">
        <f>'дод 2'!M81</f>
        <v>0</v>
      </c>
      <c r="M48" s="84">
        <f>'дод 2'!N81</f>
        <v>0</v>
      </c>
      <c r="N48" s="84">
        <f>'дод 2'!O81</f>
        <v>0</v>
      </c>
      <c r="O48" s="84">
        <f>'дод 2'!P81</f>
        <v>466883500</v>
      </c>
      <c r="P48" s="191"/>
    </row>
    <row r="49" spans="1:16" ht="50.25" customHeight="1" x14ac:dyDescent="0.25">
      <c r="A49" s="37"/>
      <c r="B49" s="37"/>
      <c r="C49" s="91" t="s">
        <v>386</v>
      </c>
      <c r="D49" s="84">
        <f>'дод 2'!E82</f>
        <v>2079380</v>
      </c>
      <c r="E49" s="84">
        <f>'дод 2'!F82</f>
        <v>2079380</v>
      </c>
      <c r="F49" s="84">
        <f>'дод 2'!G82</f>
        <v>0</v>
      </c>
      <c r="G49" s="84">
        <f>'дод 2'!H82</f>
        <v>0</v>
      </c>
      <c r="H49" s="84">
        <f>'дод 2'!I82</f>
        <v>0</v>
      </c>
      <c r="I49" s="84">
        <f>'дод 2'!J82</f>
        <v>0</v>
      </c>
      <c r="J49" s="84">
        <f>'дод 2'!K82</f>
        <v>0</v>
      </c>
      <c r="K49" s="84">
        <f>'дод 2'!L82</f>
        <v>0</v>
      </c>
      <c r="L49" s="84">
        <f>'дод 2'!M82</f>
        <v>0</v>
      </c>
      <c r="M49" s="84">
        <f>'дод 2'!N82</f>
        <v>0</v>
      </c>
      <c r="N49" s="84">
        <f>'дод 2'!O82</f>
        <v>0</v>
      </c>
      <c r="O49" s="84">
        <f>'дод 2'!P82</f>
        <v>2079380</v>
      </c>
      <c r="P49" s="191"/>
    </row>
    <row r="50" spans="1:16" ht="63.75" customHeight="1" x14ac:dyDescent="0.25">
      <c r="A50" s="60" t="s">
        <v>485</v>
      </c>
      <c r="B50" s="60" t="s">
        <v>56</v>
      </c>
      <c r="C50" s="61" t="s">
        <v>514</v>
      </c>
      <c r="D50" s="49">
        <f>'дод 2'!E83</f>
        <v>15564500</v>
      </c>
      <c r="E50" s="49">
        <f>'дод 2'!F83</f>
        <v>15564500</v>
      </c>
      <c r="F50" s="49">
        <f>'дод 2'!G83</f>
        <v>12769100</v>
      </c>
      <c r="G50" s="49">
        <f>'дод 2'!H83</f>
        <v>0</v>
      </c>
      <c r="H50" s="49">
        <f>'дод 2'!I83</f>
        <v>0</v>
      </c>
      <c r="I50" s="49">
        <f>'дод 2'!J83</f>
        <v>0</v>
      </c>
      <c r="J50" s="49">
        <f>'дод 2'!K83</f>
        <v>0</v>
      </c>
      <c r="K50" s="49">
        <f>'дод 2'!L83</f>
        <v>0</v>
      </c>
      <c r="L50" s="49">
        <f>'дод 2'!M83</f>
        <v>0</v>
      </c>
      <c r="M50" s="49">
        <f>'дод 2'!N83</f>
        <v>0</v>
      </c>
      <c r="N50" s="49">
        <f>'дод 2'!O83</f>
        <v>0</v>
      </c>
      <c r="O50" s="49">
        <f>'дод 2'!P83</f>
        <v>15564500</v>
      </c>
      <c r="P50" s="191"/>
    </row>
    <row r="51" spans="1:16" ht="31.5" x14ac:dyDescent="0.25">
      <c r="A51" s="37"/>
      <c r="B51" s="37"/>
      <c r="C51" s="91" t="s">
        <v>391</v>
      </c>
      <c r="D51" s="84">
        <f>'дод 2'!E84</f>
        <v>15564500</v>
      </c>
      <c r="E51" s="84">
        <f>'дод 2'!F84</f>
        <v>15564500</v>
      </c>
      <c r="F51" s="84">
        <f>'дод 2'!G84</f>
        <v>12769100</v>
      </c>
      <c r="G51" s="84">
        <f>'дод 2'!H84</f>
        <v>0</v>
      </c>
      <c r="H51" s="84">
        <f>'дод 2'!I84</f>
        <v>0</v>
      </c>
      <c r="I51" s="84">
        <f>'дод 2'!J84</f>
        <v>0</v>
      </c>
      <c r="J51" s="84">
        <f>'дод 2'!K84</f>
        <v>0</v>
      </c>
      <c r="K51" s="84">
        <f>'дод 2'!L84</f>
        <v>0</v>
      </c>
      <c r="L51" s="84">
        <f>'дод 2'!M84</f>
        <v>0</v>
      </c>
      <c r="M51" s="84">
        <f>'дод 2'!N84</f>
        <v>0</v>
      </c>
      <c r="N51" s="84">
        <f>'дод 2'!O84</f>
        <v>0</v>
      </c>
      <c r="O51" s="84">
        <f>'дод 2'!P84</f>
        <v>15564500</v>
      </c>
      <c r="P51" s="191"/>
    </row>
    <row r="52" spans="1:16" ht="31.5" x14ac:dyDescent="0.25">
      <c r="A52" s="37">
        <v>1061</v>
      </c>
      <c r="B52" s="60" t="s">
        <v>52</v>
      </c>
      <c r="C52" s="36" t="s">
        <v>546</v>
      </c>
      <c r="D52" s="49">
        <f>'дод 2'!E85</f>
        <v>915009.6</v>
      </c>
      <c r="E52" s="49">
        <f>'дод 2'!F85</f>
        <v>915009.6</v>
      </c>
      <c r="F52" s="49">
        <f>'дод 2'!G85</f>
        <v>0</v>
      </c>
      <c r="G52" s="49">
        <f>'дод 2'!H85</f>
        <v>0</v>
      </c>
      <c r="H52" s="49">
        <f>'дод 2'!I85</f>
        <v>0</v>
      </c>
      <c r="I52" s="49">
        <f>'дод 2'!J85</f>
        <v>6142733.1799999997</v>
      </c>
      <c r="J52" s="49">
        <f>'дод 2'!K85</f>
        <v>6142733.1799999997</v>
      </c>
      <c r="K52" s="49">
        <f>'дод 2'!L85</f>
        <v>0</v>
      </c>
      <c r="L52" s="49">
        <f>'дод 2'!M85</f>
        <v>0</v>
      </c>
      <c r="M52" s="49">
        <f>'дод 2'!N85</f>
        <v>0</v>
      </c>
      <c r="N52" s="49">
        <f>'дод 2'!O85</f>
        <v>6142733.1799999997</v>
      </c>
      <c r="O52" s="49">
        <f>'дод 2'!P85</f>
        <v>7057742.7799999993</v>
      </c>
      <c r="P52" s="191"/>
    </row>
    <row r="53" spans="1:16" ht="48.75" customHeight="1" x14ac:dyDescent="0.25">
      <c r="A53" s="37"/>
      <c r="B53" s="60"/>
      <c r="C53" s="91" t="s">
        <v>558</v>
      </c>
      <c r="D53" s="84">
        <f>'дод 2'!E86</f>
        <v>246000</v>
      </c>
      <c r="E53" s="84">
        <f>'дод 2'!F86</f>
        <v>246000</v>
      </c>
      <c r="F53" s="84">
        <f>'дод 2'!G86</f>
        <v>0</v>
      </c>
      <c r="G53" s="84">
        <f>'дод 2'!H86</f>
        <v>0</v>
      </c>
      <c r="H53" s="84">
        <f>'дод 2'!I86</f>
        <v>0</v>
      </c>
      <c r="I53" s="84">
        <f>'дод 2'!J86</f>
        <v>1754000</v>
      </c>
      <c r="J53" s="84">
        <f>'дод 2'!K86</f>
        <v>1754000</v>
      </c>
      <c r="K53" s="84">
        <f>'дод 2'!L86</f>
        <v>0</v>
      </c>
      <c r="L53" s="84">
        <f>'дод 2'!M86</f>
        <v>0</v>
      </c>
      <c r="M53" s="84">
        <f>'дод 2'!N86</f>
        <v>0</v>
      </c>
      <c r="N53" s="84">
        <f>'дод 2'!O86</f>
        <v>1754000</v>
      </c>
      <c r="O53" s="84">
        <f>'дод 2'!P86</f>
        <v>2000000</v>
      </c>
      <c r="P53" s="191"/>
    </row>
    <row r="54" spans="1:16" s="54" customFormat="1" ht="32.25" customHeight="1" x14ac:dyDescent="0.25">
      <c r="A54" s="82"/>
      <c r="B54" s="88"/>
      <c r="C54" s="91" t="s">
        <v>555</v>
      </c>
      <c r="D54" s="84">
        <f>'дод 2'!E87</f>
        <v>669009.6</v>
      </c>
      <c r="E54" s="84">
        <f>'дод 2'!F87</f>
        <v>669009.6</v>
      </c>
      <c r="F54" s="84">
        <f>'дод 2'!G87</f>
        <v>0</v>
      </c>
      <c r="G54" s="84">
        <f>'дод 2'!H87</f>
        <v>0</v>
      </c>
      <c r="H54" s="84">
        <f>'дод 2'!I87</f>
        <v>0</v>
      </c>
      <c r="I54" s="84">
        <f>'дод 2'!J87</f>
        <v>4388733.18</v>
      </c>
      <c r="J54" s="84">
        <f>'дод 2'!K87</f>
        <v>4388733.18</v>
      </c>
      <c r="K54" s="84">
        <f>'дод 2'!L87</f>
        <v>0</v>
      </c>
      <c r="L54" s="84">
        <f>'дод 2'!M87</f>
        <v>0</v>
      </c>
      <c r="M54" s="84">
        <f>'дод 2'!N87</f>
        <v>0</v>
      </c>
      <c r="N54" s="84">
        <f>'дод 2'!O87</f>
        <v>4388733.18</v>
      </c>
      <c r="O54" s="84">
        <f>'дод 2'!P87</f>
        <v>5057742.7799999993</v>
      </c>
      <c r="P54" s="191"/>
    </row>
    <row r="55" spans="1:16" s="54" customFormat="1" ht="63" x14ac:dyDescent="0.25">
      <c r="A55" s="37">
        <v>1062</v>
      </c>
      <c r="B55" s="60" t="s">
        <v>56</v>
      </c>
      <c r="C55" s="61" t="s">
        <v>514</v>
      </c>
      <c r="D55" s="49">
        <f>'дод 2'!E88</f>
        <v>40000</v>
      </c>
      <c r="E55" s="49">
        <f>'дод 2'!F88</f>
        <v>40000</v>
      </c>
      <c r="F55" s="49">
        <f>'дод 2'!G88</f>
        <v>0</v>
      </c>
      <c r="G55" s="49">
        <f>'дод 2'!H88</f>
        <v>0</v>
      </c>
      <c r="H55" s="49">
        <f>'дод 2'!I88</f>
        <v>0</v>
      </c>
      <c r="I55" s="49">
        <f>'дод 2'!J88</f>
        <v>0</v>
      </c>
      <c r="J55" s="49">
        <f>'дод 2'!K88</f>
        <v>0</v>
      </c>
      <c r="K55" s="49">
        <f>'дод 2'!L88</f>
        <v>0</v>
      </c>
      <c r="L55" s="49">
        <f>'дод 2'!M88</f>
        <v>0</v>
      </c>
      <c r="M55" s="49">
        <f>'дод 2'!N88</f>
        <v>0</v>
      </c>
      <c r="N55" s="49">
        <f>'дод 2'!O88</f>
        <v>0</v>
      </c>
      <c r="O55" s="49">
        <f>'дод 2'!P88</f>
        <v>40000</v>
      </c>
      <c r="P55" s="191"/>
    </row>
    <row r="56" spans="1:16" s="54" customFormat="1" ht="32.25" customHeight="1" x14ac:dyDescent="0.25">
      <c r="A56" s="82"/>
      <c r="B56" s="88"/>
      <c r="C56" s="91" t="s">
        <v>555</v>
      </c>
      <c r="D56" s="84">
        <f>'дод 2'!E89</f>
        <v>40000</v>
      </c>
      <c r="E56" s="84">
        <f>'дод 2'!F89</f>
        <v>40000</v>
      </c>
      <c r="F56" s="84">
        <f>'дод 2'!G89</f>
        <v>0</v>
      </c>
      <c r="G56" s="84">
        <f>'дод 2'!H89</f>
        <v>0</v>
      </c>
      <c r="H56" s="84">
        <f>'дод 2'!I89</f>
        <v>0</v>
      </c>
      <c r="I56" s="84">
        <f>'дод 2'!J89</f>
        <v>0</v>
      </c>
      <c r="J56" s="84">
        <f>'дод 2'!K89</f>
        <v>0</v>
      </c>
      <c r="K56" s="84">
        <f>'дод 2'!L89</f>
        <v>0</v>
      </c>
      <c r="L56" s="84">
        <f>'дод 2'!M89</f>
        <v>0</v>
      </c>
      <c r="M56" s="84">
        <f>'дод 2'!N89</f>
        <v>0</v>
      </c>
      <c r="N56" s="84">
        <f>'дод 2'!O89</f>
        <v>0</v>
      </c>
      <c r="O56" s="84">
        <f>'дод 2'!P89</f>
        <v>40000</v>
      </c>
      <c r="P56" s="191"/>
    </row>
    <row r="57" spans="1:16" s="54" customFormat="1" ht="38.25" customHeight="1" x14ac:dyDescent="0.25">
      <c r="A57" s="60" t="s">
        <v>55</v>
      </c>
      <c r="B57" s="60" t="s">
        <v>58</v>
      </c>
      <c r="C57" s="61" t="s">
        <v>367</v>
      </c>
      <c r="D57" s="49">
        <f>'дод 2'!E90</f>
        <v>35044945</v>
      </c>
      <c r="E57" s="49">
        <f>'дод 2'!F90</f>
        <v>35044945</v>
      </c>
      <c r="F57" s="49">
        <f>'дод 2'!G90</f>
        <v>25836800</v>
      </c>
      <c r="G57" s="49">
        <f>'дод 2'!H90</f>
        <v>2805445</v>
      </c>
      <c r="H57" s="49">
        <f>'дод 2'!I90</f>
        <v>0</v>
      </c>
      <c r="I57" s="49">
        <f>'дод 2'!J90</f>
        <v>112500</v>
      </c>
      <c r="J57" s="49">
        <f>'дод 2'!K90</f>
        <v>112500</v>
      </c>
      <c r="K57" s="49">
        <f>'дод 2'!L90</f>
        <v>0</v>
      </c>
      <c r="L57" s="49">
        <f>'дод 2'!M90</f>
        <v>0</v>
      </c>
      <c r="M57" s="49">
        <f>'дод 2'!N90</f>
        <v>0</v>
      </c>
      <c r="N57" s="49">
        <f>'дод 2'!O90</f>
        <v>112500</v>
      </c>
      <c r="O57" s="49">
        <f>'дод 2'!P90</f>
        <v>35157445</v>
      </c>
      <c r="P57" s="191"/>
    </row>
    <row r="58" spans="1:16" s="54" customFormat="1" ht="16.5" customHeight="1" x14ac:dyDescent="0.25">
      <c r="A58" s="97">
        <v>1080</v>
      </c>
      <c r="B58" s="60" t="s">
        <v>58</v>
      </c>
      <c r="C58" s="61" t="s">
        <v>519</v>
      </c>
      <c r="D58" s="49">
        <f>'дод 2'!E207</f>
        <v>50948015</v>
      </c>
      <c r="E58" s="49">
        <f>'дод 2'!F207</f>
        <v>50948015</v>
      </c>
      <c r="F58" s="49">
        <f>'дод 2'!G207</f>
        <v>40594000</v>
      </c>
      <c r="G58" s="49">
        <f>'дод 2'!H207</f>
        <v>777815</v>
      </c>
      <c r="H58" s="49">
        <f>'дод 2'!I207</f>
        <v>0</v>
      </c>
      <c r="I58" s="49">
        <f>'дод 2'!J207</f>
        <v>2729100</v>
      </c>
      <c r="J58" s="49">
        <f>'дод 2'!K207</f>
        <v>0</v>
      </c>
      <c r="K58" s="49">
        <f>'дод 2'!L207</f>
        <v>2725970</v>
      </c>
      <c r="L58" s="49">
        <f>'дод 2'!M207</f>
        <v>2226904</v>
      </c>
      <c r="M58" s="49">
        <f>'дод 2'!N207</f>
        <v>0</v>
      </c>
      <c r="N58" s="49">
        <f>'дод 2'!O207</f>
        <v>3130</v>
      </c>
      <c r="O58" s="49">
        <f>'дод 2'!P207</f>
        <v>53677115</v>
      </c>
      <c r="P58" s="191"/>
    </row>
    <row r="59" spans="1:16" s="54" customFormat="1" ht="21" customHeight="1" x14ac:dyDescent="0.25">
      <c r="A59" s="60" t="s">
        <v>488</v>
      </c>
      <c r="B59" s="60" t="s">
        <v>59</v>
      </c>
      <c r="C59" s="36" t="s">
        <v>520</v>
      </c>
      <c r="D59" s="49">
        <f>'дод 2'!E91</f>
        <v>11387250</v>
      </c>
      <c r="E59" s="49">
        <f>'дод 2'!F91</f>
        <v>11387250</v>
      </c>
      <c r="F59" s="49">
        <f>'дод 2'!G91</f>
        <v>8331500</v>
      </c>
      <c r="G59" s="49">
        <f>'дод 2'!H91</f>
        <v>585250</v>
      </c>
      <c r="H59" s="49">
        <f>'дод 2'!I91</f>
        <v>0</v>
      </c>
      <c r="I59" s="49">
        <f>'дод 2'!J91</f>
        <v>0</v>
      </c>
      <c r="J59" s="49">
        <f>'дод 2'!K91</f>
        <v>0</v>
      </c>
      <c r="K59" s="49">
        <f>'дод 2'!L91</f>
        <v>0</v>
      </c>
      <c r="L59" s="49">
        <f>'дод 2'!M91</f>
        <v>0</v>
      </c>
      <c r="M59" s="49">
        <f>'дод 2'!N91</f>
        <v>0</v>
      </c>
      <c r="N59" s="49">
        <f>'дод 2'!O91</f>
        <v>0</v>
      </c>
      <c r="O59" s="49">
        <f>'дод 2'!P91</f>
        <v>11387250</v>
      </c>
      <c r="P59" s="191"/>
    </row>
    <row r="60" spans="1:16" x14ac:dyDescent="0.25">
      <c r="A60" s="60" t="s">
        <v>490</v>
      </c>
      <c r="B60" s="60" t="s">
        <v>59</v>
      </c>
      <c r="C60" s="36" t="s">
        <v>283</v>
      </c>
      <c r="D60" s="49">
        <f>'дод 2'!E92</f>
        <v>113000</v>
      </c>
      <c r="E60" s="49">
        <f>'дод 2'!F92</f>
        <v>113000</v>
      </c>
      <c r="F60" s="49">
        <f>'дод 2'!G92</f>
        <v>0</v>
      </c>
      <c r="G60" s="49">
        <f>'дод 2'!H92</f>
        <v>0</v>
      </c>
      <c r="H60" s="49">
        <f>'дод 2'!I92</f>
        <v>0</v>
      </c>
      <c r="I60" s="49">
        <f>'дод 2'!J92</f>
        <v>0</v>
      </c>
      <c r="J60" s="49">
        <f>'дод 2'!K92</f>
        <v>0</v>
      </c>
      <c r="K60" s="49">
        <f>'дод 2'!L92</f>
        <v>0</v>
      </c>
      <c r="L60" s="49">
        <f>'дод 2'!M92</f>
        <v>0</v>
      </c>
      <c r="M60" s="49">
        <f>'дод 2'!N92</f>
        <v>0</v>
      </c>
      <c r="N60" s="49">
        <f>'дод 2'!O92</f>
        <v>0</v>
      </c>
      <c r="O60" s="49">
        <f>'дод 2'!P92</f>
        <v>113000</v>
      </c>
      <c r="P60" s="191"/>
    </row>
    <row r="61" spans="1:16" ht="31.5" x14ac:dyDescent="0.25">
      <c r="A61" s="60" t="s">
        <v>492</v>
      </c>
      <c r="B61" s="60" t="s">
        <v>59</v>
      </c>
      <c r="C61" s="61" t="s">
        <v>493</v>
      </c>
      <c r="D61" s="49">
        <f>'дод 2'!E93</f>
        <v>445933</v>
      </c>
      <c r="E61" s="49">
        <f>'дод 2'!F93</f>
        <v>445933</v>
      </c>
      <c r="F61" s="49">
        <f>'дод 2'!G93</f>
        <v>266200</v>
      </c>
      <c r="G61" s="49">
        <f>'дод 2'!H93</f>
        <v>66733</v>
      </c>
      <c r="H61" s="49">
        <f>'дод 2'!I93</f>
        <v>0</v>
      </c>
      <c r="I61" s="49">
        <f>'дод 2'!J93</f>
        <v>0</v>
      </c>
      <c r="J61" s="49">
        <f>'дод 2'!K93</f>
        <v>0</v>
      </c>
      <c r="K61" s="49">
        <f>'дод 2'!L93</f>
        <v>0</v>
      </c>
      <c r="L61" s="49">
        <f>'дод 2'!M93</f>
        <v>0</v>
      </c>
      <c r="M61" s="49">
        <f>'дод 2'!N93</f>
        <v>0</v>
      </c>
      <c r="N61" s="49">
        <f>'дод 2'!O93</f>
        <v>0</v>
      </c>
      <c r="O61" s="49">
        <f>'дод 2'!P93</f>
        <v>445933</v>
      </c>
      <c r="P61" s="191"/>
    </row>
    <row r="62" spans="1:16" ht="36.75" customHeight="1" x14ac:dyDescent="0.25">
      <c r="A62" s="60" t="s">
        <v>495</v>
      </c>
      <c r="B62" s="60" t="s">
        <v>59</v>
      </c>
      <c r="C62" s="61" t="s">
        <v>521</v>
      </c>
      <c r="D62" s="49">
        <f>'дод 2'!E94</f>
        <v>1499036</v>
      </c>
      <c r="E62" s="49">
        <f>'дод 2'!F94</f>
        <v>1499036</v>
      </c>
      <c r="F62" s="49">
        <f>'дод 2'!G94</f>
        <v>1228720</v>
      </c>
      <c r="G62" s="49">
        <f>'дод 2'!H94</f>
        <v>0</v>
      </c>
      <c r="H62" s="49">
        <f>'дод 2'!I94</f>
        <v>0</v>
      </c>
      <c r="I62" s="49">
        <f>'дод 2'!J94</f>
        <v>0</v>
      </c>
      <c r="J62" s="49">
        <f>'дод 2'!K94</f>
        <v>0</v>
      </c>
      <c r="K62" s="49">
        <f>'дод 2'!L94</f>
        <v>0</v>
      </c>
      <c r="L62" s="49">
        <f>'дод 2'!M94</f>
        <v>0</v>
      </c>
      <c r="M62" s="49">
        <f>'дод 2'!N94</f>
        <v>0</v>
      </c>
      <c r="N62" s="49">
        <f>'дод 2'!O94</f>
        <v>0</v>
      </c>
      <c r="O62" s="49">
        <f>'дод 2'!P94</f>
        <v>1499036</v>
      </c>
      <c r="P62" s="191"/>
    </row>
    <row r="63" spans="1:16" ht="49.5" customHeight="1" x14ac:dyDescent="0.25">
      <c r="A63" s="37"/>
      <c r="B63" s="37"/>
      <c r="C63" s="91" t="s">
        <v>386</v>
      </c>
      <c r="D63" s="84">
        <f>'дод 2'!E95</f>
        <v>1499036</v>
      </c>
      <c r="E63" s="84">
        <f>'дод 2'!F95</f>
        <v>1499036</v>
      </c>
      <c r="F63" s="84">
        <f>'дод 2'!G95</f>
        <v>1228720</v>
      </c>
      <c r="G63" s="84">
        <f>'дод 2'!H95</f>
        <v>0</v>
      </c>
      <c r="H63" s="84">
        <f>'дод 2'!I95</f>
        <v>0</v>
      </c>
      <c r="I63" s="84">
        <f>'дод 2'!J95</f>
        <v>0</v>
      </c>
      <c r="J63" s="84">
        <f>'дод 2'!K95</f>
        <v>0</v>
      </c>
      <c r="K63" s="84">
        <f>'дод 2'!L95</f>
        <v>0</v>
      </c>
      <c r="L63" s="84">
        <f>'дод 2'!M95</f>
        <v>0</v>
      </c>
      <c r="M63" s="84">
        <f>'дод 2'!N95</f>
        <v>0</v>
      </c>
      <c r="N63" s="84">
        <f>'дод 2'!O95</f>
        <v>0</v>
      </c>
      <c r="O63" s="84">
        <f>'дод 2'!P95</f>
        <v>1499036</v>
      </c>
      <c r="P63" s="191"/>
    </row>
    <row r="64" spans="1:16" s="54" customFormat="1" ht="31.5" x14ac:dyDescent="0.25">
      <c r="A64" s="60" t="s">
        <v>497</v>
      </c>
      <c r="B64" s="60" t="str">
        <f>'дод 5'!A20</f>
        <v>0160</v>
      </c>
      <c r="C64" s="61" t="s">
        <v>498</v>
      </c>
      <c r="D64" s="49">
        <f>'дод 2'!E96</f>
        <v>2521377</v>
      </c>
      <c r="E64" s="49">
        <f>'дод 2'!F96</f>
        <v>2521377</v>
      </c>
      <c r="F64" s="49">
        <f>'дод 2'!G96</f>
        <v>1880000</v>
      </c>
      <c r="G64" s="49">
        <f>'дод 2'!H96</f>
        <v>92977</v>
      </c>
      <c r="H64" s="49">
        <f>'дод 2'!I96</f>
        <v>0</v>
      </c>
      <c r="I64" s="49">
        <f>'дод 2'!J96</f>
        <v>50000</v>
      </c>
      <c r="J64" s="49">
        <f>'дод 2'!K96</f>
        <v>50000</v>
      </c>
      <c r="K64" s="49">
        <f>'дод 2'!L96</f>
        <v>0</v>
      </c>
      <c r="L64" s="49">
        <f>'дод 2'!M96</f>
        <v>0</v>
      </c>
      <c r="M64" s="49">
        <f>'дод 2'!N96</f>
        <v>0</v>
      </c>
      <c r="N64" s="49">
        <f>'дод 2'!O96</f>
        <v>50000</v>
      </c>
      <c r="O64" s="49">
        <f>'дод 2'!P96</f>
        <v>2571377</v>
      </c>
      <c r="P64" s="191"/>
    </row>
    <row r="65" spans="1:16" s="54" customFormat="1" ht="63" x14ac:dyDescent="0.25">
      <c r="A65" s="60" t="s">
        <v>586</v>
      </c>
      <c r="B65" s="60" t="s">
        <v>59</v>
      </c>
      <c r="C65" s="61" t="s">
        <v>590</v>
      </c>
      <c r="D65" s="49">
        <f>'дод 2'!E97</f>
        <v>0</v>
      </c>
      <c r="E65" s="49">
        <f>'дод 2'!F97</f>
        <v>0</v>
      </c>
      <c r="F65" s="49">
        <f>'дод 2'!G97</f>
        <v>0</v>
      </c>
      <c r="G65" s="49">
        <f>'дод 2'!H97</f>
        <v>0</v>
      </c>
      <c r="H65" s="49">
        <f>'дод 2'!I97</f>
        <v>0</v>
      </c>
      <c r="I65" s="49">
        <f>'дод 2'!J97</f>
        <v>1610670</v>
      </c>
      <c r="J65" s="49">
        <f>'дод 2'!K97</f>
        <v>1610670</v>
      </c>
      <c r="K65" s="49">
        <f>'дод 2'!L97</f>
        <v>0</v>
      </c>
      <c r="L65" s="49">
        <f>'дод 2'!M97</f>
        <v>0</v>
      </c>
      <c r="M65" s="49">
        <f>'дод 2'!N97</f>
        <v>0</v>
      </c>
      <c r="N65" s="49">
        <f>'дод 2'!O97</f>
        <v>1610670</v>
      </c>
      <c r="O65" s="49">
        <f>'дод 2'!P97</f>
        <v>1610670</v>
      </c>
      <c r="P65" s="191"/>
    </row>
    <row r="66" spans="1:16" s="54" customFormat="1" ht="48" customHeight="1" x14ac:dyDescent="0.25">
      <c r="A66" s="60" t="s">
        <v>574</v>
      </c>
      <c r="B66" s="60" t="s">
        <v>59</v>
      </c>
      <c r="C66" s="61" t="s">
        <v>576</v>
      </c>
      <c r="D66" s="103">
        <f>'дод 2'!E98</f>
        <v>287772</v>
      </c>
      <c r="E66" s="103">
        <f>'дод 2'!F98</f>
        <v>287772</v>
      </c>
      <c r="F66" s="103">
        <f>'дод 2'!G98</f>
        <v>0</v>
      </c>
      <c r="G66" s="103">
        <f>'дод 2'!H98</f>
        <v>0</v>
      </c>
      <c r="H66" s="103">
        <f>'дод 2'!I98</f>
        <v>0</v>
      </c>
      <c r="I66" s="103">
        <f>'дод 2'!J98</f>
        <v>2859726</v>
      </c>
      <c r="J66" s="103">
        <f>'дод 2'!K98</f>
        <v>2859726</v>
      </c>
      <c r="K66" s="103">
        <f>'дод 2'!L98</f>
        <v>0</v>
      </c>
      <c r="L66" s="103">
        <f>'дод 2'!M98</f>
        <v>0</v>
      </c>
      <c r="M66" s="103">
        <f>'дод 2'!N98</f>
        <v>0</v>
      </c>
      <c r="N66" s="103">
        <f>'дод 2'!O98</f>
        <v>2859726</v>
      </c>
      <c r="O66" s="103">
        <f>'дод 2'!P98</f>
        <v>3147498</v>
      </c>
      <c r="P66" s="191"/>
    </row>
    <row r="67" spans="1:16" s="54" customFormat="1" ht="47.25" x14ac:dyDescent="0.25">
      <c r="A67" s="88"/>
      <c r="B67" s="88"/>
      <c r="C67" s="91" t="s">
        <v>432</v>
      </c>
      <c r="D67" s="105">
        <f>'дод 2'!E99</f>
        <v>287772</v>
      </c>
      <c r="E67" s="105">
        <f>'дод 2'!F99</f>
        <v>287772</v>
      </c>
      <c r="F67" s="105">
        <f>'дод 2'!G99</f>
        <v>0</v>
      </c>
      <c r="G67" s="105">
        <f>'дод 2'!H99</f>
        <v>0</v>
      </c>
      <c r="H67" s="105">
        <f>'дод 2'!I99</f>
        <v>0</v>
      </c>
      <c r="I67" s="105">
        <f>'дод 2'!J99</f>
        <v>2859726</v>
      </c>
      <c r="J67" s="105">
        <f>'дод 2'!K99</f>
        <v>2859726</v>
      </c>
      <c r="K67" s="105">
        <f>'дод 2'!L99</f>
        <v>0</v>
      </c>
      <c r="L67" s="105">
        <f>'дод 2'!M99</f>
        <v>0</v>
      </c>
      <c r="M67" s="105">
        <f>'дод 2'!N99</f>
        <v>0</v>
      </c>
      <c r="N67" s="105">
        <f>'дод 2'!O99</f>
        <v>2859726</v>
      </c>
      <c r="O67" s="105">
        <f>'дод 2'!P99</f>
        <v>3147498</v>
      </c>
      <c r="P67" s="191"/>
    </row>
    <row r="68" spans="1:16" s="54" customFormat="1" ht="63" x14ac:dyDescent="0.25">
      <c r="A68" s="60" t="s">
        <v>588</v>
      </c>
      <c r="B68" s="60" t="s">
        <v>59</v>
      </c>
      <c r="C68" s="61" t="s">
        <v>589</v>
      </c>
      <c r="D68" s="103">
        <f>'дод 2'!E100</f>
        <v>1800286</v>
      </c>
      <c r="E68" s="103">
        <f>'дод 2'!F100</f>
        <v>1800286</v>
      </c>
      <c r="F68" s="103">
        <f>'дод 2'!G100</f>
        <v>0</v>
      </c>
      <c r="G68" s="103">
        <f>'дод 2'!H100</f>
        <v>0</v>
      </c>
      <c r="H68" s="103">
        <f>'дод 2'!I100</f>
        <v>0</v>
      </c>
      <c r="I68" s="103">
        <f>'дод 2'!J100</f>
        <v>417966</v>
      </c>
      <c r="J68" s="103">
        <f>'дод 2'!K100</f>
        <v>417966</v>
      </c>
      <c r="K68" s="103">
        <f>'дод 2'!L100</f>
        <v>0</v>
      </c>
      <c r="L68" s="103">
        <f>'дод 2'!M100</f>
        <v>0</v>
      </c>
      <c r="M68" s="103">
        <f>'дод 2'!N100</f>
        <v>0</v>
      </c>
      <c r="N68" s="103">
        <f>'дод 2'!O100</f>
        <v>417966</v>
      </c>
      <c r="O68" s="103">
        <f>'дод 2'!P100</f>
        <v>2218252</v>
      </c>
      <c r="P68" s="191"/>
    </row>
    <row r="69" spans="1:16" s="54" customFormat="1" ht="52.5" customHeight="1" x14ac:dyDescent="0.25">
      <c r="A69" s="60" t="s">
        <v>575</v>
      </c>
      <c r="B69" s="60" t="s">
        <v>59</v>
      </c>
      <c r="C69" s="61" t="s">
        <v>577</v>
      </c>
      <c r="D69" s="49">
        <f>'дод 2'!E101</f>
        <v>5811208</v>
      </c>
      <c r="E69" s="49">
        <f>'дод 2'!F101</f>
        <v>5811208</v>
      </c>
      <c r="F69" s="49">
        <f>'дод 2'!G101</f>
        <v>0</v>
      </c>
      <c r="G69" s="49">
        <f>'дод 2'!H101</f>
        <v>0</v>
      </c>
      <c r="H69" s="49">
        <f>'дод 2'!I101</f>
        <v>0</v>
      </c>
      <c r="I69" s="49">
        <f>'дод 2'!J101</f>
        <v>1095855</v>
      </c>
      <c r="J69" s="49">
        <f>'дод 2'!K101</f>
        <v>1095855</v>
      </c>
      <c r="K69" s="49">
        <f>'дод 2'!L101</f>
        <v>0</v>
      </c>
      <c r="L69" s="49">
        <f>'дод 2'!M101</f>
        <v>0</v>
      </c>
      <c r="M69" s="49">
        <f>'дод 2'!N101</f>
        <v>0</v>
      </c>
      <c r="N69" s="49">
        <f>'дод 2'!O101</f>
        <v>1095855</v>
      </c>
      <c r="O69" s="49">
        <f>'дод 2'!P101</f>
        <v>6907063</v>
      </c>
      <c r="P69" s="191">
        <v>93</v>
      </c>
    </row>
    <row r="70" spans="1:16" s="54" customFormat="1" ht="68.25" customHeight="1" x14ac:dyDescent="0.25">
      <c r="A70" s="88"/>
      <c r="B70" s="88"/>
      <c r="C70" s="91" t="s">
        <v>578</v>
      </c>
      <c r="D70" s="84">
        <f>'дод 2'!E102</f>
        <v>5811208</v>
      </c>
      <c r="E70" s="84">
        <f>'дод 2'!F102</f>
        <v>5811208</v>
      </c>
      <c r="F70" s="84">
        <f>'дод 2'!G102</f>
        <v>0</v>
      </c>
      <c r="G70" s="84">
        <f>'дод 2'!H102</f>
        <v>0</v>
      </c>
      <c r="H70" s="84">
        <f>'дод 2'!I102</f>
        <v>0</v>
      </c>
      <c r="I70" s="84">
        <f>'дод 2'!J102</f>
        <v>1095855</v>
      </c>
      <c r="J70" s="84">
        <f>'дод 2'!K102</f>
        <v>1095855</v>
      </c>
      <c r="K70" s="84">
        <f>'дод 2'!L102</f>
        <v>0</v>
      </c>
      <c r="L70" s="84">
        <f>'дод 2'!M102</f>
        <v>0</v>
      </c>
      <c r="M70" s="84">
        <f>'дод 2'!N102</f>
        <v>0</v>
      </c>
      <c r="N70" s="84">
        <f>'дод 2'!O102</f>
        <v>1095855</v>
      </c>
      <c r="O70" s="84">
        <f>'дод 2'!P102</f>
        <v>6907063</v>
      </c>
      <c r="P70" s="191"/>
    </row>
    <row r="71" spans="1:16" s="54" customFormat="1" ht="63" x14ac:dyDescent="0.25">
      <c r="A71" s="60" t="s">
        <v>500</v>
      </c>
      <c r="B71" s="60" t="s">
        <v>59</v>
      </c>
      <c r="C71" s="98" t="s">
        <v>522</v>
      </c>
      <c r="D71" s="49">
        <f>'дод 2'!E103</f>
        <v>2612700</v>
      </c>
      <c r="E71" s="49">
        <f>'дод 2'!F103</f>
        <v>2612700</v>
      </c>
      <c r="F71" s="49">
        <f>'дод 2'!G103</f>
        <v>1459720</v>
      </c>
      <c r="G71" s="49">
        <f>'дод 2'!H103</f>
        <v>0</v>
      </c>
      <c r="H71" s="49">
        <f>'дод 2'!I103</f>
        <v>0</v>
      </c>
      <c r="I71" s="49">
        <f>'дод 2'!J103</f>
        <v>72000</v>
      </c>
      <c r="J71" s="49">
        <f>'дод 2'!K103</f>
        <v>72000</v>
      </c>
      <c r="K71" s="49">
        <f>'дод 2'!L103</f>
        <v>0</v>
      </c>
      <c r="L71" s="49">
        <f>'дод 2'!M103</f>
        <v>0</v>
      </c>
      <c r="M71" s="49">
        <f>'дод 2'!N103</f>
        <v>0</v>
      </c>
      <c r="N71" s="49">
        <f>'дод 2'!O103</f>
        <v>72000</v>
      </c>
      <c r="O71" s="49">
        <f>'дод 2'!P103</f>
        <v>2684700</v>
      </c>
      <c r="P71" s="191"/>
    </row>
    <row r="72" spans="1:16" s="54" customFormat="1" ht="50.25" customHeight="1" x14ac:dyDescent="0.25">
      <c r="A72" s="60"/>
      <c r="B72" s="60"/>
      <c r="C72" s="91" t="s">
        <v>385</v>
      </c>
      <c r="D72" s="84">
        <f>'дод 2'!E104</f>
        <v>2612700</v>
      </c>
      <c r="E72" s="84">
        <f>'дод 2'!F104</f>
        <v>2612700</v>
      </c>
      <c r="F72" s="84">
        <f>'дод 2'!G104</f>
        <v>1459720</v>
      </c>
      <c r="G72" s="84">
        <f>'дод 2'!H104</f>
        <v>0</v>
      </c>
      <c r="H72" s="84">
        <f>'дод 2'!I104</f>
        <v>0</v>
      </c>
      <c r="I72" s="84">
        <f>'дод 2'!J104</f>
        <v>72000</v>
      </c>
      <c r="J72" s="84">
        <f>'дод 2'!K104</f>
        <v>72000</v>
      </c>
      <c r="K72" s="84">
        <f>'дод 2'!L104</f>
        <v>0</v>
      </c>
      <c r="L72" s="84">
        <f>'дод 2'!M104</f>
        <v>0</v>
      </c>
      <c r="M72" s="84">
        <f>'дод 2'!N104</f>
        <v>0</v>
      </c>
      <c r="N72" s="84">
        <f>'дод 2'!O104</f>
        <v>72000</v>
      </c>
      <c r="O72" s="84">
        <f>'дод 2'!P104</f>
        <v>2684700</v>
      </c>
      <c r="P72" s="191"/>
    </row>
    <row r="73" spans="1:16" s="54" customFormat="1" ht="63" x14ac:dyDescent="0.25">
      <c r="A73" s="60" t="s">
        <v>538</v>
      </c>
      <c r="B73" s="60" t="s">
        <v>59</v>
      </c>
      <c r="C73" s="36" t="s">
        <v>536</v>
      </c>
      <c r="D73" s="49">
        <f>'дод 2'!E105</f>
        <v>1174231</v>
      </c>
      <c r="E73" s="49">
        <f>'дод 2'!F105</f>
        <v>1174231</v>
      </c>
      <c r="F73" s="49">
        <f>'дод 2'!G105</f>
        <v>962484</v>
      </c>
      <c r="G73" s="49">
        <f>'дод 2'!H105</f>
        <v>0</v>
      </c>
      <c r="H73" s="49">
        <f>'дод 2'!I105</f>
        <v>0</v>
      </c>
      <c r="I73" s="49">
        <f>'дод 2'!J105</f>
        <v>0</v>
      </c>
      <c r="J73" s="49">
        <f>'дод 2'!K105</f>
        <v>0</v>
      </c>
      <c r="K73" s="49">
        <f>'дод 2'!L105</f>
        <v>0</v>
      </c>
      <c r="L73" s="49">
        <f>'дод 2'!M105</f>
        <v>0</v>
      </c>
      <c r="M73" s="49">
        <f>'дод 2'!N105</f>
        <v>0</v>
      </c>
      <c r="N73" s="49">
        <f>'дод 2'!O105</f>
        <v>0</v>
      </c>
      <c r="O73" s="49">
        <f>'дод 2'!P105</f>
        <v>1174231</v>
      </c>
      <c r="P73" s="191"/>
    </row>
    <row r="74" spans="1:16" s="54" customFormat="1" ht="63" x14ac:dyDescent="0.25">
      <c r="A74" s="60"/>
      <c r="B74" s="60"/>
      <c r="C74" s="91" t="s">
        <v>537</v>
      </c>
      <c r="D74" s="84">
        <f>'дод 2'!E106</f>
        <v>1174231</v>
      </c>
      <c r="E74" s="84">
        <f>'дод 2'!F106</f>
        <v>1174231</v>
      </c>
      <c r="F74" s="84">
        <f>'дод 2'!G106</f>
        <v>962484</v>
      </c>
      <c r="G74" s="84">
        <f>'дод 2'!H106</f>
        <v>0</v>
      </c>
      <c r="H74" s="84">
        <f>'дод 2'!I106</f>
        <v>0</v>
      </c>
      <c r="I74" s="84">
        <f>'дод 2'!J106</f>
        <v>0</v>
      </c>
      <c r="J74" s="84">
        <f>'дод 2'!K106</f>
        <v>0</v>
      </c>
      <c r="K74" s="84">
        <f>'дод 2'!L106</f>
        <v>0</v>
      </c>
      <c r="L74" s="84">
        <f>'дод 2'!M106</f>
        <v>0</v>
      </c>
      <c r="M74" s="84">
        <f>'дод 2'!N106</f>
        <v>0</v>
      </c>
      <c r="N74" s="84">
        <f>'дод 2'!O106</f>
        <v>0</v>
      </c>
      <c r="O74" s="84">
        <f>'дод 2'!P106</f>
        <v>1174231</v>
      </c>
      <c r="P74" s="191"/>
    </row>
    <row r="75" spans="1:16" s="52" customFormat="1" ht="19.5" customHeight="1" x14ac:dyDescent="0.25">
      <c r="A75" s="38" t="s">
        <v>60</v>
      </c>
      <c r="B75" s="39"/>
      <c r="C75" s="9" t="s">
        <v>539</v>
      </c>
      <c r="D75" s="48">
        <f>D80+D85+D87+D89+D91+D94+D95+D84</f>
        <v>88080791.400000006</v>
      </c>
      <c r="E75" s="48">
        <f t="shared" ref="E75:O75" si="11">E80+E85+E87+E89+E91+E94+E95+E84</f>
        <v>88080791.400000006</v>
      </c>
      <c r="F75" s="48">
        <f t="shared" si="11"/>
        <v>2387600</v>
      </c>
      <c r="G75" s="48">
        <f t="shared" si="11"/>
        <v>61784</v>
      </c>
      <c r="H75" s="48">
        <f t="shared" si="11"/>
        <v>0</v>
      </c>
      <c r="I75" s="48">
        <f t="shared" si="11"/>
        <v>66962036.82</v>
      </c>
      <c r="J75" s="48">
        <f t="shared" si="11"/>
        <v>66962036.82</v>
      </c>
      <c r="K75" s="48">
        <f t="shared" si="11"/>
        <v>0</v>
      </c>
      <c r="L75" s="48">
        <f t="shared" si="11"/>
        <v>0</v>
      </c>
      <c r="M75" s="48">
        <f t="shared" si="11"/>
        <v>0</v>
      </c>
      <c r="N75" s="48">
        <f t="shared" si="11"/>
        <v>66962036.82</v>
      </c>
      <c r="O75" s="48">
        <f t="shared" si="11"/>
        <v>155042828.22</v>
      </c>
      <c r="P75" s="191"/>
    </row>
    <row r="76" spans="1:16" s="53" customFormat="1" ht="31.5" hidden="1" customHeight="1" x14ac:dyDescent="0.25">
      <c r="A76" s="75"/>
      <c r="B76" s="78"/>
      <c r="C76" s="79" t="s">
        <v>392</v>
      </c>
      <c r="D76" s="80">
        <f>D81+D86+D88</f>
        <v>0</v>
      </c>
      <c r="E76" s="80">
        <f t="shared" ref="E76:O76" si="12">E81+E86+E88</f>
        <v>0</v>
      </c>
      <c r="F76" s="80">
        <f t="shared" si="12"/>
        <v>0</v>
      </c>
      <c r="G76" s="80">
        <f t="shared" si="12"/>
        <v>0</v>
      </c>
      <c r="H76" s="80">
        <f t="shared" si="12"/>
        <v>0</v>
      </c>
      <c r="I76" s="80">
        <f t="shared" si="12"/>
        <v>0</v>
      </c>
      <c r="J76" s="80">
        <f t="shared" si="12"/>
        <v>0</v>
      </c>
      <c r="K76" s="80">
        <f t="shared" si="12"/>
        <v>0</v>
      </c>
      <c r="L76" s="80">
        <f t="shared" si="12"/>
        <v>0</v>
      </c>
      <c r="M76" s="80">
        <f t="shared" si="12"/>
        <v>0</v>
      </c>
      <c r="N76" s="80">
        <f t="shared" si="12"/>
        <v>0</v>
      </c>
      <c r="O76" s="80">
        <f t="shared" si="12"/>
        <v>0</v>
      </c>
      <c r="P76" s="191"/>
    </row>
    <row r="77" spans="1:16" s="53" customFormat="1" ht="47.25" hidden="1" customHeight="1" x14ac:dyDescent="0.25">
      <c r="A77" s="75"/>
      <c r="B77" s="78"/>
      <c r="C77" s="79" t="s">
        <v>393</v>
      </c>
      <c r="D77" s="80">
        <f>D82+D92</f>
        <v>0</v>
      </c>
      <c r="E77" s="80">
        <f t="shared" ref="E77:O77" si="13">E82+E92</f>
        <v>0</v>
      </c>
      <c r="F77" s="80">
        <f t="shared" si="13"/>
        <v>0</v>
      </c>
      <c r="G77" s="80">
        <f t="shared" si="13"/>
        <v>0</v>
      </c>
      <c r="H77" s="80">
        <f t="shared" si="13"/>
        <v>0</v>
      </c>
      <c r="I77" s="80">
        <f t="shared" si="13"/>
        <v>0</v>
      </c>
      <c r="J77" s="80">
        <f t="shared" si="13"/>
        <v>0</v>
      </c>
      <c r="K77" s="80">
        <f t="shared" si="13"/>
        <v>0</v>
      </c>
      <c r="L77" s="80">
        <f t="shared" si="13"/>
        <v>0</v>
      </c>
      <c r="M77" s="80">
        <f t="shared" si="13"/>
        <v>0</v>
      </c>
      <c r="N77" s="80">
        <f t="shared" si="13"/>
        <v>0</v>
      </c>
      <c r="O77" s="80">
        <f t="shared" si="13"/>
        <v>0</v>
      </c>
      <c r="P77" s="191"/>
    </row>
    <row r="78" spans="1:16" s="53" customFormat="1" ht="53.25" customHeight="1" x14ac:dyDescent="0.25">
      <c r="A78" s="75"/>
      <c r="B78" s="78"/>
      <c r="C78" s="79" t="s">
        <v>394</v>
      </c>
      <c r="D78" s="80">
        <f>D90+D93</f>
        <v>11403700</v>
      </c>
      <c r="E78" s="80">
        <f t="shared" ref="E78:O78" si="14">E90+E93</f>
        <v>11403700</v>
      </c>
      <c r="F78" s="80">
        <f t="shared" si="14"/>
        <v>0</v>
      </c>
      <c r="G78" s="80">
        <f t="shared" si="14"/>
        <v>0</v>
      </c>
      <c r="H78" s="80">
        <f t="shared" si="14"/>
        <v>0</v>
      </c>
      <c r="I78" s="80">
        <f t="shared" si="14"/>
        <v>0</v>
      </c>
      <c r="J78" s="80">
        <f t="shared" si="14"/>
        <v>0</v>
      </c>
      <c r="K78" s="80">
        <f t="shared" si="14"/>
        <v>0</v>
      </c>
      <c r="L78" s="80">
        <f t="shared" si="14"/>
        <v>0</v>
      </c>
      <c r="M78" s="80">
        <f t="shared" si="14"/>
        <v>0</v>
      </c>
      <c r="N78" s="80">
        <f t="shared" si="14"/>
        <v>0</v>
      </c>
      <c r="O78" s="80">
        <f t="shared" si="14"/>
        <v>11403700</v>
      </c>
      <c r="P78" s="191"/>
    </row>
    <row r="79" spans="1:16" s="53" customFormat="1" ht="15.75" hidden="1" customHeight="1" x14ac:dyDescent="0.25">
      <c r="A79" s="75"/>
      <c r="B79" s="78"/>
      <c r="C79" s="79" t="s">
        <v>395</v>
      </c>
      <c r="D79" s="80">
        <f>D83</f>
        <v>0</v>
      </c>
      <c r="E79" s="80">
        <f t="shared" ref="E79:O79" si="15">E83</f>
        <v>0</v>
      </c>
      <c r="F79" s="80">
        <f t="shared" si="15"/>
        <v>0</v>
      </c>
      <c r="G79" s="80">
        <f t="shared" si="15"/>
        <v>0</v>
      </c>
      <c r="H79" s="80">
        <f t="shared" si="15"/>
        <v>0</v>
      </c>
      <c r="I79" s="80">
        <f t="shared" si="15"/>
        <v>0</v>
      </c>
      <c r="J79" s="80">
        <f t="shared" si="15"/>
        <v>0</v>
      </c>
      <c r="K79" s="80">
        <f t="shared" si="15"/>
        <v>0</v>
      </c>
      <c r="L79" s="80">
        <f t="shared" si="15"/>
        <v>0</v>
      </c>
      <c r="M79" s="80">
        <f t="shared" si="15"/>
        <v>0</v>
      </c>
      <c r="N79" s="80">
        <f t="shared" si="15"/>
        <v>0</v>
      </c>
      <c r="O79" s="80">
        <f t="shared" si="15"/>
        <v>0</v>
      </c>
      <c r="P79" s="191"/>
    </row>
    <row r="80" spans="1:16" ht="24.75" customHeight="1" x14ac:dyDescent="0.25">
      <c r="A80" s="37" t="s">
        <v>61</v>
      </c>
      <c r="B80" s="37" t="s">
        <v>62</v>
      </c>
      <c r="C80" s="6" t="s">
        <v>467</v>
      </c>
      <c r="D80" s="49">
        <f>'дод 2'!E131</f>
        <v>39300311.399999999</v>
      </c>
      <c r="E80" s="49">
        <f>'дод 2'!F131</f>
        <v>39300311.399999999</v>
      </c>
      <c r="F80" s="49">
        <f>'дод 2'!G131</f>
        <v>0</v>
      </c>
      <c r="G80" s="49">
        <f>'дод 2'!H131</f>
        <v>0</v>
      </c>
      <c r="H80" s="49">
        <f>'дод 2'!I131</f>
        <v>0</v>
      </c>
      <c r="I80" s="49">
        <f>'дод 2'!J131</f>
        <v>38830682.82</v>
      </c>
      <c r="J80" s="49">
        <f>'дод 2'!K131</f>
        <v>38830682.82</v>
      </c>
      <c r="K80" s="49">
        <f>'дод 2'!L131</f>
        <v>0</v>
      </c>
      <c r="L80" s="49">
        <f>'дод 2'!M131</f>
        <v>0</v>
      </c>
      <c r="M80" s="49">
        <f>'дод 2'!N131</f>
        <v>0</v>
      </c>
      <c r="N80" s="49">
        <f>'дод 2'!O131</f>
        <v>38830682.82</v>
      </c>
      <c r="O80" s="49">
        <f>'дод 2'!P131</f>
        <v>78130994.219999999</v>
      </c>
      <c r="P80" s="191"/>
    </row>
    <row r="81" spans="1:16" s="54" customFormat="1" ht="31.5" hidden="1" customHeight="1" x14ac:dyDescent="0.25">
      <c r="A81" s="82"/>
      <c r="B81" s="82"/>
      <c r="C81" s="83" t="s">
        <v>392</v>
      </c>
      <c r="D81" s="84">
        <f>'дод 2'!E132</f>
        <v>0</v>
      </c>
      <c r="E81" s="84">
        <f>'дод 2'!F132</f>
        <v>0</v>
      </c>
      <c r="F81" s="84">
        <f>'дод 2'!G132</f>
        <v>0</v>
      </c>
      <c r="G81" s="84">
        <f>'дод 2'!H132</f>
        <v>0</v>
      </c>
      <c r="H81" s="84">
        <f>'дод 2'!I132</f>
        <v>0</v>
      </c>
      <c r="I81" s="84">
        <f>'дод 2'!J132</f>
        <v>0</v>
      </c>
      <c r="J81" s="84">
        <f>'дод 2'!K132</f>
        <v>0</v>
      </c>
      <c r="K81" s="84">
        <f>'дод 2'!L132</f>
        <v>0</v>
      </c>
      <c r="L81" s="84">
        <f>'дод 2'!M132</f>
        <v>0</v>
      </c>
      <c r="M81" s="84">
        <f>'дод 2'!N132</f>
        <v>0</v>
      </c>
      <c r="N81" s="84">
        <f>'дод 2'!O132</f>
        <v>0</v>
      </c>
      <c r="O81" s="84">
        <f>'дод 2'!P132</f>
        <v>0</v>
      </c>
      <c r="P81" s="191"/>
    </row>
    <row r="82" spans="1:16" s="54" customFormat="1" ht="47.25" hidden="1" customHeight="1" x14ac:dyDescent="0.25">
      <c r="A82" s="82"/>
      <c r="B82" s="82"/>
      <c r="C82" s="83" t="s">
        <v>393</v>
      </c>
      <c r="D82" s="84">
        <f>'дод 2'!E133</f>
        <v>0</v>
      </c>
      <c r="E82" s="84">
        <f>'дод 2'!F133</f>
        <v>0</v>
      </c>
      <c r="F82" s="84">
        <f>'дод 2'!G133</f>
        <v>0</v>
      </c>
      <c r="G82" s="84">
        <f>'дод 2'!H133</f>
        <v>0</v>
      </c>
      <c r="H82" s="84">
        <f>'дод 2'!I133</f>
        <v>0</v>
      </c>
      <c r="I82" s="84">
        <f>'дод 2'!J133</f>
        <v>0</v>
      </c>
      <c r="J82" s="84">
        <f>'дод 2'!K133</f>
        <v>0</v>
      </c>
      <c r="K82" s="84">
        <f>'дод 2'!L133</f>
        <v>0</v>
      </c>
      <c r="L82" s="84">
        <f>'дод 2'!M133</f>
        <v>0</v>
      </c>
      <c r="M82" s="84">
        <f>'дод 2'!N133</f>
        <v>0</v>
      </c>
      <c r="N82" s="84">
        <f>'дод 2'!O133</f>
        <v>0</v>
      </c>
      <c r="O82" s="84">
        <f>'дод 2'!P133</f>
        <v>0</v>
      </c>
      <c r="P82" s="191"/>
    </row>
    <row r="83" spans="1:16" s="54" customFormat="1" ht="15.75" hidden="1" customHeight="1" x14ac:dyDescent="0.25">
      <c r="A83" s="82"/>
      <c r="B83" s="82"/>
      <c r="C83" s="83" t="s">
        <v>395</v>
      </c>
      <c r="D83" s="84">
        <f>'дод 2'!E134</f>
        <v>0</v>
      </c>
      <c r="E83" s="84">
        <f>'дод 2'!F134</f>
        <v>0</v>
      </c>
      <c r="F83" s="84">
        <f>'дод 2'!G134</f>
        <v>0</v>
      </c>
      <c r="G83" s="84">
        <f>'дод 2'!H134</f>
        <v>0</v>
      </c>
      <c r="H83" s="84">
        <f>'дод 2'!I134</f>
        <v>0</v>
      </c>
      <c r="I83" s="84">
        <f>'дод 2'!J134</f>
        <v>0</v>
      </c>
      <c r="J83" s="84">
        <f>'дод 2'!K134</f>
        <v>0</v>
      </c>
      <c r="K83" s="84">
        <f>'дод 2'!L134</f>
        <v>0</v>
      </c>
      <c r="L83" s="84">
        <f>'дод 2'!M134</f>
        <v>0</v>
      </c>
      <c r="M83" s="84">
        <f>'дод 2'!N134</f>
        <v>0</v>
      </c>
      <c r="N83" s="84">
        <f>'дод 2'!O134</f>
        <v>0</v>
      </c>
      <c r="O83" s="84">
        <f>'дод 2'!P134</f>
        <v>0</v>
      </c>
      <c r="P83" s="191"/>
    </row>
    <row r="84" spans="1:16" ht="24" hidden="1" customHeight="1" x14ac:dyDescent="0.25">
      <c r="A84" s="37">
        <v>2020</v>
      </c>
      <c r="B84" s="59" t="s">
        <v>451</v>
      </c>
      <c r="C84" s="6" t="s">
        <v>454</v>
      </c>
      <c r="D84" s="49">
        <f>'дод 2'!E135</f>
        <v>90000</v>
      </c>
      <c r="E84" s="49">
        <f>'дод 2'!F135</f>
        <v>90000</v>
      </c>
      <c r="F84" s="49">
        <f>'дод 2'!G135</f>
        <v>0</v>
      </c>
      <c r="G84" s="49">
        <f>'дод 2'!H135</f>
        <v>0</v>
      </c>
      <c r="H84" s="49">
        <f>'дод 2'!I135</f>
        <v>0</v>
      </c>
      <c r="I84" s="49">
        <f>'дод 2'!J135</f>
        <v>0</v>
      </c>
      <c r="J84" s="49">
        <f>'дод 2'!K135</f>
        <v>0</v>
      </c>
      <c r="K84" s="49">
        <f>'дод 2'!L135</f>
        <v>0</v>
      </c>
      <c r="L84" s="49">
        <f>'дод 2'!M135</f>
        <v>0</v>
      </c>
      <c r="M84" s="49">
        <f>'дод 2'!N135</f>
        <v>0</v>
      </c>
      <c r="N84" s="49">
        <f>'дод 2'!O135</f>
        <v>0</v>
      </c>
      <c r="O84" s="49">
        <f>'дод 2'!P135</f>
        <v>90000</v>
      </c>
      <c r="P84" s="191"/>
    </row>
    <row r="85" spans="1:16" ht="36.75" customHeight="1" x14ac:dyDescent="0.25">
      <c r="A85" s="37" t="s">
        <v>122</v>
      </c>
      <c r="B85" s="37" t="s">
        <v>63</v>
      </c>
      <c r="C85" s="6" t="s">
        <v>468</v>
      </c>
      <c r="D85" s="49">
        <f>'дод 2'!E136</f>
        <v>3742159</v>
      </c>
      <c r="E85" s="49">
        <f>'дод 2'!F136</f>
        <v>3742159</v>
      </c>
      <c r="F85" s="49">
        <f>'дод 2'!G136</f>
        <v>0</v>
      </c>
      <c r="G85" s="49">
        <f>'дод 2'!H136</f>
        <v>0</v>
      </c>
      <c r="H85" s="49">
        <f>'дод 2'!I136</f>
        <v>0</v>
      </c>
      <c r="I85" s="49">
        <f>'дод 2'!J136</f>
        <v>5100000</v>
      </c>
      <c r="J85" s="49">
        <f>'дод 2'!K136</f>
        <v>5100000</v>
      </c>
      <c r="K85" s="49">
        <f>'дод 2'!L136</f>
        <v>0</v>
      </c>
      <c r="L85" s="49">
        <f>'дод 2'!M136</f>
        <v>0</v>
      </c>
      <c r="M85" s="49">
        <f>'дод 2'!N136</f>
        <v>0</v>
      </c>
      <c r="N85" s="49">
        <f>'дод 2'!O136</f>
        <v>5100000</v>
      </c>
      <c r="O85" s="49">
        <f>'дод 2'!P136</f>
        <v>8842159</v>
      </c>
      <c r="P85" s="191"/>
    </row>
    <row r="86" spans="1:16" s="54" customFormat="1" ht="31.5" hidden="1" customHeight="1" x14ac:dyDescent="0.25">
      <c r="A86" s="82"/>
      <c r="B86" s="82"/>
      <c r="C86" s="83" t="s">
        <v>392</v>
      </c>
      <c r="D86" s="84">
        <f>'дод 2'!E137</f>
        <v>0</v>
      </c>
      <c r="E86" s="84">
        <f>'дод 2'!F137</f>
        <v>0</v>
      </c>
      <c r="F86" s="84">
        <f>'дод 2'!G137</f>
        <v>0</v>
      </c>
      <c r="G86" s="84">
        <f>'дод 2'!H137</f>
        <v>0</v>
      </c>
      <c r="H86" s="84">
        <f>'дод 2'!I137</f>
        <v>0</v>
      </c>
      <c r="I86" s="84">
        <f>'дод 2'!J137</f>
        <v>0</v>
      </c>
      <c r="J86" s="84">
        <f>'дод 2'!K137</f>
        <v>0</v>
      </c>
      <c r="K86" s="84">
        <f>'дод 2'!L137</f>
        <v>0</v>
      </c>
      <c r="L86" s="84">
        <f>'дод 2'!M137</f>
        <v>0</v>
      </c>
      <c r="M86" s="84">
        <f>'дод 2'!N137</f>
        <v>0</v>
      </c>
      <c r="N86" s="84">
        <f>'дод 2'!O137</f>
        <v>0</v>
      </c>
      <c r="O86" s="84">
        <f>'дод 2'!P137</f>
        <v>0</v>
      </c>
      <c r="P86" s="191"/>
    </row>
    <row r="87" spans="1:16" ht="19.5" customHeight="1" x14ac:dyDescent="0.25">
      <c r="A87" s="37" t="s">
        <v>123</v>
      </c>
      <c r="B87" s="37" t="s">
        <v>64</v>
      </c>
      <c r="C87" s="6" t="s">
        <v>469</v>
      </c>
      <c r="D87" s="49">
        <f>'дод 2'!E138</f>
        <v>7683806</v>
      </c>
      <c r="E87" s="49">
        <f>'дод 2'!F138</f>
        <v>7683806</v>
      </c>
      <c r="F87" s="49">
        <f>'дод 2'!G138</f>
        <v>0</v>
      </c>
      <c r="G87" s="49">
        <f>'дод 2'!H138</f>
        <v>0</v>
      </c>
      <c r="H87" s="49">
        <f>'дод 2'!I138</f>
        <v>0</v>
      </c>
      <c r="I87" s="49">
        <f>'дод 2'!J138</f>
        <v>0</v>
      </c>
      <c r="J87" s="49">
        <f>'дод 2'!K138</f>
        <v>0</v>
      </c>
      <c r="K87" s="49">
        <f>'дод 2'!L138</f>
        <v>0</v>
      </c>
      <c r="L87" s="49">
        <f>'дод 2'!M138</f>
        <v>0</v>
      </c>
      <c r="M87" s="49">
        <f>'дод 2'!N138</f>
        <v>0</v>
      </c>
      <c r="N87" s="49">
        <f>'дод 2'!O138</f>
        <v>0</v>
      </c>
      <c r="O87" s="49">
        <f>'дод 2'!P138</f>
        <v>7683806</v>
      </c>
      <c r="P87" s="191"/>
    </row>
    <row r="88" spans="1:16" s="54" customFormat="1" ht="31.5" hidden="1" customHeight="1" x14ac:dyDescent="0.25">
      <c r="A88" s="82"/>
      <c r="B88" s="82"/>
      <c r="C88" s="83" t="s">
        <v>392</v>
      </c>
      <c r="D88" s="84">
        <f>'дод 2'!E139</f>
        <v>0</v>
      </c>
      <c r="E88" s="84">
        <f>'дод 2'!F139</f>
        <v>0</v>
      </c>
      <c r="F88" s="84">
        <f>'дод 2'!G139</f>
        <v>0</v>
      </c>
      <c r="G88" s="84">
        <f>'дод 2'!H139</f>
        <v>0</v>
      </c>
      <c r="H88" s="84">
        <f>'дод 2'!I139</f>
        <v>0</v>
      </c>
      <c r="I88" s="84">
        <f>'дод 2'!J139</f>
        <v>0</v>
      </c>
      <c r="J88" s="84">
        <f>'дод 2'!K139</f>
        <v>0</v>
      </c>
      <c r="K88" s="84">
        <f>'дод 2'!L139</f>
        <v>0</v>
      </c>
      <c r="L88" s="84">
        <f>'дод 2'!M139</f>
        <v>0</v>
      </c>
      <c r="M88" s="84">
        <f>'дод 2'!N139</f>
        <v>0</v>
      </c>
      <c r="N88" s="84">
        <f>'дод 2'!O139</f>
        <v>0</v>
      </c>
      <c r="O88" s="84">
        <f>'дод 2'!P139</f>
        <v>0</v>
      </c>
      <c r="P88" s="191"/>
    </row>
    <row r="89" spans="1:16" ht="48.75" customHeight="1" x14ac:dyDescent="0.25">
      <c r="A89" s="37" t="s">
        <v>124</v>
      </c>
      <c r="B89" s="37" t="s">
        <v>315</v>
      </c>
      <c r="C89" s="6" t="s">
        <v>470</v>
      </c>
      <c r="D89" s="49">
        <f>'дод 2'!E140</f>
        <v>2944631</v>
      </c>
      <c r="E89" s="49">
        <f>'дод 2'!F140</f>
        <v>2944631</v>
      </c>
      <c r="F89" s="49">
        <f>'дод 2'!G140</f>
        <v>0</v>
      </c>
      <c r="G89" s="49">
        <f>'дод 2'!H140</f>
        <v>0</v>
      </c>
      <c r="H89" s="49">
        <f>'дод 2'!I140</f>
        <v>0</v>
      </c>
      <c r="I89" s="49">
        <f>'дод 2'!J140</f>
        <v>0</v>
      </c>
      <c r="J89" s="49">
        <f>'дод 2'!K140</f>
        <v>0</v>
      </c>
      <c r="K89" s="49">
        <f>'дод 2'!L140</f>
        <v>0</v>
      </c>
      <c r="L89" s="49">
        <f>'дод 2'!M140</f>
        <v>0</v>
      </c>
      <c r="M89" s="49">
        <f>'дод 2'!N140</f>
        <v>0</v>
      </c>
      <c r="N89" s="49">
        <f>'дод 2'!O140</f>
        <v>0</v>
      </c>
      <c r="O89" s="49">
        <f>'дод 2'!P140</f>
        <v>2944631</v>
      </c>
      <c r="P89" s="191"/>
    </row>
    <row r="90" spans="1:16" s="54" customFormat="1" ht="47.25" hidden="1" customHeight="1" x14ac:dyDescent="0.25">
      <c r="A90" s="82"/>
      <c r="B90" s="82"/>
      <c r="C90" s="85" t="s">
        <v>394</v>
      </c>
      <c r="D90" s="84">
        <f>'дод 2'!E141</f>
        <v>0</v>
      </c>
      <c r="E90" s="84">
        <f>'дод 2'!F141</f>
        <v>0</v>
      </c>
      <c r="F90" s="84">
        <f>'дод 2'!G141</f>
        <v>0</v>
      </c>
      <c r="G90" s="84">
        <f>'дод 2'!H141</f>
        <v>0</v>
      </c>
      <c r="H90" s="84">
        <f>'дод 2'!I141</f>
        <v>0</v>
      </c>
      <c r="I90" s="84">
        <f>'дод 2'!J141</f>
        <v>0</v>
      </c>
      <c r="J90" s="84">
        <f>'дод 2'!K141</f>
        <v>0</v>
      </c>
      <c r="K90" s="84">
        <f>'дод 2'!L141</f>
        <v>0</v>
      </c>
      <c r="L90" s="84">
        <f>'дод 2'!M141</f>
        <v>0</v>
      </c>
      <c r="M90" s="84">
        <f>'дод 2'!N141</f>
        <v>0</v>
      </c>
      <c r="N90" s="84">
        <f>'дод 2'!O141</f>
        <v>0</v>
      </c>
      <c r="O90" s="84">
        <f>'дод 2'!P141</f>
        <v>0</v>
      </c>
      <c r="P90" s="191"/>
    </row>
    <row r="91" spans="1:16" ht="31.5" x14ac:dyDescent="0.25">
      <c r="A91" s="40">
        <v>2144</v>
      </c>
      <c r="B91" s="37" t="s">
        <v>65</v>
      </c>
      <c r="C91" s="6" t="s">
        <v>406</v>
      </c>
      <c r="D91" s="49">
        <f>'дод 2'!E142</f>
        <v>11403700</v>
      </c>
      <c r="E91" s="49">
        <f>'дод 2'!F142</f>
        <v>11403700</v>
      </c>
      <c r="F91" s="49">
        <f>'дод 2'!G142</f>
        <v>0</v>
      </c>
      <c r="G91" s="49">
        <f>'дод 2'!H142</f>
        <v>0</v>
      </c>
      <c r="H91" s="49">
        <f>'дод 2'!I142</f>
        <v>0</v>
      </c>
      <c r="I91" s="49">
        <f>'дод 2'!J142</f>
        <v>0</v>
      </c>
      <c r="J91" s="49">
        <f>'дод 2'!K142</f>
        <v>0</v>
      </c>
      <c r="K91" s="49">
        <f>'дод 2'!L142</f>
        <v>0</v>
      </c>
      <c r="L91" s="49">
        <f>'дод 2'!M142</f>
        <v>0</v>
      </c>
      <c r="M91" s="49">
        <f>'дод 2'!N142</f>
        <v>0</v>
      </c>
      <c r="N91" s="49">
        <f>'дод 2'!O142</f>
        <v>0</v>
      </c>
      <c r="O91" s="49">
        <f>'дод 2'!P142</f>
        <v>11403700</v>
      </c>
      <c r="P91" s="191"/>
    </row>
    <row r="92" spans="1:16" s="54" customFormat="1" ht="47.25" hidden="1" customHeight="1" x14ac:dyDescent="0.25">
      <c r="A92" s="86"/>
      <c r="B92" s="82"/>
      <c r="C92" s="83" t="s">
        <v>393</v>
      </c>
      <c r="D92" s="84">
        <f>'дод 2'!E143</f>
        <v>0</v>
      </c>
      <c r="E92" s="84">
        <f>'дод 2'!F143</f>
        <v>0</v>
      </c>
      <c r="F92" s="84">
        <f>'дод 2'!G143</f>
        <v>0</v>
      </c>
      <c r="G92" s="84">
        <f>'дод 2'!H143</f>
        <v>0</v>
      </c>
      <c r="H92" s="84">
        <f>'дод 2'!I143</f>
        <v>0</v>
      </c>
      <c r="I92" s="84">
        <f>'дод 2'!J143</f>
        <v>0</v>
      </c>
      <c r="J92" s="84">
        <f>'дод 2'!K143</f>
        <v>0</v>
      </c>
      <c r="K92" s="84">
        <f>'дод 2'!L143</f>
        <v>0</v>
      </c>
      <c r="L92" s="84">
        <f>'дод 2'!M143</f>
        <v>0</v>
      </c>
      <c r="M92" s="84">
        <f>'дод 2'!N143</f>
        <v>0</v>
      </c>
      <c r="N92" s="84">
        <f>'дод 2'!O143</f>
        <v>0</v>
      </c>
      <c r="O92" s="84">
        <f>'дод 2'!P143</f>
        <v>0</v>
      </c>
      <c r="P92" s="191"/>
    </row>
    <row r="93" spans="1:16" s="54" customFormat="1" ht="63" x14ac:dyDescent="0.25">
      <c r="A93" s="86"/>
      <c r="B93" s="82"/>
      <c r="C93" s="83" t="s">
        <v>394</v>
      </c>
      <c r="D93" s="84">
        <f>'дод 2'!E144</f>
        <v>11403700</v>
      </c>
      <c r="E93" s="84">
        <f>'дод 2'!F144</f>
        <v>11403700</v>
      </c>
      <c r="F93" s="84">
        <f>'дод 2'!G144</f>
        <v>0</v>
      </c>
      <c r="G93" s="84">
        <f>'дод 2'!H144</f>
        <v>0</v>
      </c>
      <c r="H93" s="84">
        <f>'дод 2'!I144</f>
        <v>0</v>
      </c>
      <c r="I93" s="84">
        <f>'дод 2'!J144</f>
        <v>0</v>
      </c>
      <c r="J93" s="84">
        <f>'дод 2'!K144</f>
        <v>0</v>
      </c>
      <c r="K93" s="84">
        <f>'дод 2'!L144</f>
        <v>0</v>
      </c>
      <c r="L93" s="84">
        <f>'дод 2'!M144</f>
        <v>0</v>
      </c>
      <c r="M93" s="84">
        <f>'дод 2'!N144</f>
        <v>0</v>
      </c>
      <c r="N93" s="84">
        <f>'дод 2'!O144</f>
        <v>0</v>
      </c>
      <c r="O93" s="84">
        <f>'дод 2'!P144</f>
        <v>11403700</v>
      </c>
      <c r="P93" s="191"/>
    </row>
    <row r="94" spans="1:16" ht="33.75" customHeight="1" x14ac:dyDescent="0.25">
      <c r="A94" s="37" t="s">
        <v>284</v>
      </c>
      <c r="B94" s="37" t="s">
        <v>65</v>
      </c>
      <c r="C94" s="3" t="s">
        <v>286</v>
      </c>
      <c r="D94" s="49">
        <f>'дод 2'!E145</f>
        <v>3062384</v>
      </c>
      <c r="E94" s="49">
        <f>'дод 2'!F145</f>
        <v>3062384</v>
      </c>
      <c r="F94" s="49">
        <f>'дод 2'!G145</f>
        <v>2387600</v>
      </c>
      <c r="G94" s="49">
        <f>'дод 2'!H145</f>
        <v>61784</v>
      </c>
      <c r="H94" s="49">
        <f>'дод 2'!I145</f>
        <v>0</v>
      </c>
      <c r="I94" s="49">
        <f>'дод 2'!J145</f>
        <v>0</v>
      </c>
      <c r="J94" s="49">
        <f>'дод 2'!K145</f>
        <v>0</v>
      </c>
      <c r="K94" s="49">
        <f>'дод 2'!L145</f>
        <v>0</v>
      </c>
      <c r="L94" s="49">
        <f>'дод 2'!M145</f>
        <v>0</v>
      </c>
      <c r="M94" s="49">
        <f>'дод 2'!N145</f>
        <v>0</v>
      </c>
      <c r="N94" s="49">
        <f>'дод 2'!O145</f>
        <v>0</v>
      </c>
      <c r="O94" s="49">
        <f>'дод 2'!P145</f>
        <v>3062384</v>
      </c>
      <c r="P94" s="191"/>
    </row>
    <row r="95" spans="1:16" ht="21.75" customHeight="1" x14ac:dyDescent="0.25">
      <c r="A95" s="37" t="s">
        <v>285</v>
      </c>
      <c r="B95" s="37" t="s">
        <v>65</v>
      </c>
      <c r="C95" s="3" t="s">
        <v>287</v>
      </c>
      <c r="D95" s="49">
        <f>'дод 2'!E146</f>
        <v>19853800</v>
      </c>
      <c r="E95" s="49">
        <f>'дод 2'!F146</f>
        <v>19853800</v>
      </c>
      <c r="F95" s="49">
        <f>'дод 2'!G146</f>
        <v>0</v>
      </c>
      <c r="G95" s="49">
        <f>'дод 2'!H146</f>
        <v>0</v>
      </c>
      <c r="H95" s="49">
        <f>'дод 2'!I146</f>
        <v>0</v>
      </c>
      <c r="I95" s="49">
        <f>'дод 2'!J146</f>
        <v>23031354</v>
      </c>
      <c r="J95" s="49">
        <f>'дод 2'!K146</f>
        <v>23031354</v>
      </c>
      <c r="K95" s="49">
        <f>'дод 2'!L146</f>
        <v>0</v>
      </c>
      <c r="L95" s="49">
        <f>'дод 2'!M146</f>
        <v>0</v>
      </c>
      <c r="M95" s="49">
        <f>'дод 2'!N146</f>
        <v>0</v>
      </c>
      <c r="N95" s="49">
        <f>'дод 2'!O146</f>
        <v>23031354</v>
      </c>
      <c r="O95" s="49">
        <f>'дод 2'!P146</f>
        <v>42885154</v>
      </c>
      <c r="P95" s="191"/>
    </row>
    <row r="96" spans="1:16" s="52" customFormat="1" ht="33" customHeight="1" x14ac:dyDescent="0.25">
      <c r="A96" s="38" t="s">
        <v>66</v>
      </c>
      <c r="B96" s="41"/>
      <c r="C96" s="2" t="s">
        <v>523</v>
      </c>
      <c r="D96" s="48">
        <f>D102+D103+D104+D106+D107+D108+D110+D112+D113+D114+D115+D116+D117+D118+D119+D121+D123+D124+D125+D126+D127+D128+D130+D134+D135</f>
        <v>155299756.35000002</v>
      </c>
      <c r="E96" s="48">
        <f t="shared" ref="E96:O96" si="16">E102+E103+E104+E106+E107+E108+E110+E112+E113+E114+E115+E116+E117+E118+E119+E121+E123+E124+E125+E126+E127+E128+E130+E134+E135</f>
        <v>155299756.35000002</v>
      </c>
      <c r="F96" s="48">
        <f t="shared" si="16"/>
        <v>21152900</v>
      </c>
      <c r="G96" s="48">
        <f t="shared" si="16"/>
        <v>848091</v>
      </c>
      <c r="H96" s="48">
        <f t="shared" si="16"/>
        <v>0</v>
      </c>
      <c r="I96" s="48">
        <f t="shared" si="16"/>
        <v>2453811.0499999998</v>
      </c>
      <c r="J96" s="48">
        <f t="shared" si="16"/>
        <v>2357611.0499999998</v>
      </c>
      <c r="K96" s="48">
        <f t="shared" si="16"/>
        <v>96200</v>
      </c>
      <c r="L96" s="48">
        <f t="shared" si="16"/>
        <v>75000</v>
      </c>
      <c r="M96" s="48">
        <f t="shared" si="16"/>
        <v>0</v>
      </c>
      <c r="N96" s="48">
        <f t="shared" si="16"/>
        <v>2357611.0499999998</v>
      </c>
      <c r="O96" s="48">
        <f t="shared" si="16"/>
        <v>157753567.40000001</v>
      </c>
      <c r="P96" s="191"/>
    </row>
    <row r="97" spans="1:16" s="53" customFormat="1" ht="262.5" hidden="1" customHeight="1" x14ac:dyDescent="0.25">
      <c r="A97" s="75"/>
      <c r="B97" s="76"/>
      <c r="C97" s="79" t="s">
        <v>447</v>
      </c>
      <c r="D97" s="80">
        <f>D129</f>
        <v>0</v>
      </c>
      <c r="E97" s="80">
        <f t="shared" ref="E97:O97" si="17">E129</f>
        <v>0</v>
      </c>
      <c r="F97" s="80">
        <f t="shared" si="17"/>
        <v>0</v>
      </c>
      <c r="G97" s="80">
        <f t="shared" si="17"/>
        <v>0</v>
      </c>
      <c r="H97" s="80">
        <f t="shared" si="17"/>
        <v>0</v>
      </c>
      <c r="I97" s="80">
        <f t="shared" si="17"/>
        <v>975480.06</v>
      </c>
      <c r="J97" s="80">
        <f t="shared" si="17"/>
        <v>975480.06</v>
      </c>
      <c r="K97" s="80">
        <f t="shared" si="17"/>
        <v>0</v>
      </c>
      <c r="L97" s="80">
        <f t="shared" si="17"/>
        <v>0</v>
      </c>
      <c r="M97" s="80">
        <f t="shared" si="17"/>
        <v>0</v>
      </c>
      <c r="N97" s="80">
        <f t="shared" si="17"/>
        <v>975480.06</v>
      </c>
      <c r="O97" s="80">
        <f t="shared" si="17"/>
        <v>975480.06</v>
      </c>
      <c r="P97" s="191"/>
    </row>
    <row r="98" spans="1:16" s="53" customFormat="1" ht="231" hidden="1" customHeight="1" x14ac:dyDescent="0.25">
      <c r="A98" s="75"/>
      <c r="B98" s="76"/>
      <c r="C98" s="79" t="s">
        <v>446</v>
      </c>
      <c r="D98" s="80">
        <f>D133</f>
        <v>0</v>
      </c>
      <c r="E98" s="80">
        <f t="shared" ref="E98:O98" si="18">E133</f>
        <v>0</v>
      </c>
      <c r="F98" s="80">
        <f t="shared" si="18"/>
        <v>0</v>
      </c>
      <c r="G98" s="80">
        <f t="shared" si="18"/>
        <v>0</v>
      </c>
      <c r="H98" s="80">
        <f t="shared" si="18"/>
        <v>0</v>
      </c>
      <c r="I98" s="80">
        <f t="shared" si="18"/>
        <v>0</v>
      </c>
      <c r="J98" s="80">
        <f t="shared" si="18"/>
        <v>0</v>
      </c>
      <c r="K98" s="80">
        <f t="shared" si="18"/>
        <v>0</v>
      </c>
      <c r="L98" s="80">
        <f t="shared" si="18"/>
        <v>0</v>
      </c>
      <c r="M98" s="80">
        <f t="shared" si="18"/>
        <v>0</v>
      </c>
      <c r="N98" s="80">
        <f t="shared" si="18"/>
        <v>0</v>
      </c>
      <c r="O98" s="80">
        <f t="shared" si="18"/>
        <v>0</v>
      </c>
      <c r="P98" s="191"/>
    </row>
    <row r="99" spans="1:16" s="53" customFormat="1" x14ac:dyDescent="0.25">
      <c r="A99" s="75"/>
      <c r="B99" s="76"/>
      <c r="C99" s="79" t="s">
        <v>397</v>
      </c>
      <c r="D99" s="80">
        <f>D105+D109+D111+D120+D122+D136</f>
        <v>4858460.24</v>
      </c>
      <c r="E99" s="80">
        <f t="shared" ref="E99:O99" si="19">E105+E109+E111+E120+E122+E136</f>
        <v>4858460.24</v>
      </c>
      <c r="F99" s="80">
        <f t="shared" si="19"/>
        <v>0</v>
      </c>
      <c r="G99" s="80">
        <f t="shared" si="19"/>
        <v>0</v>
      </c>
      <c r="H99" s="80">
        <f t="shared" si="19"/>
        <v>0</v>
      </c>
      <c r="I99" s="80">
        <f t="shared" si="19"/>
        <v>0</v>
      </c>
      <c r="J99" s="80">
        <f t="shared" si="19"/>
        <v>0</v>
      </c>
      <c r="K99" s="80">
        <f t="shared" si="19"/>
        <v>0</v>
      </c>
      <c r="L99" s="80">
        <f t="shared" si="19"/>
        <v>0</v>
      </c>
      <c r="M99" s="80">
        <f t="shared" si="19"/>
        <v>0</v>
      </c>
      <c r="N99" s="80">
        <f t="shared" si="19"/>
        <v>0</v>
      </c>
      <c r="O99" s="80">
        <f t="shared" si="19"/>
        <v>4858460.24</v>
      </c>
      <c r="P99" s="191"/>
    </row>
    <row r="100" spans="1:16" s="53" customFormat="1" ht="283.5" x14ac:dyDescent="0.25">
      <c r="A100" s="75"/>
      <c r="B100" s="76"/>
      <c r="C100" s="81" t="s">
        <v>447</v>
      </c>
      <c r="D100" s="80">
        <f>D129</f>
        <v>0</v>
      </c>
      <c r="E100" s="80">
        <f t="shared" ref="E100:O100" si="20">E129</f>
        <v>0</v>
      </c>
      <c r="F100" s="80">
        <f t="shared" si="20"/>
        <v>0</v>
      </c>
      <c r="G100" s="80">
        <f t="shared" si="20"/>
        <v>0</v>
      </c>
      <c r="H100" s="80">
        <f t="shared" si="20"/>
        <v>0</v>
      </c>
      <c r="I100" s="80">
        <f t="shared" si="20"/>
        <v>975480.06</v>
      </c>
      <c r="J100" s="80">
        <f t="shared" si="20"/>
        <v>975480.06</v>
      </c>
      <c r="K100" s="80">
        <f t="shared" si="20"/>
        <v>0</v>
      </c>
      <c r="L100" s="80">
        <f t="shared" si="20"/>
        <v>0</v>
      </c>
      <c r="M100" s="80">
        <f t="shared" si="20"/>
        <v>0</v>
      </c>
      <c r="N100" s="80">
        <f t="shared" si="20"/>
        <v>975480.06</v>
      </c>
      <c r="O100" s="80">
        <f t="shared" si="20"/>
        <v>975480.06</v>
      </c>
      <c r="P100" s="191">
        <v>94</v>
      </c>
    </row>
    <row r="101" spans="1:16" s="53" customFormat="1" ht="339" customHeight="1" x14ac:dyDescent="0.25">
      <c r="A101" s="75"/>
      <c r="B101" s="76"/>
      <c r="C101" s="81" t="s">
        <v>605</v>
      </c>
      <c r="D101" s="80">
        <f>D131</f>
        <v>0</v>
      </c>
      <c r="E101" s="80">
        <f t="shared" ref="E101:O101" si="21">E131</f>
        <v>0</v>
      </c>
      <c r="F101" s="80">
        <f t="shared" si="21"/>
        <v>0</v>
      </c>
      <c r="G101" s="80">
        <f t="shared" si="21"/>
        <v>0</v>
      </c>
      <c r="H101" s="80">
        <f t="shared" si="21"/>
        <v>0</v>
      </c>
      <c r="I101" s="80">
        <f t="shared" si="21"/>
        <v>1176130.99</v>
      </c>
      <c r="J101" s="80">
        <f t="shared" si="21"/>
        <v>1176130.99</v>
      </c>
      <c r="K101" s="80">
        <f t="shared" si="21"/>
        <v>0</v>
      </c>
      <c r="L101" s="80">
        <f t="shared" si="21"/>
        <v>0</v>
      </c>
      <c r="M101" s="80">
        <f t="shared" si="21"/>
        <v>0</v>
      </c>
      <c r="N101" s="80">
        <f t="shared" si="21"/>
        <v>1176130.99</v>
      </c>
      <c r="O101" s="80">
        <f t="shared" si="21"/>
        <v>1176130.99</v>
      </c>
      <c r="P101" s="191"/>
    </row>
    <row r="102" spans="1:16" ht="38.25" customHeight="1" x14ac:dyDescent="0.25">
      <c r="A102" s="37" t="s">
        <v>100</v>
      </c>
      <c r="B102" s="37" t="s">
        <v>53</v>
      </c>
      <c r="C102" s="3" t="s">
        <v>125</v>
      </c>
      <c r="D102" s="49">
        <f>'дод 2'!E164</f>
        <v>604900</v>
      </c>
      <c r="E102" s="49">
        <f>'дод 2'!F164</f>
        <v>604900</v>
      </c>
      <c r="F102" s="49">
        <f>'дод 2'!G164</f>
        <v>0</v>
      </c>
      <c r="G102" s="49">
        <f>'дод 2'!H164</f>
        <v>0</v>
      </c>
      <c r="H102" s="49">
        <f>'дод 2'!I164</f>
        <v>0</v>
      </c>
      <c r="I102" s="49">
        <f>'дод 2'!J164</f>
        <v>0</v>
      </c>
      <c r="J102" s="49">
        <f>'дод 2'!K164</f>
        <v>0</v>
      </c>
      <c r="K102" s="49">
        <f>'дод 2'!L164</f>
        <v>0</v>
      </c>
      <c r="L102" s="49">
        <f>'дод 2'!M164</f>
        <v>0</v>
      </c>
      <c r="M102" s="49">
        <f>'дод 2'!N164</f>
        <v>0</v>
      </c>
      <c r="N102" s="49">
        <f>'дод 2'!O164</f>
        <v>0</v>
      </c>
      <c r="O102" s="49">
        <f>'дод 2'!P164</f>
        <v>604900</v>
      </c>
      <c r="P102" s="191"/>
    </row>
    <row r="103" spans="1:16" ht="36.75" customHeight="1" x14ac:dyDescent="0.25">
      <c r="A103" s="37" t="s">
        <v>126</v>
      </c>
      <c r="B103" s="37" t="s">
        <v>55</v>
      </c>
      <c r="C103" s="3" t="s">
        <v>362</v>
      </c>
      <c r="D103" s="49">
        <f>'дод 2'!E165</f>
        <v>1129230</v>
      </c>
      <c r="E103" s="49">
        <f>'дод 2'!F165</f>
        <v>1129230</v>
      </c>
      <c r="F103" s="49">
        <f>'дод 2'!G165</f>
        <v>0</v>
      </c>
      <c r="G103" s="49">
        <f>'дод 2'!H165</f>
        <v>0</v>
      </c>
      <c r="H103" s="49">
        <f>'дод 2'!I165</f>
        <v>0</v>
      </c>
      <c r="I103" s="49">
        <f>'дод 2'!J165</f>
        <v>0</v>
      </c>
      <c r="J103" s="49">
        <f>'дод 2'!K165</f>
        <v>0</v>
      </c>
      <c r="K103" s="49">
        <f>'дод 2'!L165</f>
        <v>0</v>
      </c>
      <c r="L103" s="49">
        <f>'дод 2'!M165</f>
        <v>0</v>
      </c>
      <c r="M103" s="49">
        <f>'дод 2'!N165</f>
        <v>0</v>
      </c>
      <c r="N103" s="49">
        <f>'дод 2'!O165</f>
        <v>0</v>
      </c>
      <c r="O103" s="49">
        <f>'дод 2'!P165</f>
        <v>1129230</v>
      </c>
      <c r="P103" s="191"/>
    </row>
    <row r="104" spans="1:16" ht="39.75" customHeight="1" x14ac:dyDescent="0.25">
      <c r="A104" s="37" t="s">
        <v>101</v>
      </c>
      <c r="B104" s="37" t="s">
        <v>55</v>
      </c>
      <c r="C104" s="3" t="s">
        <v>413</v>
      </c>
      <c r="D104" s="49">
        <f>'дод 2'!E166+'дод 2'!E26</f>
        <v>24592321.240000002</v>
      </c>
      <c r="E104" s="49">
        <f>'дод 2'!F166+'дод 2'!F26</f>
        <v>24592321.240000002</v>
      </c>
      <c r="F104" s="49">
        <f>'дод 2'!G166+'дод 2'!G26</f>
        <v>0</v>
      </c>
      <c r="G104" s="49">
        <f>'дод 2'!H166+'дод 2'!H26</f>
        <v>0</v>
      </c>
      <c r="H104" s="49">
        <f>'дод 2'!I166+'дод 2'!I26</f>
        <v>0</v>
      </c>
      <c r="I104" s="49">
        <f>'дод 2'!J166+'дод 2'!J26</f>
        <v>0</v>
      </c>
      <c r="J104" s="49">
        <f>'дод 2'!K166+'дод 2'!K26</f>
        <v>0</v>
      </c>
      <c r="K104" s="49">
        <f>'дод 2'!L166+'дод 2'!L26</f>
        <v>0</v>
      </c>
      <c r="L104" s="49">
        <f>'дод 2'!M166+'дод 2'!M26</f>
        <v>0</v>
      </c>
      <c r="M104" s="49">
        <f>'дод 2'!N166+'дод 2'!N26</f>
        <v>0</v>
      </c>
      <c r="N104" s="49">
        <f>'дод 2'!O166+'дод 2'!O26</f>
        <v>0</v>
      </c>
      <c r="O104" s="49">
        <f>'дод 2'!P166+'дод 2'!P26</f>
        <v>24592321.240000002</v>
      </c>
      <c r="P104" s="191"/>
    </row>
    <row r="105" spans="1:16" s="54" customFormat="1" ht="21.75" customHeight="1" x14ac:dyDescent="0.25">
      <c r="A105" s="82"/>
      <c r="B105" s="82"/>
      <c r="C105" s="83" t="s">
        <v>395</v>
      </c>
      <c r="D105" s="84">
        <f>'дод 2'!E167</f>
        <v>3399661.24</v>
      </c>
      <c r="E105" s="84">
        <f>'дод 2'!F167</f>
        <v>3399661.24</v>
      </c>
      <c r="F105" s="84">
        <f>'дод 2'!G167</f>
        <v>0</v>
      </c>
      <c r="G105" s="84">
        <f>'дод 2'!H167</f>
        <v>0</v>
      </c>
      <c r="H105" s="84">
        <f>'дод 2'!I167</f>
        <v>0</v>
      </c>
      <c r="I105" s="84">
        <f>'дод 2'!J167</f>
        <v>0</v>
      </c>
      <c r="J105" s="84">
        <f>'дод 2'!K167</f>
        <v>0</v>
      </c>
      <c r="K105" s="84">
        <f>'дод 2'!L167</f>
        <v>0</v>
      </c>
      <c r="L105" s="84">
        <f>'дод 2'!M167</f>
        <v>0</v>
      </c>
      <c r="M105" s="84">
        <f>'дод 2'!N167</f>
        <v>0</v>
      </c>
      <c r="N105" s="84">
        <f>'дод 2'!O167</f>
        <v>0</v>
      </c>
      <c r="O105" s="84">
        <f>'дод 2'!P167</f>
        <v>3399661.24</v>
      </c>
      <c r="P105" s="191"/>
    </row>
    <row r="106" spans="1:16" ht="36" customHeight="1" x14ac:dyDescent="0.25">
      <c r="A106" s="37" t="s">
        <v>325</v>
      </c>
      <c r="B106" s="37" t="s">
        <v>55</v>
      </c>
      <c r="C106" s="3" t="s">
        <v>324</v>
      </c>
      <c r="D106" s="49">
        <f>'дод 2'!E168</f>
        <v>1500000</v>
      </c>
      <c r="E106" s="49">
        <f>'дод 2'!F168</f>
        <v>1500000</v>
      </c>
      <c r="F106" s="49">
        <f>'дод 2'!G168</f>
        <v>0</v>
      </c>
      <c r="G106" s="49">
        <f>'дод 2'!H168</f>
        <v>0</v>
      </c>
      <c r="H106" s="49">
        <f>'дод 2'!I168</f>
        <v>0</v>
      </c>
      <c r="I106" s="49">
        <f>'дод 2'!J168</f>
        <v>0</v>
      </c>
      <c r="J106" s="49">
        <f>'дод 2'!K168</f>
        <v>0</v>
      </c>
      <c r="K106" s="49">
        <f>'дод 2'!L168</f>
        <v>0</v>
      </c>
      <c r="L106" s="49">
        <f>'дод 2'!M168</f>
        <v>0</v>
      </c>
      <c r="M106" s="49">
        <f>'дод 2'!N168</f>
        <v>0</v>
      </c>
      <c r="N106" s="49">
        <f>'дод 2'!O168</f>
        <v>0</v>
      </c>
      <c r="O106" s="49">
        <f>'дод 2'!P168</f>
        <v>1500000</v>
      </c>
      <c r="P106" s="191"/>
    </row>
    <row r="107" spans="1:16" ht="44.25" customHeight="1" x14ac:dyDescent="0.25">
      <c r="A107" s="37" t="s">
        <v>127</v>
      </c>
      <c r="B107" s="37" t="s">
        <v>55</v>
      </c>
      <c r="C107" s="3" t="s">
        <v>19</v>
      </c>
      <c r="D107" s="49">
        <f>'дод 2'!E169+'дод 2'!E27</f>
        <v>41559586</v>
      </c>
      <c r="E107" s="49">
        <f>'дод 2'!F169+'дод 2'!F27</f>
        <v>41559586</v>
      </c>
      <c r="F107" s="49">
        <f>'дод 2'!G169+'дод 2'!G27</f>
        <v>0</v>
      </c>
      <c r="G107" s="49">
        <f>'дод 2'!H169+'дод 2'!H27</f>
        <v>0</v>
      </c>
      <c r="H107" s="49">
        <f>'дод 2'!I169+'дод 2'!I27</f>
        <v>0</v>
      </c>
      <c r="I107" s="49">
        <f>'дод 2'!J169+'дод 2'!J27</f>
        <v>0</v>
      </c>
      <c r="J107" s="49">
        <f>'дод 2'!K169+'дод 2'!K27</f>
        <v>0</v>
      </c>
      <c r="K107" s="49">
        <f>'дод 2'!L169+'дод 2'!L27</f>
        <v>0</v>
      </c>
      <c r="L107" s="49">
        <f>'дод 2'!M169+'дод 2'!M27</f>
        <v>0</v>
      </c>
      <c r="M107" s="49">
        <f>'дод 2'!N169+'дод 2'!N27</f>
        <v>0</v>
      </c>
      <c r="N107" s="49">
        <f>'дод 2'!O169+'дод 2'!O27</f>
        <v>0</v>
      </c>
      <c r="O107" s="49">
        <f>'дод 2'!P169+'дод 2'!P27</f>
        <v>41559586</v>
      </c>
      <c r="P107" s="191"/>
    </row>
    <row r="108" spans="1:16" ht="45" customHeight="1" x14ac:dyDescent="0.25">
      <c r="A108" s="37" t="s">
        <v>103</v>
      </c>
      <c r="B108" s="37" t="s">
        <v>55</v>
      </c>
      <c r="C108" s="3" t="s">
        <v>411</v>
      </c>
      <c r="D108" s="49">
        <f>'дод 2'!E170</f>
        <v>667500</v>
      </c>
      <c r="E108" s="49">
        <f>'дод 2'!F170</f>
        <v>667500</v>
      </c>
      <c r="F108" s="49">
        <f>'дод 2'!G170</f>
        <v>0</v>
      </c>
      <c r="G108" s="49">
        <f>'дод 2'!H170</f>
        <v>0</v>
      </c>
      <c r="H108" s="49">
        <f>'дод 2'!I170</f>
        <v>0</v>
      </c>
      <c r="I108" s="49">
        <f>'дод 2'!J170</f>
        <v>0</v>
      </c>
      <c r="J108" s="49">
        <f>'дод 2'!K170</f>
        <v>0</v>
      </c>
      <c r="K108" s="49">
        <f>'дод 2'!L170</f>
        <v>0</v>
      </c>
      <c r="L108" s="49">
        <f>'дод 2'!M170</f>
        <v>0</v>
      </c>
      <c r="M108" s="49">
        <f>'дод 2'!N170</f>
        <v>0</v>
      </c>
      <c r="N108" s="49">
        <f>'дод 2'!O170</f>
        <v>0</v>
      </c>
      <c r="O108" s="49">
        <f>'дод 2'!P170</f>
        <v>667500</v>
      </c>
      <c r="P108" s="191"/>
    </row>
    <row r="109" spans="1:16" s="54" customFormat="1" x14ac:dyDescent="0.25">
      <c r="A109" s="82"/>
      <c r="B109" s="82"/>
      <c r="C109" s="83" t="s">
        <v>395</v>
      </c>
      <c r="D109" s="84">
        <f>'дод 2'!E171</f>
        <v>667500</v>
      </c>
      <c r="E109" s="84">
        <f>'дод 2'!F171</f>
        <v>667500</v>
      </c>
      <c r="F109" s="84">
        <f>'дод 2'!G171</f>
        <v>0</v>
      </c>
      <c r="G109" s="84">
        <f>'дод 2'!H171</f>
        <v>0</v>
      </c>
      <c r="H109" s="84">
        <f>'дод 2'!I171</f>
        <v>0</v>
      </c>
      <c r="I109" s="84">
        <f>'дод 2'!J171</f>
        <v>0</v>
      </c>
      <c r="J109" s="84">
        <f>'дод 2'!K171</f>
        <v>0</v>
      </c>
      <c r="K109" s="84">
        <f>'дод 2'!L171</f>
        <v>0</v>
      </c>
      <c r="L109" s="84">
        <f>'дод 2'!M171</f>
        <v>0</v>
      </c>
      <c r="M109" s="84">
        <f>'дод 2'!N171</f>
        <v>0</v>
      </c>
      <c r="N109" s="84">
        <f>'дод 2'!O171</f>
        <v>0</v>
      </c>
      <c r="O109" s="84">
        <f>'дод 2'!P171</f>
        <v>667500</v>
      </c>
      <c r="P109" s="191"/>
    </row>
    <row r="110" spans="1:16" ht="40.5" customHeight="1" x14ac:dyDescent="0.25">
      <c r="A110" s="37" t="s">
        <v>317</v>
      </c>
      <c r="B110" s="37" t="s">
        <v>53</v>
      </c>
      <c r="C110" s="3" t="s">
        <v>412</v>
      </c>
      <c r="D110" s="49">
        <f>'дод 2'!E172</f>
        <v>245000</v>
      </c>
      <c r="E110" s="49">
        <f>'дод 2'!F172</f>
        <v>245000</v>
      </c>
      <c r="F110" s="49">
        <f>'дод 2'!G172</f>
        <v>0</v>
      </c>
      <c r="G110" s="49">
        <f>'дод 2'!H172</f>
        <v>0</v>
      </c>
      <c r="H110" s="49">
        <f>'дод 2'!I172</f>
        <v>0</v>
      </c>
      <c r="I110" s="49">
        <f>'дод 2'!J172</f>
        <v>0</v>
      </c>
      <c r="J110" s="49">
        <f>'дод 2'!K172</f>
        <v>0</v>
      </c>
      <c r="K110" s="49">
        <f>'дод 2'!L172</f>
        <v>0</v>
      </c>
      <c r="L110" s="49">
        <f>'дод 2'!M172</f>
        <v>0</v>
      </c>
      <c r="M110" s="49">
        <f>'дод 2'!N172</f>
        <v>0</v>
      </c>
      <c r="N110" s="49">
        <f>'дод 2'!O172</f>
        <v>0</v>
      </c>
      <c r="O110" s="49">
        <f>'дод 2'!P172</f>
        <v>245000</v>
      </c>
      <c r="P110" s="191"/>
    </row>
    <row r="111" spans="1:16" s="54" customFormat="1" x14ac:dyDescent="0.25">
      <c r="A111" s="82"/>
      <c r="B111" s="82"/>
      <c r="C111" s="83" t="s">
        <v>395</v>
      </c>
      <c r="D111" s="84">
        <f>'дод 2'!E173</f>
        <v>245000</v>
      </c>
      <c r="E111" s="84">
        <f>'дод 2'!F173</f>
        <v>245000</v>
      </c>
      <c r="F111" s="84">
        <f>'дод 2'!G173</f>
        <v>0</v>
      </c>
      <c r="G111" s="84">
        <f>'дод 2'!H173</f>
        <v>0</v>
      </c>
      <c r="H111" s="84">
        <f>'дод 2'!I173</f>
        <v>0</v>
      </c>
      <c r="I111" s="84">
        <f>'дод 2'!J173</f>
        <v>0</v>
      </c>
      <c r="J111" s="84">
        <f>'дод 2'!K173</f>
        <v>0</v>
      </c>
      <c r="K111" s="84">
        <f>'дод 2'!L173</f>
        <v>0</v>
      </c>
      <c r="L111" s="84">
        <f>'дод 2'!M173</f>
        <v>0</v>
      </c>
      <c r="M111" s="84">
        <f>'дод 2'!N173</f>
        <v>0</v>
      </c>
      <c r="N111" s="84">
        <f>'дод 2'!O173</f>
        <v>0</v>
      </c>
      <c r="O111" s="84">
        <f>'дод 2'!P173</f>
        <v>245000</v>
      </c>
      <c r="P111" s="191"/>
    </row>
    <row r="112" spans="1:16" ht="58.5" customHeight="1" x14ac:dyDescent="0.25">
      <c r="A112" s="37" t="s">
        <v>104</v>
      </c>
      <c r="B112" s="37" t="s">
        <v>51</v>
      </c>
      <c r="C112" s="3" t="s">
        <v>31</v>
      </c>
      <c r="D112" s="49">
        <f>'дод 2'!E174</f>
        <v>17521965</v>
      </c>
      <c r="E112" s="49">
        <f>'дод 2'!F174</f>
        <v>17521965</v>
      </c>
      <c r="F112" s="49">
        <f>'дод 2'!G174</f>
        <v>13551350</v>
      </c>
      <c r="G112" s="49">
        <f>'дод 2'!H174</f>
        <v>277315</v>
      </c>
      <c r="H112" s="49">
        <f>'дод 2'!I174</f>
        <v>0</v>
      </c>
      <c r="I112" s="49">
        <f>'дод 2'!J174</f>
        <v>96200</v>
      </c>
      <c r="J112" s="49">
        <f>'дод 2'!K174</f>
        <v>0</v>
      </c>
      <c r="K112" s="49">
        <f>'дод 2'!L174</f>
        <v>96200</v>
      </c>
      <c r="L112" s="49">
        <f>'дод 2'!M174</f>
        <v>75000</v>
      </c>
      <c r="M112" s="49">
        <f>'дод 2'!N174</f>
        <v>0</v>
      </c>
      <c r="N112" s="49">
        <f>'дод 2'!O174</f>
        <v>0</v>
      </c>
      <c r="O112" s="49">
        <f>'дод 2'!P174</f>
        <v>17618165</v>
      </c>
      <c r="P112" s="191">
        <v>95</v>
      </c>
    </row>
    <row r="113" spans="1:16" ht="69.75" customHeight="1" x14ac:dyDescent="0.25">
      <c r="A113" s="37" t="s">
        <v>334</v>
      </c>
      <c r="B113" s="37" t="s">
        <v>102</v>
      </c>
      <c r="C113" s="36" t="s">
        <v>335</v>
      </c>
      <c r="D113" s="49">
        <f>SUM('дод 2'!E200)</f>
        <v>91140</v>
      </c>
      <c r="E113" s="49">
        <f>SUM('дод 2'!F200)</f>
        <v>91140</v>
      </c>
      <c r="F113" s="49">
        <f>SUM('дод 2'!G200)</f>
        <v>0</v>
      </c>
      <c r="G113" s="49">
        <f>SUM('дод 2'!H200)</f>
        <v>0</v>
      </c>
      <c r="H113" s="49">
        <f>SUM('дод 2'!I200)</f>
        <v>0</v>
      </c>
      <c r="I113" s="49">
        <f>SUM('дод 2'!J200)</f>
        <v>0</v>
      </c>
      <c r="J113" s="49">
        <f>SUM('дод 2'!K200)</f>
        <v>0</v>
      </c>
      <c r="K113" s="49">
        <f>SUM('дод 2'!L200)</f>
        <v>0</v>
      </c>
      <c r="L113" s="49">
        <f>SUM('дод 2'!M200)</f>
        <v>0</v>
      </c>
      <c r="M113" s="49">
        <f>SUM('дод 2'!N200)</f>
        <v>0</v>
      </c>
      <c r="N113" s="49">
        <f>SUM('дод 2'!O200)</f>
        <v>0</v>
      </c>
      <c r="O113" s="49">
        <f>SUM('дод 2'!P200)</f>
        <v>91140</v>
      </c>
      <c r="P113" s="191"/>
    </row>
    <row r="114" spans="1:16" s="54" customFormat="1" ht="36" customHeight="1" x14ac:dyDescent="0.25">
      <c r="A114" s="37" t="s">
        <v>105</v>
      </c>
      <c r="B114" s="37" t="s">
        <v>102</v>
      </c>
      <c r="C114" s="3" t="s">
        <v>32</v>
      </c>
      <c r="D114" s="49">
        <f>'дод 2'!E201</f>
        <v>93040</v>
      </c>
      <c r="E114" s="49">
        <f>'дод 2'!F201</f>
        <v>93040</v>
      </c>
      <c r="F114" s="49">
        <f>'дод 2'!G201</f>
        <v>0</v>
      </c>
      <c r="G114" s="49">
        <f>'дод 2'!H201</f>
        <v>0</v>
      </c>
      <c r="H114" s="49">
        <f>'дод 2'!I201</f>
        <v>0</v>
      </c>
      <c r="I114" s="49">
        <f>'дод 2'!J201</f>
        <v>0</v>
      </c>
      <c r="J114" s="49">
        <f>'дод 2'!K201</f>
        <v>0</v>
      </c>
      <c r="K114" s="49">
        <f>'дод 2'!L201</f>
        <v>0</v>
      </c>
      <c r="L114" s="49">
        <f>'дод 2'!M201</f>
        <v>0</v>
      </c>
      <c r="M114" s="49">
        <f>'дод 2'!N201</f>
        <v>0</v>
      </c>
      <c r="N114" s="49">
        <f>'дод 2'!O201</f>
        <v>0</v>
      </c>
      <c r="O114" s="49">
        <f>'дод 2'!P201</f>
        <v>93040</v>
      </c>
      <c r="P114" s="191"/>
    </row>
    <row r="115" spans="1:16" s="54" customFormat="1" ht="38.25" customHeight="1" x14ac:dyDescent="0.25">
      <c r="A115" s="37" t="s">
        <v>128</v>
      </c>
      <c r="B115" s="37" t="s">
        <v>102</v>
      </c>
      <c r="C115" s="3" t="s">
        <v>510</v>
      </c>
      <c r="D115" s="49">
        <f>'дод 2'!E28</f>
        <v>3210440</v>
      </c>
      <c r="E115" s="49">
        <f>'дод 2'!F28</f>
        <v>3210440</v>
      </c>
      <c r="F115" s="49">
        <f>'дод 2'!G28</f>
        <v>2407050</v>
      </c>
      <c r="G115" s="49">
        <f>'дод 2'!H28</f>
        <v>43630</v>
      </c>
      <c r="H115" s="49">
        <f>'дод 2'!I28</f>
        <v>0</v>
      </c>
      <c r="I115" s="49">
        <f>'дод 2'!J28</f>
        <v>0</v>
      </c>
      <c r="J115" s="49">
        <f>'дод 2'!K28</f>
        <v>0</v>
      </c>
      <c r="K115" s="49">
        <f>'дод 2'!L28</f>
        <v>0</v>
      </c>
      <c r="L115" s="49">
        <f>'дод 2'!M28</f>
        <v>0</v>
      </c>
      <c r="M115" s="49">
        <f>'дод 2'!N28</f>
        <v>0</v>
      </c>
      <c r="N115" s="49">
        <f>'дод 2'!O28</f>
        <v>0</v>
      </c>
      <c r="O115" s="49">
        <f>'дод 2'!P28</f>
        <v>3210440</v>
      </c>
      <c r="P115" s="191"/>
    </row>
    <row r="116" spans="1:16" s="54" customFormat="1" ht="37.5" customHeight="1" x14ac:dyDescent="0.25">
      <c r="A116" s="40" t="s">
        <v>109</v>
      </c>
      <c r="B116" s="40" t="s">
        <v>102</v>
      </c>
      <c r="C116" s="3" t="s">
        <v>342</v>
      </c>
      <c r="D116" s="49">
        <f>'дод 2'!E29</f>
        <v>783850</v>
      </c>
      <c r="E116" s="49">
        <f>'дод 2'!F29</f>
        <v>783850</v>
      </c>
      <c r="F116" s="49">
        <f>'дод 2'!G29</f>
        <v>0</v>
      </c>
      <c r="G116" s="49">
        <f>'дод 2'!H29</f>
        <v>0</v>
      </c>
      <c r="H116" s="49">
        <f>'дод 2'!I29</f>
        <v>0</v>
      </c>
      <c r="I116" s="49">
        <f>'дод 2'!J29</f>
        <v>0</v>
      </c>
      <c r="J116" s="49">
        <f>'дод 2'!K29</f>
        <v>0</v>
      </c>
      <c r="K116" s="49">
        <f>'дод 2'!L29</f>
        <v>0</v>
      </c>
      <c r="L116" s="49">
        <f>'дод 2'!M29</f>
        <v>0</v>
      </c>
      <c r="M116" s="49">
        <f>'дод 2'!N29</f>
        <v>0</v>
      </c>
      <c r="N116" s="49">
        <f>'дод 2'!O29</f>
        <v>0</v>
      </c>
      <c r="O116" s="49">
        <f>'дод 2'!P29</f>
        <v>783850</v>
      </c>
      <c r="P116" s="191"/>
    </row>
    <row r="117" spans="1:16" ht="69" customHeight="1" x14ac:dyDescent="0.25">
      <c r="A117" s="37" t="s">
        <v>110</v>
      </c>
      <c r="B117" s="37" t="s">
        <v>102</v>
      </c>
      <c r="C117" s="6" t="s">
        <v>20</v>
      </c>
      <c r="D117" s="49">
        <f>'дод 2'!E30+'дод 2'!E107</f>
        <v>5780000</v>
      </c>
      <c r="E117" s="49">
        <f>'дод 2'!F30+'дод 2'!F107</f>
        <v>5780000</v>
      </c>
      <c r="F117" s="49">
        <f>'дод 2'!G30+'дод 2'!G107</f>
        <v>0</v>
      </c>
      <c r="G117" s="49">
        <f>'дод 2'!H30+'дод 2'!H107</f>
        <v>0</v>
      </c>
      <c r="H117" s="49">
        <f>'дод 2'!I30+'дод 2'!I107</f>
        <v>0</v>
      </c>
      <c r="I117" s="49">
        <f>'дод 2'!J30+'дод 2'!J107</f>
        <v>0</v>
      </c>
      <c r="J117" s="49">
        <f>'дод 2'!K30+'дод 2'!K107</f>
        <v>0</v>
      </c>
      <c r="K117" s="49">
        <f>'дод 2'!L30+'дод 2'!L107</f>
        <v>0</v>
      </c>
      <c r="L117" s="49">
        <f>'дод 2'!M30+'дод 2'!M107</f>
        <v>0</v>
      </c>
      <c r="M117" s="49">
        <f>'дод 2'!N30+'дод 2'!N107</f>
        <v>0</v>
      </c>
      <c r="N117" s="49">
        <f>'дод 2'!O30+'дод 2'!O107</f>
        <v>0</v>
      </c>
      <c r="O117" s="49">
        <f>'дод 2'!P30+'дод 2'!P107</f>
        <v>5780000</v>
      </c>
      <c r="P117" s="191"/>
    </row>
    <row r="118" spans="1:16" ht="68.25" customHeight="1" x14ac:dyDescent="0.25">
      <c r="A118" s="37" t="s">
        <v>111</v>
      </c>
      <c r="B118" s="37">
        <v>1010</v>
      </c>
      <c r="C118" s="3" t="s">
        <v>288</v>
      </c>
      <c r="D118" s="49">
        <f>'дод 2'!E175</f>
        <v>3000000</v>
      </c>
      <c r="E118" s="49">
        <f>'дод 2'!F175</f>
        <v>3000000</v>
      </c>
      <c r="F118" s="49">
        <f>'дод 2'!G175</f>
        <v>0</v>
      </c>
      <c r="G118" s="49">
        <f>'дод 2'!H175</f>
        <v>0</v>
      </c>
      <c r="H118" s="49">
        <f>'дод 2'!I175</f>
        <v>0</v>
      </c>
      <c r="I118" s="49">
        <f>'дод 2'!J175</f>
        <v>0</v>
      </c>
      <c r="J118" s="49">
        <f>'дод 2'!K175</f>
        <v>0</v>
      </c>
      <c r="K118" s="49">
        <f>'дод 2'!L175</f>
        <v>0</v>
      </c>
      <c r="L118" s="49">
        <f>'дод 2'!M175</f>
        <v>0</v>
      </c>
      <c r="M118" s="49">
        <f>'дод 2'!N175</f>
        <v>0</v>
      </c>
      <c r="N118" s="49">
        <f>'дод 2'!O175</f>
        <v>0</v>
      </c>
      <c r="O118" s="49">
        <f>'дод 2'!P175</f>
        <v>3000000</v>
      </c>
      <c r="P118" s="191"/>
    </row>
    <row r="119" spans="1:16" s="54" customFormat="1" ht="53.25" customHeight="1" x14ac:dyDescent="0.25">
      <c r="A119" s="37" t="s">
        <v>318</v>
      </c>
      <c r="B119" s="37">
        <v>1010</v>
      </c>
      <c r="C119" s="3" t="s">
        <v>407</v>
      </c>
      <c r="D119" s="49">
        <f>'дод 2'!E176</f>
        <v>198209</v>
      </c>
      <c r="E119" s="49">
        <f>'дод 2'!F176</f>
        <v>198209</v>
      </c>
      <c r="F119" s="49">
        <f>'дод 2'!G176</f>
        <v>0</v>
      </c>
      <c r="G119" s="49">
        <f>'дод 2'!H176</f>
        <v>0</v>
      </c>
      <c r="H119" s="49">
        <f>'дод 2'!I176</f>
        <v>0</v>
      </c>
      <c r="I119" s="49">
        <f>'дод 2'!J176</f>
        <v>0</v>
      </c>
      <c r="J119" s="49">
        <f>'дод 2'!K176</f>
        <v>0</v>
      </c>
      <c r="K119" s="49">
        <f>'дод 2'!L176</f>
        <v>0</v>
      </c>
      <c r="L119" s="49">
        <f>'дод 2'!M176</f>
        <v>0</v>
      </c>
      <c r="M119" s="49">
        <f>'дод 2'!N176</f>
        <v>0</v>
      </c>
      <c r="N119" s="49">
        <f>'дод 2'!O176</f>
        <v>0</v>
      </c>
      <c r="O119" s="49">
        <f>'дод 2'!P176</f>
        <v>198209</v>
      </c>
      <c r="P119" s="191"/>
    </row>
    <row r="120" spans="1:16" s="54" customFormat="1" x14ac:dyDescent="0.25">
      <c r="A120" s="82"/>
      <c r="B120" s="82"/>
      <c r="C120" s="83" t="s">
        <v>395</v>
      </c>
      <c r="D120" s="84">
        <f>'дод 2'!E177</f>
        <v>198209</v>
      </c>
      <c r="E120" s="84">
        <f>'дод 2'!F177</f>
        <v>198209</v>
      </c>
      <c r="F120" s="84">
        <f>'дод 2'!G177</f>
        <v>0</v>
      </c>
      <c r="G120" s="84">
        <f>'дод 2'!H177</f>
        <v>0</v>
      </c>
      <c r="H120" s="84">
        <f>'дод 2'!I177</f>
        <v>0</v>
      </c>
      <c r="I120" s="84">
        <f>'дод 2'!J177</f>
        <v>0</v>
      </c>
      <c r="J120" s="84">
        <f>'дод 2'!K177</f>
        <v>0</v>
      </c>
      <c r="K120" s="84">
        <f>'дод 2'!L177</f>
        <v>0</v>
      </c>
      <c r="L120" s="84">
        <f>'дод 2'!M177</f>
        <v>0</v>
      </c>
      <c r="M120" s="84">
        <f>'дод 2'!N177</f>
        <v>0</v>
      </c>
      <c r="N120" s="84">
        <f>'дод 2'!O177</f>
        <v>0</v>
      </c>
      <c r="O120" s="84">
        <f>'дод 2'!P177</f>
        <v>198209</v>
      </c>
      <c r="P120" s="191"/>
    </row>
    <row r="121" spans="1:16" s="54" customFormat="1" ht="36" customHeight="1" x14ac:dyDescent="0.25">
      <c r="A121" s="37" t="s">
        <v>319</v>
      </c>
      <c r="B121" s="37">
        <v>1010</v>
      </c>
      <c r="C121" s="3" t="s">
        <v>408</v>
      </c>
      <c r="D121" s="49">
        <f>'дод 2'!E178</f>
        <v>90</v>
      </c>
      <c r="E121" s="49">
        <f>'дод 2'!F178</f>
        <v>90</v>
      </c>
      <c r="F121" s="49">
        <f>'дод 2'!G178</f>
        <v>0</v>
      </c>
      <c r="G121" s="49">
        <f>'дод 2'!H178</f>
        <v>0</v>
      </c>
      <c r="H121" s="49">
        <f>'дод 2'!I178</f>
        <v>0</v>
      </c>
      <c r="I121" s="49">
        <f>'дод 2'!J178</f>
        <v>0</v>
      </c>
      <c r="J121" s="49">
        <f>'дод 2'!K178</f>
        <v>0</v>
      </c>
      <c r="K121" s="49">
        <f>'дод 2'!L178</f>
        <v>0</v>
      </c>
      <c r="L121" s="49">
        <f>'дод 2'!M178</f>
        <v>0</v>
      </c>
      <c r="M121" s="49">
        <f>'дод 2'!N178</f>
        <v>0</v>
      </c>
      <c r="N121" s="49">
        <f>'дод 2'!O178</f>
        <v>0</v>
      </c>
      <c r="O121" s="49">
        <f>'дод 2'!P178</f>
        <v>90</v>
      </c>
      <c r="P121" s="191"/>
    </row>
    <row r="122" spans="1:16" s="54" customFormat="1" x14ac:dyDescent="0.25">
      <c r="A122" s="82"/>
      <c r="B122" s="82"/>
      <c r="C122" s="83" t="s">
        <v>395</v>
      </c>
      <c r="D122" s="84">
        <f>'дод 2'!E179</f>
        <v>90</v>
      </c>
      <c r="E122" s="84">
        <f>'дод 2'!F179</f>
        <v>90</v>
      </c>
      <c r="F122" s="84">
        <f>'дод 2'!G179</f>
        <v>0</v>
      </c>
      <c r="G122" s="84">
        <f>'дод 2'!H179</f>
        <v>0</v>
      </c>
      <c r="H122" s="84">
        <f>'дод 2'!I179</f>
        <v>0</v>
      </c>
      <c r="I122" s="84">
        <f>'дод 2'!J179</f>
        <v>0</v>
      </c>
      <c r="J122" s="84">
        <f>'дод 2'!K179</f>
        <v>0</v>
      </c>
      <c r="K122" s="84">
        <f>'дод 2'!L179</f>
        <v>0</v>
      </c>
      <c r="L122" s="84">
        <f>'дод 2'!M179</f>
        <v>0</v>
      </c>
      <c r="M122" s="84">
        <f>'дод 2'!N179</f>
        <v>0</v>
      </c>
      <c r="N122" s="84">
        <f>'дод 2'!O179</f>
        <v>0</v>
      </c>
      <c r="O122" s="84">
        <f>'дод 2'!P179</f>
        <v>90</v>
      </c>
      <c r="P122" s="191"/>
    </row>
    <row r="123" spans="1:16" ht="72.75" customHeight="1" x14ac:dyDescent="0.25">
      <c r="A123" s="37" t="s">
        <v>106</v>
      </c>
      <c r="B123" s="37" t="s">
        <v>54</v>
      </c>
      <c r="C123" s="3" t="s">
        <v>343</v>
      </c>
      <c r="D123" s="49">
        <f>'дод 2'!E180</f>
        <v>2213520</v>
      </c>
      <c r="E123" s="49">
        <f>'дод 2'!F180</f>
        <v>2213520</v>
      </c>
      <c r="F123" s="49">
        <f>'дод 2'!G180</f>
        <v>0</v>
      </c>
      <c r="G123" s="49">
        <f>'дод 2'!H180</f>
        <v>0</v>
      </c>
      <c r="H123" s="49">
        <f>'дод 2'!I180</f>
        <v>0</v>
      </c>
      <c r="I123" s="49">
        <f>'дод 2'!J180</f>
        <v>0</v>
      </c>
      <c r="J123" s="49">
        <f>'дод 2'!K180</f>
        <v>0</v>
      </c>
      <c r="K123" s="49">
        <f>'дод 2'!L180</f>
        <v>0</v>
      </c>
      <c r="L123" s="49">
        <f>'дод 2'!M180</f>
        <v>0</v>
      </c>
      <c r="M123" s="49">
        <f>'дод 2'!N180</f>
        <v>0</v>
      </c>
      <c r="N123" s="49">
        <f>'дод 2'!O180</f>
        <v>0</v>
      </c>
      <c r="O123" s="49">
        <f>'дод 2'!P180</f>
        <v>2213520</v>
      </c>
      <c r="P123" s="191"/>
    </row>
    <row r="124" spans="1:16" s="54" customFormat="1" ht="19.5" customHeight="1" x14ac:dyDescent="0.25">
      <c r="A124" s="37" t="s">
        <v>289</v>
      </c>
      <c r="B124" s="37" t="s">
        <v>53</v>
      </c>
      <c r="C124" s="3" t="s">
        <v>18</v>
      </c>
      <c r="D124" s="49">
        <f>'дод 2'!E181</f>
        <v>2042960</v>
      </c>
      <c r="E124" s="49">
        <f>'дод 2'!F181</f>
        <v>2042960</v>
      </c>
      <c r="F124" s="49">
        <f>'дод 2'!G181</f>
        <v>0</v>
      </c>
      <c r="G124" s="49">
        <f>'дод 2'!H181</f>
        <v>0</v>
      </c>
      <c r="H124" s="49">
        <f>'дод 2'!I181</f>
        <v>0</v>
      </c>
      <c r="I124" s="49">
        <f>'дод 2'!J181</f>
        <v>0</v>
      </c>
      <c r="J124" s="49">
        <f>'дод 2'!K181</f>
        <v>0</v>
      </c>
      <c r="K124" s="49">
        <f>'дод 2'!L181</f>
        <v>0</v>
      </c>
      <c r="L124" s="49">
        <f>'дод 2'!M181</f>
        <v>0</v>
      </c>
      <c r="M124" s="49">
        <f>'дод 2'!N181</f>
        <v>0</v>
      </c>
      <c r="N124" s="49">
        <f>'дод 2'!O181</f>
        <v>0</v>
      </c>
      <c r="O124" s="49">
        <f>'дод 2'!P181</f>
        <v>2042960</v>
      </c>
      <c r="P124" s="191"/>
    </row>
    <row r="125" spans="1:16" s="54" customFormat="1" ht="51" customHeight="1" x14ac:dyDescent="0.25">
      <c r="A125" s="37" t="s">
        <v>290</v>
      </c>
      <c r="B125" s="37" t="s">
        <v>53</v>
      </c>
      <c r="C125" s="61" t="s">
        <v>511</v>
      </c>
      <c r="D125" s="49">
        <f>'дод 2'!E182</f>
        <v>2250688</v>
      </c>
      <c r="E125" s="49">
        <f>'дод 2'!F182</f>
        <v>2250688</v>
      </c>
      <c r="F125" s="49">
        <f>'дод 2'!G182</f>
        <v>0</v>
      </c>
      <c r="G125" s="49">
        <f>'дод 2'!H182</f>
        <v>0</v>
      </c>
      <c r="H125" s="49">
        <f>'дод 2'!I182</f>
        <v>0</v>
      </c>
      <c r="I125" s="49">
        <f>'дод 2'!J182</f>
        <v>0</v>
      </c>
      <c r="J125" s="49">
        <f>'дод 2'!K182</f>
        <v>0</v>
      </c>
      <c r="K125" s="49">
        <f>'дод 2'!L182</f>
        <v>0</v>
      </c>
      <c r="L125" s="49">
        <f>'дод 2'!M182</f>
        <v>0</v>
      </c>
      <c r="M125" s="49">
        <f>'дод 2'!N182</f>
        <v>0</v>
      </c>
      <c r="N125" s="49">
        <f>'дод 2'!O182</f>
        <v>0</v>
      </c>
      <c r="O125" s="49">
        <f>'дод 2'!P182</f>
        <v>2250688</v>
      </c>
      <c r="P125" s="191"/>
    </row>
    <row r="126" spans="1:16" ht="36.75" customHeight="1" x14ac:dyDescent="0.25">
      <c r="A126" s="37" t="s">
        <v>107</v>
      </c>
      <c r="B126" s="37" t="s">
        <v>57</v>
      </c>
      <c r="C126" s="3" t="s">
        <v>344</v>
      </c>
      <c r="D126" s="49">
        <f>'дод 2'!E183</f>
        <v>92000</v>
      </c>
      <c r="E126" s="49">
        <f>'дод 2'!F183</f>
        <v>92000</v>
      </c>
      <c r="F126" s="49">
        <f>'дод 2'!G183</f>
        <v>0</v>
      </c>
      <c r="G126" s="49">
        <f>'дод 2'!H183</f>
        <v>0</v>
      </c>
      <c r="H126" s="49">
        <f>'дод 2'!I183</f>
        <v>0</v>
      </c>
      <c r="I126" s="49">
        <f>'дод 2'!J183</f>
        <v>0</v>
      </c>
      <c r="J126" s="49">
        <f>'дод 2'!K183</f>
        <v>0</v>
      </c>
      <c r="K126" s="49">
        <f>'дод 2'!L183</f>
        <v>0</v>
      </c>
      <c r="L126" s="49">
        <f>'дод 2'!M183</f>
        <v>0</v>
      </c>
      <c r="M126" s="49">
        <f>'дод 2'!N183</f>
        <v>0</v>
      </c>
      <c r="N126" s="49">
        <f>'дод 2'!O183</f>
        <v>0</v>
      </c>
      <c r="O126" s="49">
        <f>'дод 2'!P183</f>
        <v>92000</v>
      </c>
      <c r="P126" s="191"/>
    </row>
    <row r="127" spans="1:16" ht="20.25" customHeight="1" x14ac:dyDescent="0.25">
      <c r="A127" s="37" t="s">
        <v>291</v>
      </c>
      <c r="B127" s="37" t="s">
        <v>108</v>
      </c>
      <c r="C127" s="3" t="s">
        <v>38</v>
      </c>
      <c r="D127" s="49">
        <f>'дод 2'!E184+'дод 2'!E224</f>
        <v>210000</v>
      </c>
      <c r="E127" s="49">
        <f>'дод 2'!F184+'дод 2'!F224</f>
        <v>210000</v>
      </c>
      <c r="F127" s="49">
        <f>'дод 2'!G184+'дод 2'!G224</f>
        <v>40900</v>
      </c>
      <c r="G127" s="49">
        <f>'дод 2'!H184+'дод 2'!H224</f>
        <v>0</v>
      </c>
      <c r="H127" s="49">
        <f>'дод 2'!I184+'дод 2'!I224</f>
        <v>0</v>
      </c>
      <c r="I127" s="49">
        <f>'дод 2'!J184+'дод 2'!J224</f>
        <v>0</v>
      </c>
      <c r="J127" s="49">
        <f>'дод 2'!K184+'дод 2'!K224</f>
        <v>0</v>
      </c>
      <c r="K127" s="49">
        <f>'дод 2'!L184+'дод 2'!L224</f>
        <v>0</v>
      </c>
      <c r="L127" s="49">
        <f>'дод 2'!M184+'дод 2'!M224</f>
        <v>0</v>
      </c>
      <c r="M127" s="49">
        <f>'дод 2'!N184+'дод 2'!N224</f>
        <v>0</v>
      </c>
      <c r="N127" s="49">
        <f>'дод 2'!O184+'дод 2'!O224</f>
        <v>0</v>
      </c>
      <c r="O127" s="49">
        <f>'дод 2'!P184+'дод 2'!P224</f>
        <v>210000</v>
      </c>
      <c r="P127" s="191"/>
    </row>
    <row r="128" spans="1:16" ht="240.75" customHeight="1" x14ac:dyDescent="0.25">
      <c r="A128" s="37">
        <v>3221</v>
      </c>
      <c r="B128" s="59" t="s">
        <v>54</v>
      </c>
      <c r="C128" s="36" t="s">
        <v>607</v>
      </c>
      <c r="D128" s="49">
        <f>'дод 2'!E185</f>
        <v>0</v>
      </c>
      <c r="E128" s="49">
        <f>'дод 2'!F185</f>
        <v>0</v>
      </c>
      <c r="F128" s="49">
        <f>'дод 2'!G185</f>
        <v>0</v>
      </c>
      <c r="G128" s="49">
        <f>'дод 2'!H185</f>
        <v>0</v>
      </c>
      <c r="H128" s="49">
        <f>'дод 2'!I185</f>
        <v>0</v>
      </c>
      <c r="I128" s="49">
        <f>'дод 2'!J185</f>
        <v>975480.06</v>
      </c>
      <c r="J128" s="49">
        <f>'дод 2'!K185</f>
        <v>975480.06</v>
      </c>
      <c r="K128" s="49">
        <f>'дод 2'!L185</f>
        <v>0</v>
      </c>
      <c r="L128" s="49">
        <f>'дод 2'!M185</f>
        <v>0</v>
      </c>
      <c r="M128" s="49">
        <f>'дод 2'!N185</f>
        <v>0</v>
      </c>
      <c r="N128" s="49">
        <f>'дод 2'!O185</f>
        <v>975480.06</v>
      </c>
      <c r="O128" s="49">
        <f>'дод 2'!P185</f>
        <v>975480.06</v>
      </c>
      <c r="P128" s="191"/>
    </row>
    <row r="129" spans="1:16" s="54" customFormat="1" ht="267.75" customHeight="1" x14ac:dyDescent="0.25">
      <c r="A129" s="82"/>
      <c r="B129" s="93"/>
      <c r="C129" s="91" t="s">
        <v>447</v>
      </c>
      <c r="D129" s="84">
        <f>'дод 2'!E186</f>
        <v>0</v>
      </c>
      <c r="E129" s="84">
        <f>'дод 2'!F186</f>
        <v>0</v>
      </c>
      <c r="F129" s="84">
        <f>'дод 2'!G186</f>
        <v>0</v>
      </c>
      <c r="G129" s="84">
        <f>'дод 2'!H186</f>
        <v>0</v>
      </c>
      <c r="H129" s="84">
        <f>'дод 2'!I186</f>
        <v>0</v>
      </c>
      <c r="I129" s="84">
        <f>'дод 2'!J186</f>
        <v>975480.06</v>
      </c>
      <c r="J129" s="84">
        <f>'дод 2'!K186</f>
        <v>975480.06</v>
      </c>
      <c r="K129" s="84">
        <f>'дод 2'!L186</f>
        <v>0</v>
      </c>
      <c r="L129" s="84">
        <f>'дод 2'!M186</f>
        <v>0</v>
      </c>
      <c r="M129" s="84">
        <f>'дод 2'!N186</f>
        <v>0</v>
      </c>
      <c r="N129" s="84">
        <f>'дод 2'!O186</f>
        <v>975480.06</v>
      </c>
      <c r="O129" s="84">
        <f>'дод 2'!P186</f>
        <v>975480.06</v>
      </c>
      <c r="P129" s="191">
        <v>96</v>
      </c>
    </row>
    <row r="130" spans="1:16" s="54" customFormat="1" ht="293.25" customHeight="1" x14ac:dyDescent="0.25">
      <c r="A130" s="42">
        <v>3222</v>
      </c>
      <c r="B130" s="107" t="s">
        <v>54</v>
      </c>
      <c r="C130" s="36" t="s">
        <v>609</v>
      </c>
      <c r="D130" s="49">
        <f>'дод 2'!E187</f>
        <v>0</v>
      </c>
      <c r="E130" s="49">
        <f>'дод 2'!F187</f>
        <v>0</v>
      </c>
      <c r="F130" s="49">
        <f>'дод 2'!G187</f>
        <v>0</v>
      </c>
      <c r="G130" s="49">
        <f>'дод 2'!H187</f>
        <v>0</v>
      </c>
      <c r="H130" s="49">
        <f>'дод 2'!I187</f>
        <v>0</v>
      </c>
      <c r="I130" s="49">
        <f>'дод 2'!J187</f>
        <v>1176130.99</v>
      </c>
      <c r="J130" s="49">
        <f>'дод 2'!K187</f>
        <v>1176130.99</v>
      </c>
      <c r="K130" s="49">
        <f>'дод 2'!L187</f>
        <v>0</v>
      </c>
      <c r="L130" s="49">
        <f>'дод 2'!M187</f>
        <v>0</v>
      </c>
      <c r="M130" s="49">
        <f>'дод 2'!N187</f>
        <v>0</v>
      </c>
      <c r="N130" s="49">
        <f>'дод 2'!O187</f>
        <v>1176130.99</v>
      </c>
      <c r="O130" s="49">
        <f>'дод 2'!P187</f>
        <v>1176130.99</v>
      </c>
      <c r="P130" s="191"/>
    </row>
    <row r="131" spans="1:16" s="54" customFormat="1" ht="333.75" customHeight="1" x14ac:dyDescent="0.25">
      <c r="A131" s="82"/>
      <c r="B131" s="93"/>
      <c r="C131" s="91" t="s">
        <v>610</v>
      </c>
      <c r="D131" s="84">
        <f>'дод 2'!E188</f>
        <v>0</v>
      </c>
      <c r="E131" s="84">
        <f>'дод 2'!F188</f>
        <v>0</v>
      </c>
      <c r="F131" s="84">
        <f>'дод 2'!G188</f>
        <v>0</v>
      </c>
      <c r="G131" s="84">
        <f>'дод 2'!H188</f>
        <v>0</v>
      </c>
      <c r="H131" s="84">
        <f>'дод 2'!I188</f>
        <v>0</v>
      </c>
      <c r="I131" s="84">
        <f>'дод 2'!J188</f>
        <v>1176130.99</v>
      </c>
      <c r="J131" s="84">
        <f>'дод 2'!K188</f>
        <v>1176130.99</v>
      </c>
      <c r="K131" s="84">
        <f>'дод 2'!L188</f>
        <v>0</v>
      </c>
      <c r="L131" s="84">
        <f>'дод 2'!M188</f>
        <v>0</v>
      </c>
      <c r="M131" s="84">
        <f>'дод 2'!N188</f>
        <v>0</v>
      </c>
      <c r="N131" s="84">
        <f>'дод 2'!O188</f>
        <v>1176130.99</v>
      </c>
      <c r="O131" s="84">
        <f>'дод 2'!P188</f>
        <v>1176130.99</v>
      </c>
      <c r="P131" s="191"/>
    </row>
    <row r="132" spans="1:16" ht="189" hidden="1" customHeight="1" x14ac:dyDescent="0.25">
      <c r="A132" s="37">
        <v>3223</v>
      </c>
      <c r="B132" s="59" t="s">
        <v>54</v>
      </c>
      <c r="C132" s="36" t="s">
        <v>445</v>
      </c>
      <c r="D132" s="49">
        <f>'дод 2'!E189</f>
        <v>0</v>
      </c>
      <c r="E132" s="49">
        <f>'дод 2'!F189</f>
        <v>0</v>
      </c>
      <c r="F132" s="49">
        <f>'дод 2'!G189</f>
        <v>0</v>
      </c>
      <c r="G132" s="49">
        <f>'дод 2'!H189</f>
        <v>0</v>
      </c>
      <c r="H132" s="49">
        <f>'дод 2'!I189</f>
        <v>0</v>
      </c>
      <c r="I132" s="49">
        <f>'дод 2'!J189</f>
        <v>0</v>
      </c>
      <c r="J132" s="49">
        <f>'дод 2'!K189</f>
        <v>0</v>
      </c>
      <c r="K132" s="49">
        <f>'дод 2'!L189</f>
        <v>0</v>
      </c>
      <c r="L132" s="49">
        <f>'дод 2'!M189</f>
        <v>0</v>
      </c>
      <c r="M132" s="49">
        <f>'дод 2'!N189</f>
        <v>0</v>
      </c>
      <c r="N132" s="49">
        <f>'дод 2'!O189</f>
        <v>0</v>
      </c>
      <c r="O132" s="49">
        <f>'дод 2'!P189</f>
        <v>0</v>
      </c>
      <c r="P132" s="191"/>
    </row>
    <row r="133" spans="1:16" s="54" customFormat="1" ht="236.25" hidden="1" customHeight="1" x14ac:dyDescent="0.25">
      <c r="A133" s="82"/>
      <c r="B133" s="93"/>
      <c r="C133" s="91" t="s">
        <v>446</v>
      </c>
      <c r="D133" s="84">
        <f>'дод 2'!E190</f>
        <v>0</v>
      </c>
      <c r="E133" s="84">
        <f>'дод 2'!F190</f>
        <v>0</v>
      </c>
      <c r="F133" s="84">
        <f>'дод 2'!G190</f>
        <v>0</v>
      </c>
      <c r="G133" s="84">
        <f>'дод 2'!H190</f>
        <v>0</v>
      </c>
      <c r="H133" s="84">
        <f>'дод 2'!I190</f>
        <v>0</v>
      </c>
      <c r="I133" s="84">
        <f>'дод 2'!J190</f>
        <v>0</v>
      </c>
      <c r="J133" s="84">
        <f>'дод 2'!K190</f>
        <v>0</v>
      </c>
      <c r="K133" s="84">
        <f>'дод 2'!L190</f>
        <v>0</v>
      </c>
      <c r="L133" s="84">
        <f>'дод 2'!M190</f>
        <v>0</v>
      </c>
      <c r="M133" s="84">
        <f>'дод 2'!N190</f>
        <v>0</v>
      </c>
      <c r="N133" s="84">
        <f>'дод 2'!O190</f>
        <v>0</v>
      </c>
      <c r="O133" s="84">
        <f>'дод 2'!P190</f>
        <v>0</v>
      </c>
      <c r="P133" s="191"/>
    </row>
    <row r="134" spans="1:16" s="54" customFormat="1" ht="32.25" customHeight="1" x14ac:dyDescent="0.25">
      <c r="A134" s="37" t="s">
        <v>292</v>
      </c>
      <c r="B134" s="37" t="s">
        <v>57</v>
      </c>
      <c r="C134" s="3" t="s">
        <v>294</v>
      </c>
      <c r="D134" s="49">
        <f>'дод 2'!E191+'дод 2'!E31</f>
        <v>8468314.5599999987</v>
      </c>
      <c r="E134" s="49">
        <f>'дод 2'!F191+'дод 2'!F31</f>
        <v>8468314.5599999987</v>
      </c>
      <c r="F134" s="49">
        <f>'дод 2'!G191+'дод 2'!G31</f>
        <v>5153600</v>
      </c>
      <c r="G134" s="49">
        <f>'дод 2'!H191+'дод 2'!H31</f>
        <v>527146</v>
      </c>
      <c r="H134" s="49">
        <f>'дод 2'!I191+'дод 2'!I31</f>
        <v>0</v>
      </c>
      <c r="I134" s="49">
        <f>'дод 2'!J191+'дод 2'!J31</f>
        <v>161000</v>
      </c>
      <c r="J134" s="49">
        <f>'дод 2'!K191+'дод 2'!K31</f>
        <v>161000</v>
      </c>
      <c r="K134" s="49">
        <f>'дод 2'!L191+'дод 2'!L31</f>
        <v>0</v>
      </c>
      <c r="L134" s="49">
        <f>'дод 2'!M191+'дод 2'!M31</f>
        <v>0</v>
      </c>
      <c r="M134" s="49">
        <f>'дод 2'!N191+'дод 2'!N31</f>
        <v>0</v>
      </c>
      <c r="N134" s="49">
        <f>'дод 2'!O191+'дод 2'!O31</f>
        <v>161000</v>
      </c>
      <c r="O134" s="49">
        <f>'дод 2'!P191+'дод 2'!P31</f>
        <v>8629314.5599999987</v>
      </c>
      <c r="P134" s="191"/>
    </row>
    <row r="135" spans="1:16" s="54" customFormat="1" ht="31.5" customHeight="1" x14ac:dyDescent="0.25">
      <c r="A135" s="37" t="s">
        <v>293</v>
      </c>
      <c r="B135" s="37" t="s">
        <v>57</v>
      </c>
      <c r="C135" s="3" t="s">
        <v>524</v>
      </c>
      <c r="D135" s="49">
        <f>'дод 2'!E32+'дод 2'!E108+'дод 2'!E192</f>
        <v>39045002.549999997</v>
      </c>
      <c r="E135" s="49">
        <f>'дод 2'!F32+'дод 2'!F108+'дод 2'!F192</f>
        <v>39045002.549999997</v>
      </c>
      <c r="F135" s="49">
        <f>'дод 2'!G32+'дод 2'!G108+'дод 2'!G192</f>
        <v>0</v>
      </c>
      <c r="G135" s="49">
        <f>'дод 2'!H32+'дод 2'!H108+'дод 2'!H192</f>
        <v>0</v>
      </c>
      <c r="H135" s="49">
        <f>'дод 2'!I32+'дод 2'!I108+'дод 2'!I192</f>
        <v>0</v>
      </c>
      <c r="I135" s="49">
        <f>'дод 2'!J32+'дод 2'!J108+'дод 2'!J192</f>
        <v>45000</v>
      </c>
      <c r="J135" s="49">
        <f>'дод 2'!K32+'дод 2'!K108+'дод 2'!K192</f>
        <v>45000</v>
      </c>
      <c r="K135" s="49">
        <f>'дод 2'!L32+'дод 2'!L108+'дод 2'!L192</f>
        <v>0</v>
      </c>
      <c r="L135" s="49">
        <f>'дод 2'!M32+'дод 2'!M108+'дод 2'!M192</f>
        <v>0</v>
      </c>
      <c r="M135" s="49">
        <f>'дод 2'!N32+'дод 2'!N108+'дод 2'!N192</f>
        <v>0</v>
      </c>
      <c r="N135" s="49">
        <f>'дод 2'!O32+'дод 2'!O108+'дод 2'!O192</f>
        <v>45000</v>
      </c>
      <c r="O135" s="49">
        <f>'дод 2'!P32+'дод 2'!P108+'дод 2'!P192</f>
        <v>39090002.549999997</v>
      </c>
      <c r="P135" s="191"/>
    </row>
    <row r="136" spans="1:16" s="54" customFormat="1" x14ac:dyDescent="0.25">
      <c r="A136" s="82"/>
      <c r="B136" s="82"/>
      <c r="C136" s="83" t="s">
        <v>395</v>
      </c>
      <c r="D136" s="84">
        <f>'дод 2'!E193</f>
        <v>348000</v>
      </c>
      <c r="E136" s="84">
        <f>'дод 2'!F193</f>
        <v>348000</v>
      </c>
      <c r="F136" s="84">
        <f>'дод 2'!G193</f>
        <v>0</v>
      </c>
      <c r="G136" s="84">
        <f>'дод 2'!H193</f>
        <v>0</v>
      </c>
      <c r="H136" s="84">
        <f>'дод 2'!I193</f>
        <v>0</v>
      </c>
      <c r="I136" s="84">
        <f>'дод 2'!J193</f>
        <v>0</v>
      </c>
      <c r="J136" s="84">
        <f>'дод 2'!K193</f>
        <v>0</v>
      </c>
      <c r="K136" s="84">
        <f>'дод 2'!L193</f>
        <v>0</v>
      </c>
      <c r="L136" s="84">
        <f>'дод 2'!M193</f>
        <v>0</v>
      </c>
      <c r="M136" s="84">
        <f>'дод 2'!N193</f>
        <v>0</v>
      </c>
      <c r="N136" s="84">
        <f>'дод 2'!O193</f>
        <v>0</v>
      </c>
      <c r="O136" s="84">
        <f>'дод 2'!P193</f>
        <v>348000</v>
      </c>
      <c r="P136" s="191"/>
    </row>
    <row r="137" spans="1:16" s="52" customFormat="1" ht="19.5" customHeight="1" x14ac:dyDescent="0.25">
      <c r="A137" s="38" t="s">
        <v>72</v>
      </c>
      <c r="B137" s="41"/>
      <c r="C137" s="2" t="s">
        <v>73</v>
      </c>
      <c r="D137" s="48">
        <f t="shared" ref="D137:O137" si="22">D138+D139+D140+D141</f>
        <v>36997478</v>
      </c>
      <c r="E137" s="48">
        <f t="shared" si="22"/>
        <v>36997478</v>
      </c>
      <c r="F137" s="48">
        <f t="shared" si="22"/>
        <v>24290500</v>
      </c>
      <c r="G137" s="48">
        <f t="shared" si="22"/>
        <v>2323897</v>
      </c>
      <c r="H137" s="48">
        <f t="shared" si="22"/>
        <v>0</v>
      </c>
      <c r="I137" s="48">
        <f t="shared" si="22"/>
        <v>346500</v>
      </c>
      <c r="J137" s="48">
        <f t="shared" si="22"/>
        <v>315500</v>
      </c>
      <c r="K137" s="48">
        <f t="shared" si="22"/>
        <v>31000</v>
      </c>
      <c r="L137" s="48">
        <f t="shared" si="22"/>
        <v>12100</v>
      </c>
      <c r="M137" s="48">
        <f t="shared" si="22"/>
        <v>3300</v>
      </c>
      <c r="N137" s="48">
        <f t="shared" si="22"/>
        <v>315500</v>
      </c>
      <c r="O137" s="48">
        <f t="shared" si="22"/>
        <v>37343978</v>
      </c>
      <c r="P137" s="191"/>
    </row>
    <row r="138" spans="1:16" ht="22.5" customHeight="1" x14ac:dyDescent="0.25">
      <c r="A138" s="37" t="s">
        <v>74</v>
      </c>
      <c r="B138" s="37" t="s">
        <v>75</v>
      </c>
      <c r="C138" s="3" t="s">
        <v>15</v>
      </c>
      <c r="D138" s="49">
        <f>'дод 2'!E208</f>
        <v>23024164</v>
      </c>
      <c r="E138" s="49">
        <f>'дод 2'!F208</f>
        <v>23024164</v>
      </c>
      <c r="F138" s="49">
        <f>'дод 2'!G208</f>
        <v>16852700</v>
      </c>
      <c r="G138" s="49">
        <f>'дод 2'!H208</f>
        <v>1328264</v>
      </c>
      <c r="H138" s="49">
        <f>'дод 2'!I208</f>
        <v>0</v>
      </c>
      <c r="I138" s="49">
        <f>'дод 2'!J208</f>
        <v>252500</v>
      </c>
      <c r="J138" s="49">
        <f>'дод 2'!K208</f>
        <v>227500</v>
      </c>
      <c r="K138" s="49">
        <f>'дод 2'!L208</f>
        <v>25000</v>
      </c>
      <c r="L138" s="49">
        <f>'дод 2'!M208</f>
        <v>12100</v>
      </c>
      <c r="M138" s="49">
        <f>'дод 2'!N208</f>
        <v>0</v>
      </c>
      <c r="N138" s="49">
        <f>'дод 2'!O208</f>
        <v>227500</v>
      </c>
      <c r="O138" s="49">
        <f>'дод 2'!P208</f>
        <v>23276664</v>
      </c>
      <c r="P138" s="191">
        <v>97</v>
      </c>
    </row>
    <row r="139" spans="1:16" ht="33.75" customHeight="1" x14ac:dyDescent="0.25">
      <c r="A139" s="37" t="s">
        <v>321</v>
      </c>
      <c r="B139" s="37" t="s">
        <v>322</v>
      </c>
      <c r="C139" s="3" t="s">
        <v>323</v>
      </c>
      <c r="D139" s="49">
        <f>'дод 2'!E33+'дод 2'!E209</f>
        <v>7136125</v>
      </c>
      <c r="E139" s="49">
        <f>'дод 2'!F33+'дод 2'!F209</f>
        <v>7136125</v>
      </c>
      <c r="F139" s="49">
        <f>'дод 2'!G33+'дод 2'!G209</f>
        <v>4057800</v>
      </c>
      <c r="G139" s="49">
        <f>'дод 2'!H33+'дод 2'!H209</f>
        <v>865725</v>
      </c>
      <c r="H139" s="49">
        <f>'дод 2'!I33+'дод 2'!I209</f>
        <v>0</v>
      </c>
      <c r="I139" s="49">
        <f>'дод 2'!J33+'дод 2'!J209</f>
        <v>6000</v>
      </c>
      <c r="J139" s="49">
        <f>'дод 2'!K33+'дод 2'!K209</f>
        <v>0</v>
      </c>
      <c r="K139" s="49">
        <f>'дод 2'!L33+'дод 2'!L209</f>
        <v>6000</v>
      </c>
      <c r="L139" s="49">
        <f>'дод 2'!M33+'дод 2'!M209</f>
        <v>0</v>
      </c>
      <c r="M139" s="49">
        <f>'дод 2'!N33+'дод 2'!N209</f>
        <v>3300</v>
      </c>
      <c r="N139" s="49">
        <f>'дод 2'!O33+'дод 2'!O209</f>
        <v>0</v>
      </c>
      <c r="O139" s="49">
        <f>'дод 2'!P33+'дод 2'!P209</f>
        <v>7142125</v>
      </c>
      <c r="P139" s="191"/>
    </row>
    <row r="140" spans="1:16" s="54" customFormat="1" ht="37.5" customHeight="1" x14ac:dyDescent="0.25">
      <c r="A140" s="37" t="s">
        <v>295</v>
      </c>
      <c r="B140" s="37" t="s">
        <v>76</v>
      </c>
      <c r="C140" s="3" t="s">
        <v>345</v>
      </c>
      <c r="D140" s="49">
        <f>'дод 2'!E34+'дод 2'!E210</f>
        <v>5128008</v>
      </c>
      <c r="E140" s="49">
        <f>'дод 2'!F34+'дод 2'!F210</f>
        <v>5128008</v>
      </c>
      <c r="F140" s="49">
        <f>'дод 2'!G34+'дод 2'!G210</f>
        <v>3380000</v>
      </c>
      <c r="G140" s="49">
        <f>'дод 2'!H34+'дод 2'!H210</f>
        <v>129908</v>
      </c>
      <c r="H140" s="49">
        <f>'дод 2'!I34+'дод 2'!I210</f>
        <v>0</v>
      </c>
      <c r="I140" s="49">
        <f>'дод 2'!J34+'дод 2'!J210</f>
        <v>88000</v>
      </c>
      <c r="J140" s="49">
        <f>'дод 2'!K34+'дод 2'!K210</f>
        <v>88000</v>
      </c>
      <c r="K140" s="49">
        <f>'дод 2'!L34+'дод 2'!L210</f>
        <v>0</v>
      </c>
      <c r="L140" s="49">
        <f>'дод 2'!M34+'дод 2'!M210</f>
        <v>0</v>
      </c>
      <c r="M140" s="49">
        <f>'дод 2'!N34+'дод 2'!N210</f>
        <v>0</v>
      </c>
      <c r="N140" s="49">
        <f>'дод 2'!O34+'дод 2'!O210</f>
        <v>88000</v>
      </c>
      <c r="O140" s="49">
        <f>'дод 2'!P34+'дод 2'!P210</f>
        <v>5216008</v>
      </c>
      <c r="P140" s="191"/>
    </row>
    <row r="141" spans="1:16" s="54" customFormat="1" ht="22.5" customHeight="1" x14ac:dyDescent="0.25">
      <c r="A141" s="37" t="s">
        <v>296</v>
      </c>
      <c r="B141" s="37" t="s">
        <v>76</v>
      </c>
      <c r="C141" s="3" t="s">
        <v>297</v>
      </c>
      <c r="D141" s="49">
        <f>'дод 2'!E35+'дод 2'!E211</f>
        <v>1709181</v>
      </c>
      <c r="E141" s="49">
        <f>'дод 2'!F35+'дод 2'!F211</f>
        <v>1709181</v>
      </c>
      <c r="F141" s="49">
        <f>'дод 2'!G35+'дод 2'!G211</f>
        <v>0</v>
      </c>
      <c r="G141" s="49">
        <f>'дод 2'!H35+'дод 2'!H211</f>
        <v>0</v>
      </c>
      <c r="H141" s="49">
        <f>'дод 2'!I35+'дод 2'!I211</f>
        <v>0</v>
      </c>
      <c r="I141" s="49">
        <f>'дод 2'!J35+'дод 2'!J211</f>
        <v>0</v>
      </c>
      <c r="J141" s="49">
        <f>'дод 2'!K35+'дод 2'!K211</f>
        <v>0</v>
      </c>
      <c r="K141" s="49">
        <f>'дод 2'!L35+'дод 2'!L211</f>
        <v>0</v>
      </c>
      <c r="L141" s="49">
        <f>'дод 2'!M35+'дод 2'!M211</f>
        <v>0</v>
      </c>
      <c r="M141" s="49">
        <f>'дод 2'!N35+'дод 2'!N211</f>
        <v>0</v>
      </c>
      <c r="N141" s="49">
        <f>'дод 2'!O35+'дод 2'!O211</f>
        <v>0</v>
      </c>
      <c r="O141" s="49">
        <f>'дод 2'!P35+'дод 2'!P211</f>
        <v>1709181</v>
      </c>
      <c r="P141" s="191"/>
    </row>
    <row r="142" spans="1:16" s="52" customFormat="1" ht="21.75" customHeight="1" x14ac:dyDescent="0.25">
      <c r="A142" s="38" t="s">
        <v>79</v>
      </c>
      <c r="B142" s="41"/>
      <c r="C142" s="2" t="s">
        <v>80</v>
      </c>
      <c r="D142" s="48">
        <f t="shared" ref="D142:O142" si="23">D144+D145+D146+D148+D149+D150</f>
        <v>63173015</v>
      </c>
      <c r="E142" s="48">
        <f t="shared" si="23"/>
        <v>63173015</v>
      </c>
      <c r="F142" s="48">
        <f t="shared" si="23"/>
        <v>22466825</v>
      </c>
      <c r="G142" s="48">
        <f t="shared" si="23"/>
        <v>1361479</v>
      </c>
      <c r="H142" s="48">
        <f t="shared" si="23"/>
        <v>0</v>
      </c>
      <c r="I142" s="48">
        <f t="shared" si="23"/>
        <v>2315794</v>
      </c>
      <c r="J142" s="48">
        <f t="shared" si="23"/>
        <v>2102800</v>
      </c>
      <c r="K142" s="48">
        <f t="shared" si="23"/>
        <v>212994</v>
      </c>
      <c r="L142" s="48">
        <f t="shared" si="23"/>
        <v>119291</v>
      </c>
      <c r="M142" s="48">
        <f t="shared" si="23"/>
        <v>50432</v>
      </c>
      <c r="N142" s="48">
        <f t="shared" si="23"/>
        <v>2102800</v>
      </c>
      <c r="O142" s="48">
        <f t="shared" si="23"/>
        <v>65488809</v>
      </c>
      <c r="P142" s="191"/>
    </row>
    <row r="143" spans="1:16" s="52" customFormat="1" ht="21.75" customHeight="1" x14ac:dyDescent="0.25">
      <c r="A143" s="38"/>
      <c r="B143" s="41"/>
      <c r="C143" s="81" t="s">
        <v>397</v>
      </c>
      <c r="D143" s="80">
        <f>D147</f>
        <v>134064</v>
      </c>
      <c r="E143" s="80">
        <f t="shared" ref="E143:O143" si="24">E147</f>
        <v>134064</v>
      </c>
      <c r="F143" s="80">
        <f t="shared" si="24"/>
        <v>0</v>
      </c>
      <c r="G143" s="80">
        <f t="shared" si="24"/>
        <v>0</v>
      </c>
      <c r="H143" s="80">
        <f t="shared" si="24"/>
        <v>0</v>
      </c>
      <c r="I143" s="80">
        <f t="shared" si="24"/>
        <v>0</v>
      </c>
      <c r="J143" s="80">
        <f t="shared" si="24"/>
        <v>0</v>
      </c>
      <c r="K143" s="80">
        <f t="shared" si="24"/>
        <v>0</v>
      </c>
      <c r="L143" s="80">
        <f t="shared" si="24"/>
        <v>0</v>
      </c>
      <c r="M143" s="80">
        <f t="shared" si="24"/>
        <v>0</v>
      </c>
      <c r="N143" s="80">
        <f t="shared" si="24"/>
        <v>0</v>
      </c>
      <c r="O143" s="80">
        <f t="shared" si="24"/>
        <v>134064</v>
      </c>
      <c r="P143" s="191"/>
    </row>
    <row r="144" spans="1:16" s="54" customFormat="1" ht="37.5" customHeight="1" x14ac:dyDescent="0.25">
      <c r="A144" s="37" t="s">
        <v>81</v>
      </c>
      <c r="B144" s="37" t="s">
        <v>82</v>
      </c>
      <c r="C144" s="3" t="s">
        <v>21</v>
      </c>
      <c r="D144" s="49">
        <f>'дод 2'!E36</f>
        <v>710000</v>
      </c>
      <c r="E144" s="49">
        <f>'дод 2'!F36</f>
        <v>710000</v>
      </c>
      <c r="F144" s="49">
        <f>'дод 2'!G36</f>
        <v>0</v>
      </c>
      <c r="G144" s="49">
        <f>'дод 2'!H36</f>
        <v>0</v>
      </c>
      <c r="H144" s="49">
        <f>'дод 2'!I36</f>
        <v>0</v>
      </c>
      <c r="I144" s="49">
        <f>'дод 2'!J36</f>
        <v>0</v>
      </c>
      <c r="J144" s="49">
        <f>'дод 2'!K36</f>
        <v>0</v>
      </c>
      <c r="K144" s="49">
        <f>'дод 2'!L36</f>
        <v>0</v>
      </c>
      <c r="L144" s="49">
        <f>'дод 2'!M36</f>
        <v>0</v>
      </c>
      <c r="M144" s="49">
        <f>'дод 2'!N36</f>
        <v>0</v>
      </c>
      <c r="N144" s="49">
        <f>'дод 2'!O36</f>
        <v>0</v>
      </c>
      <c r="O144" s="49">
        <f>'дод 2'!P36</f>
        <v>710000</v>
      </c>
      <c r="P144" s="191"/>
    </row>
    <row r="145" spans="1:16" s="54" customFormat="1" ht="34.5" customHeight="1" x14ac:dyDescent="0.25">
      <c r="A145" s="37" t="s">
        <v>83</v>
      </c>
      <c r="B145" s="37" t="s">
        <v>82</v>
      </c>
      <c r="C145" s="3" t="s">
        <v>16</v>
      </c>
      <c r="D145" s="49">
        <f>'дод 2'!E37</f>
        <v>959480</v>
      </c>
      <c r="E145" s="49">
        <f>'дод 2'!F37</f>
        <v>959480</v>
      </c>
      <c r="F145" s="49">
        <f>'дод 2'!G37</f>
        <v>0</v>
      </c>
      <c r="G145" s="49">
        <f>'дод 2'!H37</f>
        <v>0</v>
      </c>
      <c r="H145" s="49">
        <f>'дод 2'!I37</f>
        <v>0</v>
      </c>
      <c r="I145" s="49">
        <f>'дод 2'!J37</f>
        <v>0</v>
      </c>
      <c r="J145" s="49">
        <f>'дод 2'!K37</f>
        <v>0</v>
      </c>
      <c r="K145" s="49">
        <f>'дод 2'!L37</f>
        <v>0</v>
      </c>
      <c r="L145" s="49">
        <f>'дод 2'!M37</f>
        <v>0</v>
      </c>
      <c r="M145" s="49">
        <f>'дод 2'!N37</f>
        <v>0</v>
      </c>
      <c r="N145" s="49">
        <f>'дод 2'!O37</f>
        <v>0</v>
      </c>
      <c r="O145" s="49">
        <f>'дод 2'!P37</f>
        <v>959480</v>
      </c>
      <c r="P145" s="191"/>
    </row>
    <row r="146" spans="1:16" s="54" customFormat="1" ht="36.75" customHeight="1" x14ac:dyDescent="0.25">
      <c r="A146" s="37" t="s">
        <v>118</v>
      </c>
      <c r="B146" s="37" t="s">
        <v>82</v>
      </c>
      <c r="C146" s="3" t="s">
        <v>22</v>
      </c>
      <c r="D146" s="49">
        <f>'дод 2'!E38+'дод 2'!E109</f>
        <v>26684014</v>
      </c>
      <c r="E146" s="49">
        <f>'дод 2'!F38+'дод 2'!F109</f>
        <v>26684014</v>
      </c>
      <c r="F146" s="49">
        <f>'дод 2'!G38+'дод 2'!G109</f>
        <v>19479425</v>
      </c>
      <c r="G146" s="49">
        <f>'дод 2'!H38+'дод 2'!H109</f>
        <v>1042440</v>
      </c>
      <c r="H146" s="49">
        <f>'дод 2'!I38+'дод 2'!I109</f>
        <v>0</v>
      </c>
      <c r="I146" s="49">
        <f>'дод 2'!J38+'дод 2'!J109</f>
        <v>200700</v>
      </c>
      <c r="J146" s="49">
        <f>'дод 2'!K38+'дод 2'!K109</f>
        <v>200700</v>
      </c>
      <c r="K146" s="49">
        <f>'дод 2'!L38+'дод 2'!L109</f>
        <v>0</v>
      </c>
      <c r="L146" s="49">
        <f>'дод 2'!M38+'дод 2'!M109</f>
        <v>0</v>
      </c>
      <c r="M146" s="49">
        <f>'дод 2'!N38+'дод 2'!N109</f>
        <v>0</v>
      </c>
      <c r="N146" s="49">
        <f>'дод 2'!O38+'дод 2'!O109</f>
        <v>200700</v>
      </c>
      <c r="O146" s="49">
        <f>'дод 2'!P38+'дод 2'!P109</f>
        <v>26884714</v>
      </c>
      <c r="P146" s="191"/>
    </row>
    <row r="147" spans="1:16" s="54" customFormat="1" ht="25.5" customHeight="1" x14ac:dyDescent="0.25">
      <c r="A147" s="37"/>
      <c r="B147" s="37"/>
      <c r="C147" s="91" t="s">
        <v>397</v>
      </c>
      <c r="D147" s="84">
        <f>'дод 2'!E110</f>
        <v>134064</v>
      </c>
      <c r="E147" s="84">
        <f>'дод 2'!F110</f>
        <v>134064</v>
      </c>
      <c r="F147" s="84">
        <f>'дод 2'!G110</f>
        <v>0</v>
      </c>
      <c r="G147" s="84">
        <f>'дод 2'!H110</f>
        <v>0</v>
      </c>
      <c r="H147" s="84">
        <f>'дод 2'!I110</f>
        <v>0</v>
      </c>
      <c r="I147" s="84">
        <f>'дод 2'!J110</f>
        <v>0</v>
      </c>
      <c r="J147" s="84">
        <f>'дод 2'!K110</f>
        <v>0</v>
      </c>
      <c r="K147" s="84">
        <f>'дод 2'!L110</f>
        <v>0</v>
      </c>
      <c r="L147" s="84">
        <f>'дод 2'!M110</f>
        <v>0</v>
      </c>
      <c r="M147" s="84">
        <f>'дод 2'!N110</f>
        <v>0</v>
      </c>
      <c r="N147" s="84">
        <f>'дод 2'!O110</f>
        <v>0</v>
      </c>
      <c r="O147" s="84">
        <f>'дод 2'!P110</f>
        <v>134064</v>
      </c>
      <c r="P147" s="191"/>
    </row>
    <row r="148" spans="1:16" s="54" customFormat="1" ht="31.5" customHeight="1" x14ac:dyDescent="0.25">
      <c r="A148" s="37" t="s">
        <v>119</v>
      </c>
      <c r="B148" s="37" t="s">
        <v>82</v>
      </c>
      <c r="C148" s="3" t="s">
        <v>23</v>
      </c>
      <c r="D148" s="49">
        <f>'дод 2'!E39</f>
        <v>14877642</v>
      </c>
      <c r="E148" s="49">
        <f>'дод 2'!F39</f>
        <v>14877642</v>
      </c>
      <c r="F148" s="49">
        <f>'дод 2'!G39</f>
        <v>0</v>
      </c>
      <c r="G148" s="49">
        <f>'дод 2'!H39</f>
        <v>0</v>
      </c>
      <c r="H148" s="49">
        <f>'дод 2'!I39</f>
        <v>0</v>
      </c>
      <c r="I148" s="49">
        <f>'дод 2'!J39</f>
        <v>372100</v>
      </c>
      <c r="J148" s="49">
        <f>'дод 2'!K39</f>
        <v>372100</v>
      </c>
      <c r="K148" s="49">
        <f>'дод 2'!L39</f>
        <v>0</v>
      </c>
      <c r="L148" s="49">
        <f>'дод 2'!M39</f>
        <v>0</v>
      </c>
      <c r="M148" s="49">
        <f>'дод 2'!N39</f>
        <v>0</v>
      </c>
      <c r="N148" s="49">
        <f>'дод 2'!O39</f>
        <v>372100</v>
      </c>
      <c r="O148" s="49">
        <f>'дод 2'!P39</f>
        <v>15249742</v>
      </c>
      <c r="P148" s="191"/>
    </row>
    <row r="149" spans="1:16" s="54" customFormat="1" ht="54" customHeight="1" x14ac:dyDescent="0.25">
      <c r="A149" s="37" t="s">
        <v>114</v>
      </c>
      <c r="B149" s="37" t="s">
        <v>82</v>
      </c>
      <c r="C149" s="3" t="s">
        <v>115</v>
      </c>
      <c r="D149" s="49">
        <f>'дод 2'!E40</f>
        <v>4973184</v>
      </c>
      <c r="E149" s="49">
        <f>'дод 2'!F40</f>
        <v>4973184</v>
      </c>
      <c r="F149" s="49">
        <f>'дод 2'!G40</f>
        <v>2987400</v>
      </c>
      <c r="G149" s="49">
        <f>'дод 2'!H40</f>
        <v>319039</v>
      </c>
      <c r="H149" s="49">
        <f>'дод 2'!I40</f>
        <v>0</v>
      </c>
      <c r="I149" s="49">
        <f>'дод 2'!J40</f>
        <v>1742994</v>
      </c>
      <c r="J149" s="49">
        <f>'дод 2'!K40</f>
        <v>1530000</v>
      </c>
      <c r="K149" s="49">
        <f>'дод 2'!L40</f>
        <v>212994</v>
      </c>
      <c r="L149" s="49">
        <f>'дод 2'!M40</f>
        <v>119291</v>
      </c>
      <c r="M149" s="49">
        <f>'дод 2'!N40</f>
        <v>50432</v>
      </c>
      <c r="N149" s="49">
        <f>'дод 2'!O40</f>
        <v>1530000</v>
      </c>
      <c r="O149" s="49">
        <f>'дод 2'!P40</f>
        <v>6716178</v>
      </c>
      <c r="P149" s="191"/>
    </row>
    <row r="150" spans="1:16" s="54" customFormat="1" ht="37.5" customHeight="1" x14ac:dyDescent="0.25">
      <c r="A150" s="37" t="s">
        <v>117</v>
      </c>
      <c r="B150" s="37" t="s">
        <v>82</v>
      </c>
      <c r="C150" s="3" t="s">
        <v>116</v>
      </c>
      <c r="D150" s="49">
        <f>'дод 2'!E41</f>
        <v>14968695</v>
      </c>
      <c r="E150" s="49">
        <f>'дод 2'!F41</f>
        <v>14968695</v>
      </c>
      <c r="F150" s="49">
        <f>'дод 2'!G41</f>
        <v>0</v>
      </c>
      <c r="G150" s="49">
        <f>'дод 2'!H41</f>
        <v>0</v>
      </c>
      <c r="H150" s="49">
        <f>'дод 2'!I41</f>
        <v>0</v>
      </c>
      <c r="I150" s="49">
        <f>'дод 2'!J41</f>
        <v>0</v>
      </c>
      <c r="J150" s="49">
        <f>'дод 2'!K41</f>
        <v>0</v>
      </c>
      <c r="K150" s="49">
        <f>'дод 2'!L41</f>
        <v>0</v>
      </c>
      <c r="L150" s="49">
        <f>'дод 2'!M41</f>
        <v>0</v>
      </c>
      <c r="M150" s="49">
        <f>'дод 2'!N41</f>
        <v>0</v>
      </c>
      <c r="N150" s="49">
        <f>'дод 2'!O41</f>
        <v>0</v>
      </c>
      <c r="O150" s="49">
        <f>'дод 2'!P41</f>
        <v>14968695</v>
      </c>
      <c r="P150" s="191"/>
    </row>
    <row r="151" spans="1:16" s="52" customFormat="1" ht="18" customHeight="1" x14ac:dyDescent="0.25">
      <c r="A151" s="38" t="s">
        <v>67</v>
      </c>
      <c r="B151" s="41"/>
      <c r="C151" s="2" t="s">
        <v>68</v>
      </c>
      <c r="D151" s="48">
        <f>D153+D154+D155+D156+D157+D158+D159+D161+D162</f>
        <v>274021320.26999998</v>
      </c>
      <c r="E151" s="48">
        <f t="shared" ref="E151:O151" si="25">E153+E154+E155+E156+E157+E158+E159+E161+E162</f>
        <v>243279361.78999999</v>
      </c>
      <c r="F151" s="48">
        <f t="shared" si="25"/>
        <v>0</v>
      </c>
      <c r="G151" s="48">
        <f t="shared" si="25"/>
        <v>35017960</v>
      </c>
      <c r="H151" s="48">
        <f t="shared" si="25"/>
        <v>30741958.48</v>
      </c>
      <c r="I151" s="48">
        <f t="shared" si="25"/>
        <v>125749034.22999999</v>
      </c>
      <c r="J151" s="48">
        <f t="shared" si="25"/>
        <v>123806205.57999998</v>
      </c>
      <c r="K151" s="48">
        <f t="shared" si="25"/>
        <v>0</v>
      </c>
      <c r="L151" s="48">
        <f t="shared" si="25"/>
        <v>0</v>
      </c>
      <c r="M151" s="48">
        <f t="shared" si="25"/>
        <v>0</v>
      </c>
      <c r="N151" s="48">
        <f t="shared" si="25"/>
        <v>125749034.22999999</v>
      </c>
      <c r="O151" s="48">
        <f t="shared" si="25"/>
        <v>399770354.5</v>
      </c>
      <c r="P151" s="191"/>
    </row>
    <row r="152" spans="1:16" s="52" customFormat="1" ht="110.25" hidden="1" customHeight="1" x14ac:dyDescent="0.25">
      <c r="A152" s="38"/>
      <c r="B152" s="41"/>
      <c r="C152" s="2" t="s">
        <v>448</v>
      </c>
      <c r="D152" s="48">
        <f>D160</f>
        <v>0</v>
      </c>
      <c r="E152" s="48">
        <f t="shared" ref="E152:O152" si="26">E160</f>
        <v>0</v>
      </c>
      <c r="F152" s="48">
        <f t="shared" si="26"/>
        <v>0</v>
      </c>
      <c r="G152" s="48">
        <f t="shared" si="26"/>
        <v>0</v>
      </c>
      <c r="H152" s="48">
        <f t="shared" si="26"/>
        <v>0</v>
      </c>
      <c r="I152" s="48">
        <f t="shared" si="26"/>
        <v>0</v>
      </c>
      <c r="J152" s="48">
        <f t="shared" si="26"/>
        <v>0</v>
      </c>
      <c r="K152" s="48">
        <f t="shared" si="26"/>
        <v>0</v>
      </c>
      <c r="L152" s="48">
        <f t="shared" si="26"/>
        <v>0</v>
      </c>
      <c r="M152" s="48">
        <f t="shared" si="26"/>
        <v>0</v>
      </c>
      <c r="N152" s="48">
        <f t="shared" si="26"/>
        <v>0</v>
      </c>
      <c r="O152" s="48">
        <f t="shared" si="26"/>
        <v>0</v>
      </c>
      <c r="P152" s="191"/>
    </row>
    <row r="153" spans="1:16" s="54" customFormat="1" ht="29.25" customHeight="1" x14ac:dyDescent="0.25">
      <c r="A153" s="37" t="s">
        <v>129</v>
      </c>
      <c r="B153" s="37" t="s">
        <v>69</v>
      </c>
      <c r="C153" s="3" t="s">
        <v>130</v>
      </c>
      <c r="D153" s="49">
        <f>'дод 2'!E225</f>
        <v>0</v>
      </c>
      <c r="E153" s="49">
        <f>'дод 2'!F225</f>
        <v>0</v>
      </c>
      <c r="F153" s="49">
        <f>'дод 2'!G225</f>
        <v>0</v>
      </c>
      <c r="G153" s="49">
        <f>'дод 2'!H225</f>
        <v>0</v>
      </c>
      <c r="H153" s="49">
        <f>'дод 2'!I225</f>
        <v>0</v>
      </c>
      <c r="I153" s="49">
        <f>'дод 2'!J225</f>
        <v>8602296</v>
      </c>
      <c r="J153" s="49">
        <f>'дод 2'!K225</f>
        <v>8565816</v>
      </c>
      <c r="K153" s="49">
        <f>'дод 2'!L225</f>
        <v>0</v>
      </c>
      <c r="L153" s="49">
        <f>'дод 2'!M225</f>
        <v>0</v>
      </c>
      <c r="M153" s="49">
        <f>'дод 2'!N225</f>
        <v>0</v>
      </c>
      <c r="N153" s="49">
        <f>'дод 2'!O225</f>
        <v>8602296</v>
      </c>
      <c r="O153" s="49">
        <f>'дод 2'!P225</f>
        <v>8602296</v>
      </c>
      <c r="P153" s="191"/>
    </row>
    <row r="154" spans="1:16" s="54" customFormat="1" ht="36.75" customHeight="1" x14ac:dyDescent="0.25">
      <c r="A154" s="37" t="s">
        <v>131</v>
      </c>
      <c r="B154" s="37" t="s">
        <v>71</v>
      </c>
      <c r="C154" s="3" t="s">
        <v>149</v>
      </c>
      <c r="D154" s="49">
        <f>'дод 2'!E226</f>
        <v>29614040</v>
      </c>
      <c r="E154" s="49">
        <f>'дод 2'!F226</f>
        <v>1114040</v>
      </c>
      <c r="F154" s="49">
        <f>'дод 2'!G226</f>
        <v>0</v>
      </c>
      <c r="G154" s="49">
        <f>'дод 2'!H226</f>
        <v>0</v>
      </c>
      <c r="H154" s="49">
        <f>'дод 2'!I226</f>
        <v>28500000</v>
      </c>
      <c r="I154" s="49">
        <f>'дод 2'!J226</f>
        <v>200000</v>
      </c>
      <c r="J154" s="49">
        <f>'дод 2'!K226</f>
        <v>200000</v>
      </c>
      <c r="K154" s="49">
        <f>'дод 2'!L226</f>
        <v>0</v>
      </c>
      <c r="L154" s="49">
        <f>'дод 2'!M226</f>
        <v>0</v>
      </c>
      <c r="M154" s="49">
        <f>'дод 2'!N226</f>
        <v>0</v>
      </c>
      <c r="N154" s="49">
        <f>'дод 2'!O226</f>
        <v>200000</v>
      </c>
      <c r="O154" s="49">
        <f>'дод 2'!P226</f>
        <v>29814040</v>
      </c>
      <c r="P154" s="191"/>
    </row>
    <row r="155" spans="1:16" s="54" customFormat="1" ht="26.25" customHeight="1" x14ac:dyDescent="0.25">
      <c r="A155" s="40" t="s">
        <v>262</v>
      </c>
      <c r="B155" s="40" t="s">
        <v>71</v>
      </c>
      <c r="C155" s="3" t="s">
        <v>263</v>
      </c>
      <c r="D155" s="49">
        <f>'дод 2'!E227</f>
        <v>115980</v>
      </c>
      <c r="E155" s="49">
        <f>'дод 2'!F227</f>
        <v>115980</v>
      </c>
      <c r="F155" s="49">
        <f>'дод 2'!G227</f>
        <v>0</v>
      </c>
      <c r="G155" s="49">
        <f>'дод 2'!H227</f>
        <v>0</v>
      </c>
      <c r="H155" s="49">
        <f>'дод 2'!I227</f>
        <v>0</v>
      </c>
      <c r="I155" s="49">
        <f>'дод 2'!J227</f>
        <v>32680050</v>
      </c>
      <c r="J155" s="49">
        <f>'дод 2'!K227</f>
        <v>32630050</v>
      </c>
      <c r="K155" s="49">
        <f>'дод 2'!L227</f>
        <v>0</v>
      </c>
      <c r="L155" s="49">
        <f>'дод 2'!M227</f>
        <v>0</v>
      </c>
      <c r="M155" s="49">
        <f>'дод 2'!N227</f>
        <v>0</v>
      </c>
      <c r="N155" s="49">
        <f>'дод 2'!O227</f>
        <v>32680050</v>
      </c>
      <c r="O155" s="49">
        <f>'дод 2'!P227</f>
        <v>32796030</v>
      </c>
      <c r="P155" s="191"/>
    </row>
    <row r="156" spans="1:16" s="54" customFormat="1" ht="33" customHeight="1" x14ac:dyDescent="0.25">
      <c r="A156" s="37" t="s">
        <v>265</v>
      </c>
      <c r="B156" s="37" t="s">
        <v>71</v>
      </c>
      <c r="C156" s="3" t="s">
        <v>346</v>
      </c>
      <c r="D156" s="49">
        <f>'дод 2'!E228</f>
        <v>100000</v>
      </c>
      <c r="E156" s="49">
        <f>'дод 2'!F228</f>
        <v>100000</v>
      </c>
      <c r="F156" s="49">
        <f>'дод 2'!G228</f>
        <v>0</v>
      </c>
      <c r="G156" s="49">
        <f>'дод 2'!H228</f>
        <v>0</v>
      </c>
      <c r="H156" s="49">
        <f>'дод 2'!I228</f>
        <v>0</v>
      </c>
      <c r="I156" s="49">
        <f>'дод 2'!J228</f>
        <v>0</v>
      </c>
      <c r="J156" s="49">
        <f>'дод 2'!K228</f>
        <v>0</v>
      </c>
      <c r="K156" s="49">
        <f>'дод 2'!L228</f>
        <v>0</v>
      </c>
      <c r="L156" s="49">
        <f>'дод 2'!M228</f>
        <v>0</v>
      </c>
      <c r="M156" s="49">
        <f>'дод 2'!N228</f>
        <v>0</v>
      </c>
      <c r="N156" s="49">
        <f>'дод 2'!O228</f>
        <v>0</v>
      </c>
      <c r="O156" s="49">
        <f>'дод 2'!P228</f>
        <v>100000</v>
      </c>
      <c r="P156" s="191"/>
    </row>
    <row r="157" spans="1:16" s="54" customFormat="1" ht="52.5" customHeight="1" x14ac:dyDescent="0.25">
      <c r="A157" s="37" t="s">
        <v>70</v>
      </c>
      <c r="B157" s="37" t="s">
        <v>71</v>
      </c>
      <c r="C157" s="3" t="s">
        <v>134</v>
      </c>
      <c r="D157" s="49">
        <f>'дод 2'!E229</f>
        <v>1871258.48</v>
      </c>
      <c r="E157" s="49">
        <f>'дод 2'!F229</f>
        <v>29300</v>
      </c>
      <c r="F157" s="49">
        <f>'дод 2'!G229</f>
        <v>0</v>
      </c>
      <c r="G157" s="49">
        <f>'дод 2'!H229</f>
        <v>0</v>
      </c>
      <c r="H157" s="49">
        <f>'дод 2'!I229</f>
        <v>1841958.48</v>
      </c>
      <c r="I157" s="49">
        <f>'дод 2'!J229</f>
        <v>0</v>
      </c>
      <c r="J157" s="49">
        <f>'дод 2'!K229</f>
        <v>0</v>
      </c>
      <c r="K157" s="49">
        <f>'дод 2'!L229</f>
        <v>0</v>
      </c>
      <c r="L157" s="49">
        <f>'дод 2'!M229</f>
        <v>0</v>
      </c>
      <c r="M157" s="49">
        <f>'дод 2'!N229</f>
        <v>0</v>
      </c>
      <c r="N157" s="49">
        <f>'дод 2'!O229</f>
        <v>0</v>
      </c>
      <c r="O157" s="49">
        <f>'дод 2'!P229</f>
        <v>1871258.48</v>
      </c>
      <c r="P157" s="191"/>
    </row>
    <row r="158" spans="1:16" ht="24" customHeight="1" x14ac:dyDescent="0.25">
      <c r="A158" s="37" t="s">
        <v>132</v>
      </c>
      <c r="B158" s="37" t="s">
        <v>71</v>
      </c>
      <c r="C158" s="3" t="s">
        <v>133</v>
      </c>
      <c r="D158" s="49">
        <f>'дод 2'!E230+'дод 2'!E259</f>
        <v>225390075.50999999</v>
      </c>
      <c r="E158" s="49">
        <f>'дод 2'!F230+'дод 2'!F259</f>
        <v>225290075.50999999</v>
      </c>
      <c r="F158" s="49">
        <f>'дод 2'!G230+'дод 2'!G259</f>
        <v>0</v>
      </c>
      <c r="G158" s="49">
        <f>'дод 2'!H230+'дод 2'!H259</f>
        <v>34990460</v>
      </c>
      <c r="H158" s="49">
        <f>'дод 2'!I230+'дод 2'!I259</f>
        <v>100000</v>
      </c>
      <c r="I158" s="49">
        <f>'дод 2'!J230+'дод 2'!J259</f>
        <v>82377139.579999983</v>
      </c>
      <c r="J158" s="49">
        <f>'дод 2'!K230+'дод 2'!K259</f>
        <v>82377139.579999983</v>
      </c>
      <c r="K158" s="49">
        <f>'дод 2'!L230+'дод 2'!L259</f>
        <v>0</v>
      </c>
      <c r="L158" s="49">
        <f>'дод 2'!M230+'дод 2'!M259</f>
        <v>0</v>
      </c>
      <c r="M158" s="49">
        <f>'дод 2'!N230+'дод 2'!N259</f>
        <v>0</v>
      </c>
      <c r="N158" s="49">
        <f>'дод 2'!O230+'дод 2'!O259</f>
        <v>82377139.579999983</v>
      </c>
      <c r="O158" s="49">
        <f>'дод 2'!P230+'дод 2'!P259</f>
        <v>307767215.08999997</v>
      </c>
      <c r="P158" s="191"/>
    </row>
    <row r="159" spans="1:16" ht="83.25" customHeight="1" x14ac:dyDescent="0.25">
      <c r="A159" s="37">
        <v>6083</v>
      </c>
      <c r="B159" s="59" t="s">
        <v>69</v>
      </c>
      <c r="C159" s="11" t="s">
        <v>441</v>
      </c>
      <c r="D159" s="49">
        <f>'дод 2'!E202</f>
        <v>0</v>
      </c>
      <c r="E159" s="49">
        <f>'дод 2'!F202</f>
        <v>0</v>
      </c>
      <c r="F159" s="49">
        <f>'дод 2'!G202</f>
        <v>0</v>
      </c>
      <c r="G159" s="49">
        <f>'дод 2'!H202</f>
        <v>0</v>
      </c>
      <c r="H159" s="49">
        <f>'дод 2'!I202</f>
        <v>0</v>
      </c>
      <c r="I159" s="49">
        <f>'дод 2'!J202</f>
        <v>33200</v>
      </c>
      <c r="J159" s="49">
        <f>'дод 2'!K202</f>
        <v>33200</v>
      </c>
      <c r="K159" s="49">
        <f>'дод 2'!L202</f>
        <v>0</v>
      </c>
      <c r="L159" s="49">
        <f>'дод 2'!M202</f>
        <v>0</v>
      </c>
      <c r="M159" s="49">
        <f>'дод 2'!N202</f>
        <v>0</v>
      </c>
      <c r="N159" s="49">
        <f>'дод 2'!O202</f>
        <v>33200</v>
      </c>
      <c r="O159" s="49">
        <f>'дод 2'!P202</f>
        <v>33200</v>
      </c>
      <c r="P159" s="191"/>
    </row>
    <row r="160" spans="1:16" s="54" customFormat="1" ht="110.25" hidden="1" customHeight="1" x14ac:dyDescent="0.25">
      <c r="A160" s="82"/>
      <c r="B160" s="93"/>
      <c r="C160" s="94" t="s">
        <v>448</v>
      </c>
      <c r="D160" s="84">
        <f>'дод 2'!E203</f>
        <v>0</v>
      </c>
      <c r="E160" s="84">
        <f>'дод 2'!F203</f>
        <v>0</v>
      </c>
      <c r="F160" s="84">
        <f>'дод 2'!G203</f>
        <v>0</v>
      </c>
      <c r="G160" s="84">
        <f>'дод 2'!H203</f>
        <v>0</v>
      </c>
      <c r="H160" s="84">
        <f>'дод 2'!I203</f>
        <v>0</v>
      </c>
      <c r="I160" s="84">
        <f>'дод 2'!J203</f>
        <v>0</v>
      </c>
      <c r="J160" s="84">
        <f>'дод 2'!K203</f>
        <v>0</v>
      </c>
      <c r="K160" s="84">
        <f>'дод 2'!L203</f>
        <v>0</v>
      </c>
      <c r="L160" s="84">
        <f>'дод 2'!M203</f>
        <v>0</v>
      </c>
      <c r="M160" s="84">
        <f>'дод 2'!N203</f>
        <v>0</v>
      </c>
      <c r="N160" s="84">
        <f>'дод 2'!O203</f>
        <v>0</v>
      </c>
      <c r="O160" s="84">
        <f>'дод 2'!P203</f>
        <v>0</v>
      </c>
      <c r="P160" s="191"/>
    </row>
    <row r="161" spans="1:16" s="54" customFormat="1" ht="54.75" customHeight="1" x14ac:dyDescent="0.25">
      <c r="A161" s="37" t="s">
        <v>136</v>
      </c>
      <c r="B161" s="42" t="s">
        <v>69</v>
      </c>
      <c r="C161" s="3" t="s">
        <v>137</v>
      </c>
      <c r="D161" s="49">
        <f>'дод 2'!E260</f>
        <v>0</v>
      </c>
      <c r="E161" s="49">
        <f>'дод 2'!F260</f>
        <v>0</v>
      </c>
      <c r="F161" s="49">
        <f>'дод 2'!G260</f>
        <v>0</v>
      </c>
      <c r="G161" s="49">
        <f>'дод 2'!H260</f>
        <v>0</v>
      </c>
      <c r="H161" s="49">
        <f>'дод 2'!I260</f>
        <v>0</v>
      </c>
      <c r="I161" s="49">
        <f>'дод 2'!J260</f>
        <v>71348.649999999994</v>
      </c>
      <c r="J161" s="49">
        <f>'дод 2'!K260</f>
        <v>0</v>
      </c>
      <c r="K161" s="49">
        <f>'дод 2'!L260</f>
        <v>0</v>
      </c>
      <c r="L161" s="49">
        <f>'дод 2'!M260</f>
        <v>0</v>
      </c>
      <c r="M161" s="49">
        <f>'дод 2'!N260</f>
        <v>0</v>
      </c>
      <c r="N161" s="49">
        <f>'дод 2'!O260</f>
        <v>71348.649999999994</v>
      </c>
      <c r="O161" s="49">
        <f>'дод 2'!P260</f>
        <v>71348.649999999994</v>
      </c>
      <c r="P161" s="191"/>
    </row>
    <row r="162" spans="1:16" ht="36" customHeight="1" x14ac:dyDescent="0.25">
      <c r="A162" s="37" t="s">
        <v>143</v>
      </c>
      <c r="B162" s="42" t="s">
        <v>314</v>
      </c>
      <c r="C162" s="3" t="s">
        <v>144</v>
      </c>
      <c r="D162" s="49">
        <f>'дод 2'!E231+'дод 2'!E278</f>
        <v>16929966.280000001</v>
      </c>
      <c r="E162" s="49">
        <f>'дод 2'!F231+'дод 2'!F278</f>
        <v>16629966.280000001</v>
      </c>
      <c r="F162" s="49">
        <f>'дод 2'!G231+'дод 2'!G278</f>
        <v>0</v>
      </c>
      <c r="G162" s="49">
        <f>'дод 2'!H231+'дод 2'!H278</f>
        <v>27500</v>
      </c>
      <c r="H162" s="49">
        <f>'дод 2'!I231+'дод 2'!I278</f>
        <v>300000</v>
      </c>
      <c r="I162" s="49">
        <f>'дод 2'!J231+'дод 2'!J278</f>
        <v>1785000</v>
      </c>
      <c r="J162" s="49">
        <f>'дод 2'!K231+'дод 2'!K278</f>
        <v>0</v>
      </c>
      <c r="K162" s="49">
        <f>'дод 2'!L231+'дод 2'!L278</f>
        <v>0</v>
      </c>
      <c r="L162" s="49">
        <f>'дод 2'!M231+'дод 2'!M278</f>
        <v>0</v>
      </c>
      <c r="M162" s="49">
        <f>'дод 2'!N231+'дод 2'!N278</f>
        <v>0</v>
      </c>
      <c r="N162" s="49">
        <f>'дод 2'!O231+'дод 2'!O278</f>
        <v>1785000</v>
      </c>
      <c r="O162" s="49">
        <f>'дод 2'!P231+'дод 2'!P278</f>
        <v>18714966.280000001</v>
      </c>
      <c r="P162" s="191"/>
    </row>
    <row r="163" spans="1:16" s="52" customFormat="1" ht="21.75" customHeight="1" x14ac:dyDescent="0.25">
      <c r="A163" s="38" t="s">
        <v>138</v>
      </c>
      <c r="B163" s="41"/>
      <c r="C163" s="2" t="s">
        <v>409</v>
      </c>
      <c r="D163" s="48">
        <f>D167+D169+D185+D198+D200+D212</f>
        <v>74942055.549999997</v>
      </c>
      <c r="E163" s="48">
        <f t="shared" ref="E163:O163" si="27">E167+E169+E185+E198+E200+E212</f>
        <v>19842859.550000001</v>
      </c>
      <c r="F163" s="48">
        <f t="shared" si="27"/>
        <v>0</v>
      </c>
      <c r="G163" s="48">
        <f t="shared" si="27"/>
        <v>0</v>
      </c>
      <c r="H163" s="48">
        <f t="shared" si="27"/>
        <v>55099196</v>
      </c>
      <c r="I163" s="48">
        <f t="shared" si="27"/>
        <v>423294415.01999998</v>
      </c>
      <c r="J163" s="48">
        <f t="shared" si="27"/>
        <v>406334443.14999998</v>
      </c>
      <c r="K163" s="48">
        <f t="shared" si="27"/>
        <v>2948437.8699999996</v>
      </c>
      <c r="L163" s="48">
        <f t="shared" si="27"/>
        <v>0</v>
      </c>
      <c r="M163" s="48">
        <f t="shared" si="27"/>
        <v>0</v>
      </c>
      <c r="N163" s="48">
        <f t="shared" si="27"/>
        <v>420345977.14999998</v>
      </c>
      <c r="O163" s="48">
        <f t="shared" si="27"/>
        <v>498236470.56999999</v>
      </c>
      <c r="P163" s="191"/>
    </row>
    <row r="164" spans="1:16" s="53" customFormat="1" ht="47.25" hidden="1" customHeight="1" x14ac:dyDescent="0.25">
      <c r="A164" s="75"/>
      <c r="B164" s="76"/>
      <c r="C164" s="79" t="s">
        <v>390</v>
      </c>
      <c r="D164" s="80">
        <f>D170</f>
        <v>0</v>
      </c>
      <c r="E164" s="80">
        <f t="shared" ref="E164:O164" si="28">E170</f>
        <v>0</v>
      </c>
      <c r="F164" s="80">
        <f t="shared" si="28"/>
        <v>0</v>
      </c>
      <c r="G164" s="80">
        <f t="shared" si="28"/>
        <v>0</v>
      </c>
      <c r="H164" s="80">
        <f t="shared" si="28"/>
        <v>0</v>
      </c>
      <c r="I164" s="80">
        <f t="shared" si="28"/>
        <v>6380916</v>
      </c>
      <c r="J164" s="80">
        <f t="shared" si="28"/>
        <v>6380916</v>
      </c>
      <c r="K164" s="80">
        <f t="shared" si="28"/>
        <v>0</v>
      </c>
      <c r="L164" s="80">
        <f t="shared" si="28"/>
        <v>0</v>
      </c>
      <c r="M164" s="80">
        <f t="shared" si="28"/>
        <v>0</v>
      </c>
      <c r="N164" s="80">
        <f t="shared" si="28"/>
        <v>6380916</v>
      </c>
      <c r="O164" s="80">
        <f t="shared" si="28"/>
        <v>6380916</v>
      </c>
      <c r="P164" s="191"/>
    </row>
    <row r="165" spans="1:16" s="53" customFormat="1" ht="94.5" hidden="1" customHeight="1" x14ac:dyDescent="0.25">
      <c r="A165" s="75"/>
      <c r="B165" s="76"/>
      <c r="C165" s="79" t="s">
        <v>399</v>
      </c>
      <c r="D165" s="80">
        <f>D186</f>
        <v>0</v>
      </c>
      <c r="E165" s="80">
        <f t="shared" ref="E165:N165" si="29">E186</f>
        <v>0</v>
      </c>
      <c r="F165" s="80">
        <f t="shared" si="29"/>
        <v>0</v>
      </c>
      <c r="G165" s="80">
        <f t="shared" si="29"/>
        <v>0</v>
      </c>
      <c r="H165" s="80">
        <f t="shared" si="29"/>
        <v>0</v>
      </c>
      <c r="I165" s="80">
        <f t="shared" si="29"/>
        <v>0</v>
      </c>
      <c r="J165" s="80">
        <f t="shared" si="29"/>
        <v>0</v>
      </c>
      <c r="K165" s="80">
        <f t="shared" si="29"/>
        <v>0</v>
      </c>
      <c r="L165" s="80">
        <f t="shared" si="29"/>
        <v>0</v>
      </c>
      <c r="M165" s="80">
        <f t="shared" si="29"/>
        <v>0</v>
      </c>
      <c r="N165" s="80">
        <f t="shared" si="29"/>
        <v>0</v>
      </c>
      <c r="O165" s="80">
        <f t="shared" ref="O165" si="30">O186</f>
        <v>0</v>
      </c>
      <c r="P165" s="191"/>
    </row>
    <row r="166" spans="1:16" s="53" customFormat="1" ht="18" customHeight="1" x14ac:dyDescent="0.25">
      <c r="A166" s="75"/>
      <c r="B166" s="75"/>
      <c r="C166" s="87" t="s">
        <v>421</v>
      </c>
      <c r="D166" s="80">
        <f>D201</f>
        <v>0</v>
      </c>
      <c r="E166" s="80">
        <f t="shared" ref="E166:O166" si="31">E201</f>
        <v>0</v>
      </c>
      <c r="F166" s="80">
        <f t="shared" si="31"/>
        <v>0</v>
      </c>
      <c r="G166" s="80">
        <f t="shared" si="31"/>
        <v>0</v>
      </c>
      <c r="H166" s="80">
        <f t="shared" si="31"/>
        <v>0</v>
      </c>
      <c r="I166" s="80">
        <f t="shared" si="31"/>
        <v>127771665.12</v>
      </c>
      <c r="J166" s="80">
        <f t="shared" si="31"/>
        <v>127771665.12</v>
      </c>
      <c r="K166" s="80">
        <f t="shared" si="31"/>
        <v>0</v>
      </c>
      <c r="L166" s="80">
        <f t="shared" si="31"/>
        <v>0</v>
      </c>
      <c r="M166" s="80">
        <f t="shared" si="31"/>
        <v>0</v>
      </c>
      <c r="N166" s="80">
        <f t="shared" si="31"/>
        <v>127771665.12</v>
      </c>
      <c r="O166" s="80">
        <f t="shared" si="31"/>
        <v>127771665.12</v>
      </c>
      <c r="P166" s="191"/>
    </row>
    <row r="167" spans="1:16" s="52" customFormat="1" x14ac:dyDescent="0.25">
      <c r="A167" s="38" t="s">
        <v>145</v>
      </c>
      <c r="B167" s="41"/>
      <c r="C167" s="2" t="s">
        <v>146</v>
      </c>
      <c r="D167" s="48">
        <f t="shared" ref="D167:O167" si="32">D168</f>
        <v>450000</v>
      </c>
      <c r="E167" s="48">
        <f t="shared" si="32"/>
        <v>450000</v>
      </c>
      <c r="F167" s="48">
        <f t="shared" si="32"/>
        <v>0</v>
      </c>
      <c r="G167" s="48">
        <f t="shared" si="32"/>
        <v>0</v>
      </c>
      <c r="H167" s="48">
        <f t="shared" si="32"/>
        <v>0</v>
      </c>
      <c r="I167" s="48">
        <f t="shared" si="32"/>
        <v>0</v>
      </c>
      <c r="J167" s="48">
        <f t="shared" si="32"/>
        <v>0</v>
      </c>
      <c r="K167" s="48">
        <f t="shared" si="32"/>
        <v>0</v>
      </c>
      <c r="L167" s="48">
        <f t="shared" si="32"/>
        <v>0</v>
      </c>
      <c r="M167" s="48">
        <f t="shared" si="32"/>
        <v>0</v>
      </c>
      <c r="N167" s="48">
        <f t="shared" si="32"/>
        <v>0</v>
      </c>
      <c r="O167" s="48">
        <f t="shared" si="32"/>
        <v>450000</v>
      </c>
      <c r="P167" s="191"/>
    </row>
    <row r="168" spans="1:16" ht="24" customHeight="1" x14ac:dyDescent="0.25">
      <c r="A168" s="37" t="s">
        <v>139</v>
      </c>
      <c r="B168" s="37" t="s">
        <v>85</v>
      </c>
      <c r="C168" s="3" t="s">
        <v>347</v>
      </c>
      <c r="D168" s="49">
        <f>'дод 2'!E288</f>
        <v>450000</v>
      </c>
      <c r="E168" s="49">
        <f>'дод 2'!F288</f>
        <v>450000</v>
      </c>
      <c r="F168" s="49">
        <f>'дод 2'!G288</f>
        <v>0</v>
      </c>
      <c r="G168" s="49">
        <f>'дод 2'!H288</f>
        <v>0</v>
      </c>
      <c r="H168" s="49">
        <f>'дод 2'!I288</f>
        <v>0</v>
      </c>
      <c r="I168" s="49">
        <f>'дод 2'!J288</f>
        <v>0</v>
      </c>
      <c r="J168" s="49">
        <f>'дод 2'!K288</f>
        <v>0</v>
      </c>
      <c r="K168" s="49">
        <f>'дод 2'!L288</f>
        <v>0</v>
      </c>
      <c r="L168" s="49">
        <f>'дод 2'!M288</f>
        <v>0</v>
      </c>
      <c r="M168" s="49">
        <f>'дод 2'!N288</f>
        <v>0</v>
      </c>
      <c r="N168" s="49">
        <f>'дод 2'!O288</f>
        <v>0</v>
      </c>
      <c r="O168" s="49">
        <f>'дод 2'!P288</f>
        <v>450000</v>
      </c>
      <c r="P168" s="191"/>
    </row>
    <row r="169" spans="1:16" s="52" customFormat="1" ht="18.75" customHeight="1" x14ac:dyDescent="0.25">
      <c r="A169" s="38" t="s">
        <v>99</v>
      </c>
      <c r="B169" s="38"/>
      <c r="C169" s="13" t="s">
        <v>471</v>
      </c>
      <c r="D169" s="48">
        <f>D171+D172+D173+D174+D175+D176+D177+D178+D179+D180+D182+D184</f>
        <v>2364686</v>
      </c>
      <c r="E169" s="48">
        <f t="shared" ref="E169:O169" si="33">E171+E172+E173+E174+E175+E176+E177+E178+E179+E180+E182+E184</f>
        <v>2364686</v>
      </c>
      <c r="F169" s="48">
        <f t="shared" si="33"/>
        <v>0</v>
      </c>
      <c r="G169" s="48">
        <f t="shared" si="33"/>
        <v>0</v>
      </c>
      <c r="H169" s="48">
        <f t="shared" si="33"/>
        <v>0</v>
      </c>
      <c r="I169" s="48">
        <f t="shared" si="33"/>
        <v>205657272.57999998</v>
      </c>
      <c r="J169" s="48">
        <f t="shared" si="33"/>
        <v>205657272.57999998</v>
      </c>
      <c r="K169" s="48">
        <f t="shared" si="33"/>
        <v>0</v>
      </c>
      <c r="L169" s="48">
        <f t="shared" si="33"/>
        <v>0</v>
      </c>
      <c r="M169" s="48">
        <f t="shared" si="33"/>
        <v>0</v>
      </c>
      <c r="N169" s="48">
        <f t="shared" si="33"/>
        <v>205657272.57999998</v>
      </c>
      <c r="O169" s="48">
        <f t="shared" si="33"/>
        <v>208021958.57999998</v>
      </c>
      <c r="P169" s="191"/>
    </row>
    <row r="170" spans="1:16" s="53" customFormat="1" ht="55.5" customHeight="1" x14ac:dyDescent="0.25">
      <c r="A170" s="75"/>
      <c r="B170" s="75"/>
      <c r="C170" s="79" t="s">
        <v>569</v>
      </c>
      <c r="D170" s="80">
        <f>D183</f>
        <v>0</v>
      </c>
      <c r="E170" s="80">
        <f t="shared" ref="E170:O170" si="34">E183</f>
        <v>0</v>
      </c>
      <c r="F170" s="80">
        <f t="shared" si="34"/>
        <v>0</v>
      </c>
      <c r="G170" s="80">
        <f t="shared" si="34"/>
        <v>0</v>
      </c>
      <c r="H170" s="80">
        <f t="shared" si="34"/>
        <v>0</v>
      </c>
      <c r="I170" s="80">
        <f t="shared" si="34"/>
        <v>6380916</v>
      </c>
      <c r="J170" s="80">
        <f t="shared" si="34"/>
        <v>6380916</v>
      </c>
      <c r="K170" s="80">
        <f t="shared" si="34"/>
        <v>0</v>
      </c>
      <c r="L170" s="80">
        <f t="shared" si="34"/>
        <v>0</v>
      </c>
      <c r="M170" s="80">
        <f t="shared" si="34"/>
        <v>0</v>
      </c>
      <c r="N170" s="80">
        <f t="shared" si="34"/>
        <v>6380916</v>
      </c>
      <c r="O170" s="80">
        <f t="shared" si="34"/>
        <v>6380916</v>
      </c>
      <c r="P170" s="191"/>
    </row>
    <row r="171" spans="1:16" ht="33" customHeight="1" x14ac:dyDescent="0.25">
      <c r="A171" s="40" t="s">
        <v>274</v>
      </c>
      <c r="B171" s="40" t="s">
        <v>113</v>
      </c>
      <c r="C171" s="6" t="s">
        <v>566</v>
      </c>
      <c r="D171" s="49">
        <f>'дод 2'!E261+'дод 2'!E232</f>
        <v>0</v>
      </c>
      <c r="E171" s="49">
        <f>'дод 2'!F261+'дод 2'!F232</f>
        <v>0</v>
      </c>
      <c r="F171" s="49">
        <f>'дод 2'!G261+'дод 2'!G232</f>
        <v>0</v>
      </c>
      <c r="G171" s="49">
        <f>'дод 2'!H261+'дод 2'!H232</f>
        <v>0</v>
      </c>
      <c r="H171" s="49">
        <f>'дод 2'!I261+'дод 2'!I232</f>
        <v>0</v>
      </c>
      <c r="I171" s="49">
        <f>'дод 2'!J261+'дод 2'!J232</f>
        <v>20078713</v>
      </c>
      <c r="J171" s="49">
        <f>'дод 2'!K261+'дод 2'!K232</f>
        <v>20078713</v>
      </c>
      <c r="K171" s="49">
        <f>'дод 2'!L261+'дод 2'!L232</f>
        <v>0</v>
      </c>
      <c r="L171" s="49">
        <f>'дод 2'!M261+'дод 2'!M232</f>
        <v>0</v>
      </c>
      <c r="M171" s="49">
        <f>'дод 2'!N261+'дод 2'!N232</f>
        <v>0</v>
      </c>
      <c r="N171" s="49">
        <f>'дод 2'!O261+'дод 2'!O232</f>
        <v>20078713</v>
      </c>
      <c r="O171" s="49">
        <f>'дод 2'!P261+'дод 2'!P232</f>
        <v>20078713</v>
      </c>
      <c r="P171" s="191"/>
    </row>
    <row r="172" spans="1:16" s="54" customFormat="1" ht="21.75" customHeight="1" x14ac:dyDescent="0.25">
      <c r="A172" s="40" t="s">
        <v>279</v>
      </c>
      <c r="B172" s="40" t="s">
        <v>113</v>
      </c>
      <c r="C172" s="6" t="s">
        <v>562</v>
      </c>
      <c r="D172" s="49">
        <f>'дод 2'!E111+'дод 2'!E262</f>
        <v>0</v>
      </c>
      <c r="E172" s="49">
        <f>'дод 2'!F111+'дод 2'!F262</f>
        <v>0</v>
      </c>
      <c r="F172" s="49">
        <f>'дод 2'!G111+'дод 2'!G262</f>
        <v>0</v>
      </c>
      <c r="G172" s="49">
        <f>'дод 2'!H111+'дод 2'!H262</f>
        <v>0</v>
      </c>
      <c r="H172" s="49">
        <f>'дод 2'!I111+'дод 2'!I262</f>
        <v>0</v>
      </c>
      <c r="I172" s="49">
        <f>'дод 2'!J111+'дод 2'!J262</f>
        <v>24321326</v>
      </c>
      <c r="J172" s="49">
        <f>'дод 2'!K111+'дод 2'!K262</f>
        <v>24321326</v>
      </c>
      <c r="K172" s="49">
        <f>'дод 2'!L111+'дод 2'!L262</f>
        <v>0</v>
      </c>
      <c r="L172" s="49">
        <f>'дод 2'!M111+'дод 2'!M262</f>
        <v>0</v>
      </c>
      <c r="M172" s="49">
        <f>'дод 2'!N111+'дод 2'!N262</f>
        <v>0</v>
      </c>
      <c r="N172" s="49">
        <f>'дод 2'!O111+'дод 2'!O262</f>
        <v>24321326</v>
      </c>
      <c r="O172" s="49">
        <f>'дод 2'!P111+'дод 2'!P262</f>
        <v>24321326</v>
      </c>
      <c r="P172" s="191">
        <v>98</v>
      </c>
    </row>
    <row r="173" spans="1:16" s="54" customFormat="1" ht="24" customHeight="1" x14ac:dyDescent="0.25">
      <c r="A173" s="40" t="s">
        <v>281</v>
      </c>
      <c r="B173" s="40" t="s">
        <v>113</v>
      </c>
      <c r="C173" s="6" t="s">
        <v>563</v>
      </c>
      <c r="D173" s="49">
        <f>'дод 2'!E263+'дод 2'!E147</f>
        <v>0</v>
      </c>
      <c r="E173" s="49">
        <f>'дод 2'!F263+'дод 2'!F147</f>
        <v>0</v>
      </c>
      <c r="F173" s="49">
        <f>'дод 2'!G263+'дод 2'!G147</f>
        <v>0</v>
      </c>
      <c r="G173" s="49">
        <f>'дод 2'!H263+'дод 2'!H147</f>
        <v>0</v>
      </c>
      <c r="H173" s="49">
        <f>'дод 2'!I263+'дод 2'!I147</f>
        <v>0</v>
      </c>
      <c r="I173" s="49">
        <f>'дод 2'!J263+'дод 2'!J147</f>
        <v>37733372</v>
      </c>
      <c r="J173" s="49">
        <f>'дод 2'!K263+'дод 2'!K147</f>
        <v>37733372</v>
      </c>
      <c r="K173" s="49">
        <f>'дод 2'!L263+'дод 2'!L147</f>
        <v>0</v>
      </c>
      <c r="L173" s="49">
        <f>'дод 2'!M263+'дод 2'!M147</f>
        <v>0</v>
      </c>
      <c r="M173" s="49">
        <f>'дод 2'!N263+'дод 2'!N147</f>
        <v>0</v>
      </c>
      <c r="N173" s="49">
        <f>'дод 2'!O263+'дод 2'!O147</f>
        <v>37733372</v>
      </c>
      <c r="O173" s="49">
        <f>'дод 2'!P263+'дод 2'!P147</f>
        <v>37733372</v>
      </c>
      <c r="P173" s="191"/>
    </row>
    <row r="174" spans="1:16" s="54" customFormat="1" ht="22.5" customHeight="1" x14ac:dyDescent="0.25">
      <c r="A174" s="40">
        <v>7323</v>
      </c>
      <c r="B174" s="77" t="s">
        <v>113</v>
      </c>
      <c r="C174" s="146" t="s">
        <v>564</v>
      </c>
      <c r="D174" s="49">
        <f>'дод 2'!E194</f>
        <v>0</v>
      </c>
      <c r="E174" s="49">
        <f>'дод 2'!F194</f>
        <v>0</v>
      </c>
      <c r="F174" s="49">
        <f>'дод 2'!G194</f>
        <v>0</v>
      </c>
      <c r="G174" s="49">
        <f>'дод 2'!H194</f>
        <v>0</v>
      </c>
      <c r="H174" s="49">
        <f>'дод 2'!I194</f>
        <v>0</v>
      </c>
      <c r="I174" s="49">
        <f>'дод 2'!J194</f>
        <v>473213</v>
      </c>
      <c r="J174" s="49">
        <f>'дод 2'!K194</f>
        <v>473213</v>
      </c>
      <c r="K174" s="49">
        <f>'дод 2'!L194</f>
        <v>0</v>
      </c>
      <c r="L174" s="49">
        <f>'дод 2'!M194</f>
        <v>0</v>
      </c>
      <c r="M174" s="49">
        <f>'дод 2'!N194</f>
        <v>0</v>
      </c>
      <c r="N174" s="49">
        <f>'дод 2'!O194</f>
        <v>473213</v>
      </c>
      <c r="O174" s="49">
        <f>'дод 2'!P194</f>
        <v>473213</v>
      </c>
      <c r="P174" s="191"/>
    </row>
    <row r="175" spans="1:16" s="54" customFormat="1" ht="19.5" customHeight="1" x14ac:dyDescent="0.25">
      <c r="A175" s="40">
        <v>7324</v>
      </c>
      <c r="B175" s="77" t="s">
        <v>113</v>
      </c>
      <c r="C175" s="6" t="s">
        <v>565</v>
      </c>
      <c r="D175" s="49">
        <f>'дод 2'!E212+'дод 2'!E264</f>
        <v>0</v>
      </c>
      <c r="E175" s="49">
        <f>'дод 2'!F212+'дод 2'!F264</f>
        <v>0</v>
      </c>
      <c r="F175" s="49">
        <f>'дод 2'!G212+'дод 2'!G264</f>
        <v>0</v>
      </c>
      <c r="G175" s="49">
        <f>'дод 2'!H212+'дод 2'!H264</f>
        <v>0</v>
      </c>
      <c r="H175" s="49">
        <f>'дод 2'!I212+'дод 2'!I264</f>
        <v>0</v>
      </c>
      <c r="I175" s="49">
        <f>'дод 2'!J212+'дод 2'!J264</f>
        <v>970000</v>
      </c>
      <c r="J175" s="49">
        <f>'дод 2'!K212+'дод 2'!K264</f>
        <v>970000</v>
      </c>
      <c r="K175" s="49">
        <f>'дод 2'!L212+'дод 2'!L264</f>
        <v>0</v>
      </c>
      <c r="L175" s="49">
        <f>'дод 2'!M212+'дод 2'!M264</f>
        <v>0</v>
      </c>
      <c r="M175" s="49">
        <f>'дод 2'!N212+'дод 2'!N264</f>
        <v>0</v>
      </c>
      <c r="N175" s="49">
        <f>'дод 2'!O212+'дод 2'!O264</f>
        <v>970000</v>
      </c>
      <c r="O175" s="49">
        <f>'дод 2'!P212+'дод 2'!P264</f>
        <v>970000</v>
      </c>
      <c r="P175" s="191"/>
    </row>
    <row r="176" spans="1:16" s="54" customFormat="1" ht="34.5" x14ac:dyDescent="0.25">
      <c r="A176" s="40">
        <v>7325</v>
      </c>
      <c r="B176" s="77" t="s">
        <v>113</v>
      </c>
      <c r="C176" s="6" t="s">
        <v>560</v>
      </c>
      <c r="D176" s="49">
        <f>'дод 2'!E265+'дод 2'!E42</f>
        <v>0</v>
      </c>
      <c r="E176" s="49">
        <f>'дод 2'!F265+'дод 2'!F42</f>
        <v>0</v>
      </c>
      <c r="F176" s="49">
        <f>'дод 2'!G265+'дод 2'!G42</f>
        <v>0</v>
      </c>
      <c r="G176" s="49">
        <f>'дод 2'!H265+'дод 2'!H42</f>
        <v>0</v>
      </c>
      <c r="H176" s="49">
        <f>'дод 2'!I265+'дод 2'!I42</f>
        <v>0</v>
      </c>
      <c r="I176" s="49">
        <f>'дод 2'!J265+'дод 2'!J42</f>
        <v>11589440</v>
      </c>
      <c r="J176" s="49">
        <f>'дод 2'!K265+'дод 2'!K42</f>
        <v>11589440</v>
      </c>
      <c r="K176" s="49">
        <f>'дод 2'!L265+'дод 2'!L42</f>
        <v>0</v>
      </c>
      <c r="L176" s="49">
        <f>'дод 2'!M265+'дод 2'!M42</f>
        <v>0</v>
      </c>
      <c r="M176" s="49">
        <f>'дод 2'!N265+'дод 2'!N42</f>
        <v>0</v>
      </c>
      <c r="N176" s="49">
        <f>'дод 2'!O265+'дод 2'!O42</f>
        <v>11589440</v>
      </c>
      <c r="O176" s="49">
        <f>'дод 2'!P265+'дод 2'!P42</f>
        <v>11589440</v>
      </c>
      <c r="P176" s="191"/>
    </row>
    <row r="177" spans="1:16" ht="21.75" customHeight="1" x14ac:dyDescent="0.25">
      <c r="A177" s="40" t="s">
        <v>276</v>
      </c>
      <c r="B177" s="40" t="s">
        <v>113</v>
      </c>
      <c r="C177" s="6" t="s">
        <v>561</v>
      </c>
      <c r="D177" s="49">
        <f>'дод 2'!E266+'дод 2'!E233+'дод 2'!E43</f>
        <v>0</v>
      </c>
      <c r="E177" s="49">
        <f>'дод 2'!F266+'дод 2'!F233+'дод 2'!F43</f>
        <v>0</v>
      </c>
      <c r="F177" s="49">
        <f>'дод 2'!G266+'дод 2'!G233+'дод 2'!G43</f>
        <v>0</v>
      </c>
      <c r="G177" s="49">
        <f>'дод 2'!H266+'дод 2'!H233+'дод 2'!H43</f>
        <v>0</v>
      </c>
      <c r="H177" s="49">
        <f>'дод 2'!I266+'дод 2'!I233+'дод 2'!I43</f>
        <v>0</v>
      </c>
      <c r="I177" s="49">
        <f>'дод 2'!J266+'дод 2'!J233+'дод 2'!J43</f>
        <v>33812855.579999998</v>
      </c>
      <c r="J177" s="49">
        <f>'дод 2'!K266+'дод 2'!K233+'дод 2'!K43</f>
        <v>33812855.579999998</v>
      </c>
      <c r="K177" s="49">
        <f>'дод 2'!L266+'дод 2'!L233+'дод 2'!L43</f>
        <v>0</v>
      </c>
      <c r="L177" s="49">
        <f>'дод 2'!M266+'дод 2'!M233+'дод 2'!M43</f>
        <v>0</v>
      </c>
      <c r="M177" s="49">
        <f>'дод 2'!N266+'дод 2'!N233+'дод 2'!N43</f>
        <v>0</v>
      </c>
      <c r="N177" s="49">
        <f>'дод 2'!O266+'дод 2'!O233+'дод 2'!O43</f>
        <v>33812855.579999998</v>
      </c>
      <c r="O177" s="49">
        <f>'дод 2'!P266+'дод 2'!P233+'дод 2'!P43</f>
        <v>33812855.579999998</v>
      </c>
      <c r="P177" s="191"/>
    </row>
    <row r="178" spans="1:16" ht="31.5" customHeight="1" x14ac:dyDescent="0.25">
      <c r="A178" s="37" t="s">
        <v>140</v>
      </c>
      <c r="B178" s="37" t="s">
        <v>113</v>
      </c>
      <c r="C178" s="3" t="s">
        <v>1</v>
      </c>
      <c r="D178" s="49">
        <f>'дод 2'!E234+'дод 2'!E267</f>
        <v>0</v>
      </c>
      <c r="E178" s="49">
        <f>'дод 2'!F234+'дод 2'!F267</f>
        <v>0</v>
      </c>
      <c r="F178" s="49">
        <f>'дод 2'!G234+'дод 2'!G267</f>
        <v>0</v>
      </c>
      <c r="G178" s="49">
        <f>'дод 2'!H234+'дод 2'!H267</f>
        <v>0</v>
      </c>
      <c r="H178" s="49">
        <f>'дод 2'!I234+'дод 2'!I267</f>
        <v>0</v>
      </c>
      <c r="I178" s="49">
        <f>'дод 2'!J234+'дод 2'!J267</f>
        <v>4250000</v>
      </c>
      <c r="J178" s="49">
        <f>'дод 2'!K234+'дод 2'!K267</f>
        <v>4250000</v>
      </c>
      <c r="K178" s="49">
        <f>'дод 2'!L234+'дод 2'!L267</f>
        <v>0</v>
      </c>
      <c r="L178" s="49">
        <f>'дод 2'!M234+'дод 2'!M267</f>
        <v>0</v>
      </c>
      <c r="M178" s="49">
        <f>'дод 2'!N234+'дод 2'!N267</f>
        <v>0</v>
      </c>
      <c r="N178" s="49">
        <f>'дод 2'!O234+'дод 2'!O267</f>
        <v>4250000</v>
      </c>
      <c r="O178" s="49">
        <f>'дод 2'!P234+'дод 2'!P267</f>
        <v>4250000</v>
      </c>
      <c r="P178" s="191"/>
    </row>
    <row r="179" spans="1:16" ht="35.25" customHeight="1" x14ac:dyDescent="0.25">
      <c r="A179" s="59" t="s">
        <v>462</v>
      </c>
      <c r="B179" s="59" t="s">
        <v>113</v>
      </c>
      <c r="C179" s="3" t="s">
        <v>463</v>
      </c>
      <c r="D179" s="49">
        <f>'дод 2'!E279</f>
        <v>0</v>
      </c>
      <c r="E179" s="49">
        <f>'дод 2'!F279</f>
        <v>0</v>
      </c>
      <c r="F179" s="49">
        <f>'дод 2'!G279</f>
        <v>0</v>
      </c>
      <c r="G179" s="49">
        <f>'дод 2'!H279</f>
        <v>0</v>
      </c>
      <c r="H179" s="49">
        <f>'дод 2'!I279</f>
        <v>0</v>
      </c>
      <c r="I179" s="49">
        <f>'дод 2'!J279</f>
        <v>0</v>
      </c>
      <c r="J179" s="49">
        <f>'дод 2'!K279</f>
        <v>0</v>
      </c>
      <c r="K179" s="49">
        <f>'дод 2'!L279</f>
        <v>0</v>
      </c>
      <c r="L179" s="49">
        <f>'дод 2'!M279</f>
        <v>0</v>
      </c>
      <c r="M179" s="49">
        <f>'дод 2'!N279</f>
        <v>0</v>
      </c>
      <c r="N179" s="49">
        <f>'дод 2'!O279</f>
        <v>0</v>
      </c>
      <c r="O179" s="49">
        <f>'дод 2'!P279</f>
        <v>0</v>
      </c>
      <c r="P179" s="191"/>
    </row>
    <row r="180" spans="1:16" ht="51.75" customHeight="1" x14ac:dyDescent="0.25">
      <c r="A180" s="37">
        <v>7361</v>
      </c>
      <c r="B180" s="37" t="s">
        <v>84</v>
      </c>
      <c r="C180" s="3" t="s">
        <v>374</v>
      </c>
      <c r="D180" s="49">
        <f>'дод 2'!E235+'дод 2'!E268+'дод 2'!E148</f>
        <v>0</v>
      </c>
      <c r="E180" s="49">
        <f>'дод 2'!F235+'дод 2'!F268+'дод 2'!F148</f>
        <v>0</v>
      </c>
      <c r="F180" s="49">
        <f>'дод 2'!G235+'дод 2'!G268+'дод 2'!G148</f>
        <v>0</v>
      </c>
      <c r="G180" s="49">
        <f>'дод 2'!H235+'дод 2'!H268+'дод 2'!H148</f>
        <v>0</v>
      </c>
      <c r="H180" s="49">
        <f>'дод 2'!I235+'дод 2'!I268+'дод 2'!I148</f>
        <v>0</v>
      </c>
      <c r="I180" s="49">
        <f>'дод 2'!J235+'дод 2'!J268+'дод 2'!J148</f>
        <v>57461673</v>
      </c>
      <c r="J180" s="49">
        <f>'дод 2'!K235+'дод 2'!K268+'дод 2'!K148</f>
        <v>57461673</v>
      </c>
      <c r="K180" s="49">
        <f>'дод 2'!L235+'дод 2'!L268+'дод 2'!L148</f>
        <v>0</v>
      </c>
      <c r="L180" s="49">
        <f>'дод 2'!M235+'дод 2'!M268+'дод 2'!M148</f>
        <v>0</v>
      </c>
      <c r="M180" s="49">
        <f>'дод 2'!N235+'дод 2'!N268+'дод 2'!N148</f>
        <v>0</v>
      </c>
      <c r="N180" s="49">
        <f>'дод 2'!O235+'дод 2'!O268+'дод 2'!O148</f>
        <v>57461673</v>
      </c>
      <c r="O180" s="49">
        <f>'дод 2'!P235+'дод 2'!P268+'дод 2'!P148</f>
        <v>57461673</v>
      </c>
      <c r="P180" s="191"/>
    </row>
    <row r="181" spans="1:16" s="54" customFormat="1" ht="46.5" hidden="1" customHeight="1" x14ac:dyDescent="0.25">
      <c r="A181" s="37">
        <v>7362</v>
      </c>
      <c r="B181" s="37" t="s">
        <v>84</v>
      </c>
      <c r="C181" s="3" t="s">
        <v>366</v>
      </c>
      <c r="D181" s="49">
        <f>'дод 2'!E236</f>
        <v>0</v>
      </c>
      <c r="E181" s="49">
        <f>'дод 2'!F236</f>
        <v>0</v>
      </c>
      <c r="F181" s="49">
        <f>'дод 2'!G236</f>
        <v>0</v>
      </c>
      <c r="G181" s="49">
        <f>'дод 2'!H236</f>
        <v>0</v>
      </c>
      <c r="H181" s="49">
        <f>'дод 2'!I236</f>
        <v>0</v>
      </c>
      <c r="I181" s="49">
        <f>'дод 2'!J236</f>
        <v>0</v>
      </c>
      <c r="J181" s="49">
        <f>'дод 2'!K236</f>
        <v>0</v>
      </c>
      <c r="K181" s="49">
        <f>'дод 2'!L236</f>
        <v>0</v>
      </c>
      <c r="L181" s="49">
        <f>'дод 2'!M236</f>
        <v>0</v>
      </c>
      <c r="M181" s="49">
        <f>'дод 2'!N236</f>
        <v>0</v>
      </c>
      <c r="N181" s="49">
        <f>'дод 2'!O236</f>
        <v>0</v>
      </c>
      <c r="O181" s="49">
        <f>'дод 2'!P236</f>
        <v>0</v>
      </c>
      <c r="P181" s="191"/>
    </row>
    <row r="182" spans="1:16" s="54" customFormat="1" ht="54.75" customHeight="1" x14ac:dyDescent="0.25">
      <c r="A182" s="37">
        <v>7363</v>
      </c>
      <c r="B182" s="60" t="s">
        <v>84</v>
      </c>
      <c r="C182" s="61" t="s">
        <v>400</v>
      </c>
      <c r="D182" s="49">
        <f>'дод 2'!E237+'дод 2'!E112+'дод 2'!E149</f>
        <v>0</v>
      </c>
      <c r="E182" s="49">
        <f>'дод 2'!F237+'дод 2'!F112+'дод 2'!F149</f>
        <v>0</v>
      </c>
      <c r="F182" s="49">
        <f>'дод 2'!G237+'дод 2'!G112+'дод 2'!G149</f>
        <v>0</v>
      </c>
      <c r="G182" s="49">
        <f>'дод 2'!H237+'дод 2'!H112+'дод 2'!H149</f>
        <v>0</v>
      </c>
      <c r="H182" s="49">
        <f>'дод 2'!I237+'дод 2'!I112+'дод 2'!I149</f>
        <v>0</v>
      </c>
      <c r="I182" s="49">
        <f>'дод 2'!J237+'дод 2'!J112+'дод 2'!J149</f>
        <v>14966680</v>
      </c>
      <c r="J182" s="49">
        <f>'дод 2'!K237+'дод 2'!K112+'дод 2'!K149</f>
        <v>14966680</v>
      </c>
      <c r="K182" s="49">
        <f>'дод 2'!L237+'дод 2'!L112+'дод 2'!L149</f>
        <v>0</v>
      </c>
      <c r="L182" s="49">
        <f>'дод 2'!M237+'дод 2'!M112+'дод 2'!M149</f>
        <v>0</v>
      </c>
      <c r="M182" s="49">
        <f>'дод 2'!N237+'дод 2'!N112+'дод 2'!N149</f>
        <v>0</v>
      </c>
      <c r="N182" s="49">
        <f>'дод 2'!O237+'дод 2'!O112+'дод 2'!O149</f>
        <v>14966680</v>
      </c>
      <c r="O182" s="49">
        <f>'дод 2'!P237+'дод 2'!P112+'дод 2'!P149</f>
        <v>14966680</v>
      </c>
      <c r="P182" s="191"/>
    </row>
    <row r="183" spans="1:16" s="54" customFormat="1" ht="52.5" customHeight="1" x14ac:dyDescent="0.25">
      <c r="A183" s="82"/>
      <c r="B183" s="88"/>
      <c r="C183" s="83" t="s">
        <v>569</v>
      </c>
      <c r="D183" s="84">
        <f>'дод 2'!E113+'дод 2'!E150+'дод 2'!E238</f>
        <v>0</v>
      </c>
      <c r="E183" s="84">
        <f>'дод 2'!F113+'дод 2'!F150+'дод 2'!F238</f>
        <v>0</v>
      </c>
      <c r="F183" s="84">
        <f>'дод 2'!G113+'дод 2'!G150+'дод 2'!G238</f>
        <v>0</v>
      </c>
      <c r="G183" s="84">
        <f>'дод 2'!H113+'дод 2'!H150+'дод 2'!H238</f>
        <v>0</v>
      </c>
      <c r="H183" s="84">
        <f>'дод 2'!I113+'дод 2'!I150+'дод 2'!I238</f>
        <v>0</v>
      </c>
      <c r="I183" s="84">
        <f>'дод 2'!J113+'дод 2'!J150+'дод 2'!J238</f>
        <v>6380916</v>
      </c>
      <c r="J183" s="84">
        <f>'дод 2'!K113+'дод 2'!K150+'дод 2'!K238</f>
        <v>6380916</v>
      </c>
      <c r="K183" s="84">
        <f>'дод 2'!L113+'дод 2'!L150+'дод 2'!L238</f>
        <v>0</v>
      </c>
      <c r="L183" s="84">
        <f>'дод 2'!M113+'дод 2'!M150+'дод 2'!M238</f>
        <v>0</v>
      </c>
      <c r="M183" s="84">
        <f>'дод 2'!N113+'дод 2'!N150+'дод 2'!N238</f>
        <v>0</v>
      </c>
      <c r="N183" s="84">
        <f>'дод 2'!O113+'дод 2'!O150+'дод 2'!O238</f>
        <v>6380916</v>
      </c>
      <c r="O183" s="84">
        <f>'дод 2'!P113+'дод 2'!P150+'дод 2'!P238</f>
        <v>6380916</v>
      </c>
      <c r="P183" s="191"/>
    </row>
    <row r="184" spans="1:16" s="54" customFormat="1" ht="31.5" x14ac:dyDescent="0.25">
      <c r="A184" s="37">
        <v>7370</v>
      </c>
      <c r="B184" s="60" t="s">
        <v>84</v>
      </c>
      <c r="C184" s="61" t="s">
        <v>434</v>
      </c>
      <c r="D184" s="49">
        <f>'дод 2'!E270+'дод 2'!E280</f>
        <v>2364686</v>
      </c>
      <c r="E184" s="49">
        <f>'дод 2'!F270+'дод 2'!F280</f>
        <v>2364686</v>
      </c>
      <c r="F184" s="49">
        <f>'дод 2'!G270+'дод 2'!G280</f>
        <v>0</v>
      </c>
      <c r="G184" s="49">
        <f>'дод 2'!H270+'дод 2'!H280</f>
        <v>0</v>
      </c>
      <c r="H184" s="49">
        <f>'дод 2'!I270+'дод 2'!I280</f>
        <v>0</v>
      </c>
      <c r="I184" s="49">
        <f>'дод 2'!J270+'дод 2'!J280</f>
        <v>0</v>
      </c>
      <c r="J184" s="49">
        <f>'дод 2'!K270+'дод 2'!K280</f>
        <v>0</v>
      </c>
      <c r="K184" s="49">
        <f>'дод 2'!L270+'дод 2'!L280</f>
        <v>0</v>
      </c>
      <c r="L184" s="49">
        <f>'дод 2'!M270+'дод 2'!M280</f>
        <v>0</v>
      </c>
      <c r="M184" s="49">
        <f>'дод 2'!N270+'дод 2'!N280</f>
        <v>0</v>
      </c>
      <c r="N184" s="49">
        <f>'дод 2'!O270+'дод 2'!O280</f>
        <v>0</v>
      </c>
      <c r="O184" s="49">
        <f>'дод 2'!P270+'дод 2'!P280</f>
        <v>2364686</v>
      </c>
      <c r="P184" s="191"/>
    </row>
    <row r="185" spans="1:16" s="52" customFormat="1" ht="34.5" customHeight="1" x14ac:dyDescent="0.25">
      <c r="A185" s="38" t="s">
        <v>87</v>
      </c>
      <c r="B185" s="41"/>
      <c r="C185" s="2" t="s">
        <v>472</v>
      </c>
      <c r="D185" s="48">
        <f>D188+D189+D190+D191+D195+D196</f>
        <v>56852022</v>
      </c>
      <c r="E185" s="48">
        <f t="shared" ref="E185:O185" si="35">E188+E189+E190+E191+E195+E196</f>
        <v>4252826</v>
      </c>
      <c r="F185" s="48">
        <f t="shared" si="35"/>
        <v>0</v>
      </c>
      <c r="G185" s="48">
        <f t="shared" si="35"/>
        <v>0</v>
      </c>
      <c r="H185" s="48">
        <f t="shared" si="35"/>
        <v>52599196</v>
      </c>
      <c r="I185" s="48">
        <f t="shared" si="35"/>
        <v>0</v>
      </c>
      <c r="J185" s="48">
        <f t="shared" si="35"/>
        <v>0</v>
      </c>
      <c r="K185" s="48">
        <f t="shared" si="35"/>
        <v>0</v>
      </c>
      <c r="L185" s="48">
        <f t="shared" si="35"/>
        <v>0</v>
      </c>
      <c r="M185" s="48">
        <f t="shared" si="35"/>
        <v>0</v>
      </c>
      <c r="N185" s="48">
        <f t="shared" si="35"/>
        <v>0</v>
      </c>
      <c r="O185" s="48">
        <f t="shared" si="35"/>
        <v>56852022</v>
      </c>
      <c r="P185" s="191"/>
    </row>
    <row r="186" spans="1:16" s="53" customFormat="1" ht="94.5" hidden="1" customHeight="1" x14ac:dyDescent="0.25">
      <c r="A186" s="75"/>
      <c r="B186" s="76"/>
      <c r="C186" s="79" t="s">
        <v>399</v>
      </c>
      <c r="D186" s="80">
        <f>D193</f>
        <v>0</v>
      </c>
      <c r="E186" s="80">
        <f t="shared" ref="E186:O186" si="36">E193</f>
        <v>0</v>
      </c>
      <c r="F186" s="80">
        <f t="shared" si="36"/>
        <v>0</v>
      </c>
      <c r="G186" s="80">
        <f t="shared" si="36"/>
        <v>0</v>
      </c>
      <c r="H186" s="80">
        <f t="shared" si="36"/>
        <v>0</v>
      </c>
      <c r="I186" s="80">
        <f t="shared" si="36"/>
        <v>0</v>
      </c>
      <c r="J186" s="80">
        <f t="shared" si="36"/>
        <v>0</v>
      </c>
      <c r="K186" s="80">
        <f t="shared" si="36"/>
        <v>0</v>
      </c>
      <c r="L186" s="80">
        <f t="shared" si="36"/>
        <v>0</v>
      </c>
      <c r="M186" s="80">
        <f t="shared" si="36"/>
        <v>0</v>
      </c>
      <c r="N186" s="80">
        <f t="shared" si="36"/>
        <v>0</v>
      </c>
      <c r="O186" s="80">
        <f t="shared" si="36"/>
        <v>0</v>
      </c>
      <c r="P186" s="191"/>
    </row>
    <row r="187" spans="1:16" s="53" customFormat="1" ht="63" x14ac:dyDescent="0.25">
      <c r="A187" s="75"/>
      <c r="B187" s="76"/>
      <c r="C187" s="79" t="s">
        <v>449</v>
      </c>
      <c r="D187" s="80">
        <f>D197</f>
        <v>1527346</v>
      </c>
      <c r="E187" s="80">
        <f t="shared" ref="E187:O187" si="37">E197</f>
        <v>1527346</v>
      </c>
      <c r="F187" s="80">
        <f t="shared" si="37"/>
        <v>0</v>
      </c>
      <c r="G187" s="80">
        <f t="shared" si="37"/>
        <v>0</v>
      </c>
      <c r="H187" s="80">
        <f t="shared" si="37"/>
        <v>0</v>
      </c>
      <c r="I187" s="80">
        <f t="shared" si="37"/>
        <v>0</v>
      </c>
      <c r="J187" s="80">
        <f t="shared" si="37"/>
        <v>0</v>
      </c>
      <c r="K187" s="80">
        <f t="shared" si="37"/>
        <v>0</v>
      </c>
      <c r="L187" s="80">
        <f t="shared" si="37"/>
        <v>0</v>
      </c>
      <c r="M187" s="80">
        <f t="shared" si="37"/>
        <v>0</v>
      </c>
      <c r="N187" s="80">
        <f t="shared" si="37"/>
        <v>0</v>
      </c>
      <c r="O187" s="80">
        <f t="shared" si="37"/>
        <v>1527346</v>
      </c>
      <c r="P187" s="191"/>
    </row>
    <row r="188" spans="1:16" s="54" customFormat="1" ht="18.75" customHeight="1" x14ac:dyDescent="0.25">
      <c r="A188" s="37" t="s">
        <v>3</v>
      </c>
      <c r="B188" s="37" t="s">
        <v>86</v>
      </c>
      <c r="C188" s="3" t="s">
        <v>37</v>
      </c>
      <c r="D188" s="49">
        <f>'дод 2'!E44</f>
        <v>6542500</v>
      </c>
      <c r="E188" s="49">
        <f>'дод 2'!F44</f>
        <v>0</v>
      </c>
      <c r="F188" s="49">
        <f>'дод 2'!G44</f>
        <v>0</v>
      </c>
      <c r="G188" s="49">
        <f>'дод 2'!H44</f>
        <v>0</v>
      </c>
      <c r="H188" s="49">
        <f>'дод 2'!I44</f>
        <v>6542500</v>
      </c>
      <c r="I188" s="49">
        <f>'дод 2'!J44</f>
        <v>0</v>
      </c>
      <c r="J188" s="49">
        <f>'дод 2'!K44</f>
        <v>0</v>
      </c>
      <c r="K188" s="49">
        <f>'дод 2'!L44</f>
        <v>0</v>
      </c>
      <c r="L188" s="49">
        <f>'дод 2'!M44</f>
        <v>0</v>
      </c>
      <c r="M188" s="49">
        <f>'дод 2'!N44</f>
        <v>0</v>
      </c>
      <c r="N188" s="49">
        <f>'дод 2'!O44</f>
        <v>0</v>
      </c>
      <c r="O188" s="49">
        <f>'дод 2'!P44</f>
        <v>6542500</v>
      </c>
      <c r="P188" s="191"/>
    </row>
    <row r="189" spans="1:16" s="54" customFormat="1" ht="20.25" customHeight="1" x14ac:dyDescent="0.25">
      <c r="A189" s="37">
        <v>7413</v>
      </c>
      <c r="B189" s="37" t="s">
        <v>86</v>
      </c>
      <c r="C189" s="3" t="s">
        <v>377</v>
      </c>
      <c r="D189" s="49">
        <f>'дод 2'!E45</f>
        <v>11000000</v>
      </c>
      <c r="E189" s="49">
        <f>'дод 2'!F45</f>
        <v>0</v>
      </c>
      <c r="F189" s="49">
        <f>'дод 2'!G45</f>
        <v>0</v>
      </c>
      <c r="G189" s="49">
        <f>'дод 2'!H45</f>
        <v>0</v>
      </c>
      <c r="H189" s="49">
        <f>'дод 2'!I45</f>
        <v>11000000</v>
      </c>
      <c r="I189" s="49">
        <f>'дод 2'!J45</f>
        <v>0</v>
      </c>
      <c r="J189" s="49">
        <f>'дод 2'!K45</f>
        <v>0</v>
      </c>
      <c r="K189" s="49">
        <f>'дод 2'!L45</f>
        <v>0</v>
      </c>
      <c r="L189" s="49">
        <f>'дод 2'!M45</f>
        <v>0</v>
      </c>
      <c r="M189" s="49">
        <f>'дод 2'!N45</f>
        <v>0</v>
      </c>
      <c r="N189" s="49">
        <f>'дод 2'!O45</f>
        <v>0</v>
      </c>
      <c r="O189" s="49">
        <f>'дод 2'!P45</f>
        <v>11000000</v>
      </c>
      <c r="P189" s="191"/>
    </row>
    <row r="190" spans="1:16" s="54" customFormat="1" ht="31.5" x14ac:dyDescent="0.25">
      <c r="A190" s="42">
        <v>7422</v>
      </c>
      <c r="B190" s="107" t="s">
        <v>415</v>
      </c>
      <c r="C190" s="108" t="s">
        <v>584</v>
      </c>
      <c r="D190" s="49">
        <f>'дод 2'!E46</f>
        <v>4314400</v>
      </c>
      <c r="E190" s="49">
        <f>'дод 2'!F46</f>
        <v>0</v>
      </c>
      <c r="F190" s="49">
        <f>'дод 2'!G46</f>
        <v>0</v>
      </c>
      <c r="G190" s="49">
        <f>'дод 2'!H46</f>
        <v>0</v>
      </c>
      <c r="H190" s="49">
        <f>'дод 2'!I46</f>
        <v>4314400</v>
      </c>
      <c r="I190" s="49">
        <f>'дод 2'!J46</f>
        <v>0</v>
      </c>
      <c r="J190" s="49">
        <f>'дод 2'!K46</f>
        <v>0</v>
      </c>
      <c r="K190" s="49">
        <f>'дод 2'!L46</f>
        <v>0</v>
      </c>
      <c r="L190" s="49">
        <f>'дод 2'!M46</f>
        <v>0</v>
      </c>
      <c r="M190" s="49">
        <f>'дод 2'!N46</f>
        <v>0</v>
      </c>
      <c r="N190" s="49">
        <f>'дод 2'!O46</f>
        <v>0</v>
      </c>
      <c r="O190" s="49">
        <f>'дод 2'!P46</f>
        <v>4314400</v>
      </c>
      <c r="P190" s="191"/>
    </row>
    <row r="191" spans="1:16" s="54" customFormat="1" ht="24" customHeight="1" x14ac:dyDescent="0.25">
      <c r="A191" s="37">
        <v>7426</v>
      </c>
      <c r="B191" s="59" t="s">
        <v>415</v>
      </c>
      <c r="C191" s="3" t="s">
        <v>378</v>
      </c>
      <c r="D191" s="49">
        <f>'дод 2'!E47</f>
        <v>30742296</v>
      </c>
      <c r="E191" s="49">
        <f>'дод 2'!F47</f>
        <v>0</v>
      </c>
      <c r="F191" s="49">
        <f>'дод 2'!G47</f>
        <v>0</v>
      </c>
      <c r="G191" s="49">
        <f>'дод 2'!H47</f>
        <v>0</v>
      </c>
      <c r="H191" s="49">
        <f>'дод 2'!I47</f>
        <v>30742296</v>
      </c>
      <c r="I191" s="49">
        <f>'дод 2'!J47</f>
        <v>0</v>
      </c>
      <c r="J191" s="49">
        <f>'дод 2'!K47</f>
        <v>0</v>
      </c>
      <c r="K191" s="49">
        <f>'дод 2'!L47</f>
        <v>0</v>
      </c>
      <c r="L191" s="49">
        <f>'дод 2'!M47</f>
        <v>0</v>
      </c>
      <c r="M191" s="49">
        <f>'дод 2'!N47</f>
        <v>0</v>
      </c>
      <c r="N191" s="49">
        <f>'дод 2'!O47</f>
        <v>0</v>
      </c>
      <c r="O191" s="49">
        <f>'дод 2'!P47</f>
        <v>30742296</v>
      </c>
      <c r="P191" s="191"/>
    </row>
    <row r="192" spans="1:16" s="54" customFormat="1" ht="53.25" hidden="1" customHeight="1" x14ac:dyDescent="0.25">
      <c r="A192" s="37">
        <v>7462</v>
      </c>
      <c r="B192" s="59" t="s">
        <v>402</v>
      </c>
      <c r="C192" s="3" t="s">
        <v>401</v>
      </c>
      <c r="D192" s="49">
        <f>'дод 2'!E239</f>
        <v>1527346</v>
      </c>
      <c r="E192" s="49">
        <f>'дод 2'!F239</f>
        <v>1527346</v>
      </c>
      <c r="F192" s="49">
        <f>'дод 2'!G239</f>
        <v>0</v>
      </c>
      <c r="G192" s="49">
        <f>'дод 2'!H239</f>
        <v>0</v>
      </c>
      <c r="H192" s="49">
        <f>'дод 2'!I239</f>
        <v>0</v>
      </c>
      <c r="I192" s="49">
        <f>'дод 2'!J239</f>
        <v>0</v>
      </c>
      <c r="J192" s="49">
        <f>'дод 2'!K239</f>
        <v>0</v>
      </c>
      <c r="K192" s="49">
        <f>'дод 2'!L239</f>
        <v>0</v>
      </c>
      <c r="L192" s="49">
        <f>'дод 2'!M239</f>
        <v>0</v>
      </c>
      <c r="M192" s="49">
        <f>'дод 2'!N239</f>
        <v>0</v>
      </c>
      <c r="N192" s="49">
        <f>'дод 2'!O239</f>
        <v>0</v>
      </c>
      <c r="O192" s="49">
        <f>'дод 2'!P239</f>
        <v>1527346</v>
      </c>
      <c r="P192" s="191"/>
    </row>
    <row r="193" spans="1:16" s="54" customFormat="1" ht="94.5" hidden="1" customHeight="1" x14ac:dyDescent="0.25">
      <c r="A193" s="82"/>
      <c r="B193" s="82"/>
      <c r="C193" s="83" t="s">
        <v>399</v>
      </c>
      <c r="D193" s="84">
        <f>'дод 2'!E240</f>
        <v>0</v>
      </c>
      <c r="E193" s="84">
        <f>'дод 2'!F240</f>
        <v>0</v>
      </c>
      <c r="F193" s="84">
        <f>'дод 2'!G240</f>
        <v>0</v>
      </c>
      <c r="G193" s="84">
        <f>'дод 2'!H240</f>
        <v>0</v>
      </c>
      <c r="H193" s="84">
        <f>'дод 2'!I240</f>
        <v>0</v>
      </c>
      <c r="I193" s="84">
        <f>'дод 2'!J240</f>
        <v>0</v>
      </c>
      <c r="J193" s="84">
        <f>'дод 2'!K240</f>
        <v>0</v>
      </c>
      <c r="K193" s="84">
        <f>'дод 2'!L240</f>
        <v>0</v>
      </c>
      <c r="L193" s="84">
        <f>'дод 2'!M240</f>
        <v>0</v>
      </c>
      <c r="M193" s="84">
        <f>'дод 2'!N240</f>
        <v>0</v>
      </c>
      <c r="N193" s="84">
        <f>'дод 2'!O240</f>
        <v>0</v>
      </c>
      <c r="O193" s="84">
        <f>'дод 2'!P240</f>
        <v>0</v>
      </c>
      <c r="P193" s="191"/>
    </row>
    <row r="194" spans="1:16" s="54" customFormat="1" ht="63" hidden="1" customHeight="1" x14ac:dyDescent="0.25">
      <c r="A194" s="82"/>
      <c r="B194" s="82"/>
      <c r="C194" s="83" t="s">
        <v>449</v>
      </c>
      <c r="D194" s="84">
        <f>'дод 2'!E241</f>
        <v>1527346</v>
      </c>
      <c r="E194" s="84">
        <f>'дод 2'!F241</f>
        <v>1527346</v>
      </c>
      <c r="F194" s="84">
        <f>'дод 2'!G241</f>
        <v>0</v>
      </c>
      <c r="G194" s="84">
        <f>'дод 2'!H241</f>
        <v>0</v>
      </c>
      <c r="H194" s="84">
        <f>'дод 2'!I241</f>
        <v>0</v>
      </c>
      <c r="I194" s="84">
        <f>'дод 2'!J241</f>
        <v>0</v>
      </c>
      <c r="J194" s="84">
        <f>'дод 2'!K241</f>
        <v>0</v>
      </c>
      <c r="K194" s="84">
        <f>'дод 2'!L241</f>
        <v>0</v>
      </c>
      <c r="L194" s="84">
        <f>'дод 2'!M241</f>
        <v>0</v>
      </c>
      <c r="M194" s="84">
        <f>'дод 2'!N241</f>
        <v>0</v>
      </c>
      <c r="N194" s="84">
        <f>'дод 2'!O241</f>
        <v>0</v>
      </c>
      <c r="O194" s="84">
        <f>'дод 2'!P241</f>
        <v>1527346</v>
      </c>
      <c r="P194" s="191"/>
    </row>
    <row r="195" spans="1:16" s="54" customFormat="1" ht="18" customHeight="1" x14ac:dyDescent="0.25">
      <c r="A195" s="59" t="s">
        <v>458</v>
      </c>
      <c r="B195" s="59" t="s">
        <v>402</v>
      </c>
      <c r="C195" s="3" t="s">
        <v>464</v>
      </c>
      <c r="D195" s="49">
        <f>'дод 2'!E48</f>
        <v>2725480</v>
      </c>
      <c r="E195" s="49">
        <f>'дод 2'!F48</f>
        <v>2725480</v>
      </c>
      <c r="F195" s="49">
        <f>'дод 2'!G48</f>
        <v>0</v>
      </c>
      <c r="G195" s="49">
        <f>'дод 2'!H48</f>
        <v>0</v>
      </c>
      <c r="H195" s="49">
        <f>'дод 2'!I48</f>
        <v>0</v>
      </c>
      <c r="I195" s="49">
        <f>'дод 2'!J48</f>
        <v>0</v>
      </c>
      <c r="J195" s="49">
        <f>'дод 2'!K48</f>
        <v>0</v>
      </c>
      <c r="K195" s="49">
        <f>'дод 2'!L48</f>
        <v>0</v>
      </c>
      <c r="L195" s="49">
        <f>'дод 2'!M48</f>
        <v>0</v>
      </c>
      <c r="M195" s="49">
        <f>'дод 2'!N48</f>
        <v>0</v>
      </c>
      <c r="N195" s="49">
        <f>'дод 2'!O48</f>
        <v>0</v>
      </c>
      <c r="O195" s="49">
        <f>'дод 2'!P48</f>
        <v>2725480</v>
      </c>
      <c r="P195" s="191"/>
    </row>
    <row r="196" spans="1:16" s="54" customFormat="1" ht="54.75" customHeight="1" x14ac:dyDescent="0.25">
      <c r="A196" s="59" t="s">
        <v>556</v>
      </c>
      <c r="B196" s="59" t="s">
        <v>402</v>
      </c>
      <c r="C196" s="121" t="s">
        <v>401</v>
      </c>
      <c r="D196" s="49">
        <f>'дод 2'!E239</f>
        <v>1527346</v>
      </c>
      <c r="E196" s="49">
        <f>'дод 2'!F239</f>
        <v>1527346</v>
      </c>
      <c r="F196" s="49">
        <f>'дод 2'!G239</f>
        <v>0</v>
      </c>
      <c r="G196" s="49">
        <f>'дод 2'!H239</f>
        <v>0</v>
      </c>
      <c r="H196" s="49">
        <f>'дод 2'!I239</f>
        <v>0</v>
      </c>
      <c r="I196" s="49">
        <f>'дод 2'!J239</f>
        <v>0</v>
      </c>
      <c r="J196" s="49">
        <f>'дод 2'!K239</f>
        <v>0</v>
      </c>
      <c r="K196" s="49">
        <f>'дод 2'!L239</f>
        <v>0</v>
      </c>
      <c r="L196" s="49">
        <f>'дод 2'!M239</f>
        <v>0</v>
      </c>
      <c r="M196" s="49">
        <f>'дод 2'!N239</f>
        <v>0</v>
      </c>
      <c r="N196" s="49">
        <f>'дод 2'!O239</f>
        <v>0</v>
      </c>
      <c r="O196" s="49">
        <f>'дод 2'!P239</f>
        <v>1527346</v>
      </c>
      <c r="P196" s="191"/>
    </row>
    <row r="197" spans="1:16" s="54" customFormat="1" ht="67.5" customHeight="1" x14ac:dyDescent="0.25">
      <c r="A197" s="93"/>
      <c r="B197" s="93"/>
      <c r="C197" s="91" t="s">
        <v>554</v>
      </c>
      <c r="D197" s="84">
        <f>'дод 2'!E241</f>
        <v>1527346</v>
      </c>
      <c r="E197" s="84">
        <f>'дод 2'!F241</f>
        <v>1527346</v>
      </c>
      <c r="F197" s="84">
        <f>'дод 2'!G241</f>
        <v>0</v>
      </c>
      <c r="G197" s="84">
        <f>'дод 2'!H241</f>
        <v>0</v>
      </c>
      <c r="H197" s="84">
        <f>'дод 2'!I241</f>
        <v>0</v>
      </c>
      <c r="I197" s="84">
        <f>'дод 2'!J241</f>
        <v>0</v>
      </c>
      <c r="J197" s="84">
        <f>'дод 2'!K241</f>
        <v>0</v>
      </c>
      <c r="K197" s="84">
        <f>'дод 2'!L241</f>
        <v>0</v>
      </c>
      <c r="L197" s="84">
        <f>'дод 2'!M241</f>
        <v>0</v>
      </c>
      <c r="M197" s="84">
        <f>'дод 2'!N241</f>
        <v>0</v>
      </c>
      <c r="N197" s="84">
        <f>'дод 2'!O241</f>
        <v>0</v>
      </c>
      <c r="O197" s="84">
        <f>'дод 2'!P241</f>
        <v>1527346</v>
      </c>
      <c r="P197" s="191"/>
    </row>
    <row r="198" spans="1:16" s="52" customFormat="1" ht="18.75" customHeight="1" x14ac:dyDescent="0.25">
      <c r="A198" s="39" t="s">
        <v>239</v>
      </c>
      <c r="B198" s="41"/>
      <c r="C198" s="2" t="s">
        <v>240</v>
      </c>
      <c r="D198" s="48">
        <f>D199</f>
        <v>7250000</v>
      </c>
      <c r="E198" s="48">
        <f t="shared" ref="E198:O198" si="38">E199</f>
        <v>7250000</v>
      </c>
      <c r="F198" s="48">
        <f t="shared" si="38"/>
        <v>0</v>
      </c>
      <c r="G198" s="48">
        <f t="shared" si="38"/>
        <v>0</v>
      </c>
      <c r="H198" s="48">
        <f t="shared" si="38"/>
        <v>0</v>
      </c>
      <c r="I198" s="48">
        <f t="shared" si="38"/>
        <v>3150000</v>
      </c>
      <c r="J198" s="48">
        <f t="shared" si="38"/>
        <v>3150000</v>
      </c>
      <c r="K198" s="48">
        <f t="shared" si="38"/>
        <v>0</v>
      </c>
      <c r="L198" s="48">
        <f t="shared" si="38"/>
        <v>0</v>
      </c>
      <c r="M198" s="48">
        <f t="shared" si="38"/>
        <v>0</v>
      </c>
      <c r="N198" s="48">
        <f t="shared" si="38"/>
        <v>3150000</v>
      </c>
      <c r="O198" s="48">
        <f t="shared" si="38"/>
        <v>10400000</v>
      </c>
      <c r="P198" s="191"/>
    </row>
    <row r="199" spans="1:16" ht="37.5" customHeight="1" x14ac:dyDescent="0.25">
      <c r="A199" s="40" t="s">
        <v>237</v>
      </c>
      <c r="B199" s="40" t="s">
        <v>238</v>
      </c>
      <c r="C199" s="11" t="s">
        <v>236</v>
      </c>
      <c r="D199" s="49">
        <f>'дод 2'!E49+'дод 2'!E242</f>
        <v>7250000</v>
      </c>
      <c r="E199" s="49">
        <f>'дод 2'!F49+'дод 2'!F242</f>
        <v>7250000</v>
      </c>
      <c r="F199" s="49">
        <f>'дод 2'!G49+'дод 2'!G242</f>
        <v>0</v>
      </c>
      <c r="G199" s="49">
        <f>'дод 2'!H49+'дод 2'!H242</f>
        <v>0</v>
      </c>
      <c r="H199" s="49">
        <f>'дод 2'!I49+'дод 2'!I242</f>
        <v>0</v>
      </c>
      <c r="I199" s="49">
        <f>'дод 2'!J49+'дод 2'!J242</f>
        <v>3150000</v>
      </c>
      <c r="J199" s="49">
        <f>'дод 2'!K49+'дод 2'!K242</f>
        <v>3150000</v>
      </c>
      <c r="K199" s="49">
        <f>'дод 2'!L49+'дод 2'!L242</f>
        <v>0</v>
      </c>
      <c r="L199" s="49">
        <f>'дод 2'!M49+'дод 2'!M242</f>
        <v>0</v>
      </c>
      <c r="M199" s="49">
        <f>'дод 2'!N49+'дод 2'!N242</f>
        <v>0</v>
      </c>
      <c r="N199" s="49">
        <f>'дод 2'!O49+'дод 2'!O242</f>
        <v>3150000</v>
      </c>
      <c r="O199" s="49">
        <f>'дод 2'!P49+'дод 2'!P242</f>
        <v>10400000</v>
      </c>
      <c r="P199" s="191"/>
    </row>
    <row r="200" spans="1:16" s="52" customFormat="1" ht="31.5" customHeight="1" x14ac:dyDescent="0.25">
      <c r="A200" s="38" t="s">
        <v>90</v>
      </c>
      <c r="B200" s="41"/>
      <c r="C200" s="2" t="s">
        <v>423</v>
      </c>
      <c r="D200" s="48">
        <f>D202+D203+D205+D206+D207+D209+D210+D211</f>
        <v>8025347.5499999998</v>
      </c>
      <c r="E200" s="48">
        <f t="shared" ref="E200:O200" si="39">E202+E203+E205+E206+E207+E209+E210+E211</f>
        <v>5525347.5499999998</v>
      </c>
      <c r="F200" s="48">
        <f t="shared" si="39"/>
        <v>0</v>
      </c>
      <c r="G200" s="48">
        <f t="shared" si="39"/>
        <v>0</v>
      </c>
      <c r="H200" s="48">
        <f t="shared" si="39"/>
        <v>2500000</v>
      </c>
      <c r="I200" s="48">
        <f t="shared" si="39"/>
        <v>213857142.44</v>
      </c>
      <c r="J200" s="48">
        <f t="shared" si="39"/>
        <v>197527170.56999999</v>
      </c>
      <c r="K200" s="48">
        <f t="shared" si="39"/>
        <v>2948437.8699999996</v>
      </c>
      <c r="L200" s="48">
        <f t="shared" si="39"/>
        <v>0</v>
      </c>
      <c r="M200" s="48">
        <f t="shared" si="39"/>
        <v>0</v>
      </c>
      <c r="N200" s="48">
        <f t="shared" si="39"/>
        <v>210908704.56999999</v>
      </c>
      <c r="O200" s="48">
        <f t="shared" si="39"/>
        <v>221882489.99000001</v>
      </c>
      <c r="P200" s="191"/>
    </row>
    <row r="201" spans="1:16" s="53" customFormat="1" ht="16.5" customHeight="1" x14ac:dyDescent="0.25">
      <c r="A201" s="75"/>
      <c r="B201" s="75"/>
      <c r="C201" s="87" t="s">
        <v>421</v>
      </c>
      <c r="D201" s="80">
        <f>D204+D208</f>
        <v>0</v>
      </c>
      <c r="E201" s="80">
        <f t="shared" ref="E201:O201" si="40">E204+E208</f>
        <v>0</v>
      </c>
      <c r="F201" s="80">
        <f t="shared" si="40"/>
        <v>0</v>
      </c>
      <c r="G201" s="80">
        <f t="shared" si="40"/>
        <v>0</v>
      </c>
      <c r="H201" s="80">
        <f t="shared" si="40"/>
        <v>0</v>
      </c>
      <c r="I201" s="80">
        <f t="shared" si="40"/>
        <v>127771665.12</v>
      </c>
      <c r="J201" s="80">
        <f t="shared" si="40"/>
        <v>127771665.12</v>
      </c>
      <c r="K201" s="80">
        <f t="shared" si="40"/>
        <v>0</v>
      </c>
      <c r="L201" s="80">
        <f t="shared" si="40"/>
        <v>0</v>
      </c>
      <c r="M201" s="80">
        <f t="shared" si="40"/>
        <v>0</v>
      </c>
      <c r="N201" s="80">
        <f t="shared" si="40"/>
        <v>127771665.12</v>
      </c>
      <c r="O201" s="80">
        <f t="shared" si="40"/>
        <v>127771665.12</v>
      </c>
      <c r="P201" s="191"/>
    </row>
    <row r="202" spans="1:16" ht="32.25" customHeight="1" x14ac:dyDescent="0.25">
      <c r="A202" s="37" t="s">
        <v>4</v>
      </c>
      <c r="B202" s="37" t="s">
        <v>89</v>
      </c>
      <c r="C202" s="3" t="s">
        <v>24</v>
      </c>
      <c r="D202" s="49">
        <f>'дод 2'!E50+'дод 2'!E289</f>
        <v>975000</v>
      </c>
      <c r="E202" s="49">
        <f>'дод 2'!F50+'дод 2'!F289</f>
        <v>475000</v>
      </c>
      <c r="F202" s="49">
        <f>'дод 2'!G50+'дод 2'!G289</f>
        <v>0</v>
      </c>
      <c r="G202" s="49">
        <f>'дод 2'!H50+'дод 2'!H289</f>
        <v>0</v>
      </c>
      <c r="H202" s="49">
        <f>'дод 2'!I50+'дод 2'!I289</f>
        <v>500000</v>
      </c>
      <c r="I202" s="49">
        <f>'дод 2'!J50+'дод 2'!J289</f>
        <v>0</v>
      </c>
      <c r="J202" s="49">
        <f>'дод 2'!K50+'дод 2'!K289</f>
        <v>0</v>
      </c>
      <c r="K202" s="49">
        <f>'дод 2'!L50+'дод 2'!L289</f>
        <v>0</v>
      </c>
      <c r="L202" s="49">
        <f>'дод 2'!M50+'дод 2'!M289</f>
        <v>0</v>
      </c>
      <c r="M202" s="49">
        <f>'дод 2'!N50+'дод 2'!N289</f>
        <v>0</v>
      </c>
      <c r="N202" s="49">
        <f>'дод 2'!O50+'дод 2'!O289</f>
        <v>0</v>
      </c>
      <c r="O202" s="49">
        <f>'дод 2'!P50+'дод 2'!P289</f>
        <v>975000</v>
      </c>
      <c r="P202" s="191"/>
    </row>
    <row r="203" spans="1:16" ht="20.25" customHeight="1" x14ac:dyDescent="0.25">
      <c r="A203" s="37" t="s">
        <v>2</v>
      </c>
      <c r="B203" s="37" t="s">
        <v>88</v>
      </c>
      <c r="C203" s="3" t="s">
        <v>420</v>
      </c>
      <c r="D203" s="49">
        <f>'дод 2'!E114+'дод 2'!E151+'дод 2'!E213+'дод 2'!E243+'дод 2'!E271+'дод 2'!E299</f>
        <v>4944384.55</v>
      </c>
      <c r="E203" s="49">
        <f>'дод 2'!F114+'дод 2'!F151+'дод 2'!F213+'дод 2'!F243+'дод 2'!F271+'дод 2'!F299</f>
        <v>2944384.55</v>
      </c>
      <c r="F203" s="49">
        <f>'дод 2'!G114+'дод 2'!G151+'дод 2'!G213+'дод 2'!G243+'дод 2'!G271+'дод 2'!G299</f>
        <v>0</v>
      </c>
      <c r="G203" s="49">
        <f>'дод 2'!H114+'дод 2'!H151+'дод 2'!H213+'дод 2'!H243+'дод 2'!H271+'дод 2'!H299</f>
        <v>0</v>
      </c>
      <c r="H203" s="49">
        <f>'дод 2'!I114+'дод 2'!I151+'дод 2'!I213+'дод 2'!I243+'дод 2'!I271+'дод 2'!I299</f>
        <v>2000000</v>
      </c>
      <c r="I203" s="49">
        <f>'дод 2'!J114+'дод 2'!J151+'дод 2'!J213+'дод 2'!J243+'дод 2'!J271+'дод 2'!J299</f>
        <v>163148204.56999999</v>
      </c>
      <c r="J203" s="49">
        <f>'дод 2'!K114+'дод 2'!K151+'дод 2'!K213+'дод 2'!K243+'дод 2'!K271+'дод 2'!K299</f>
        <v>151674270.56999999</v>
      </c>
      <c r="K203" s="49">
        <f>'дод 2'!L114+'дод 2'!L151+'дод 2'!L213+'дод 2'!L243+'дод 2'!L271+'дод 2'!L299</f>
        <v>0</v>
      </c>
      <c r="L203" s="49">
        <f>'дод 2'!M114+'дод 2'!M151+'дод 2'!M213+'дод 2'!M243+'дод 2'!M271+'дод 2'!M299</f>
        <v>0</v>
      </c>
      <c r="M203" s="49">
        <f>'дод 2'!N114+'дод 2'!N151+'дод 2'!N213+'дод 2'!N243+'дод 2'!N271+'дод 2'!N299</f>
        <v>0</v>
      </c>
      <c r="N203" s="49">
        <f>'дод 2'!O114+'дод 2'!O151+'дод 2'!O213+'дод 2'!O243+'дод 2'!O271+'дод 2'!O299</f>
        <v>163148204.56999999</v>
      </c>
      <c r="O203" s="49">
        <f>'дод 2'!P114+'дод 2'!P151+'дод 2'!P213+'дод 2'!P243+'дод 2'!P271+'дод 2'!P299</f>
        <v>168092589.12</v>
      </c>
      <c r="P203" s="191"/>
    </row>
    <row r="204" spans="1:16" s="54" customFormat="1" ht="17.25" customHeight="1" x14ac:dyDescent="0.25">
      <c r="A204" s="82"/>
      <c r="B204" s="82"/>
      <c r="C204" s="89" t="s">
        <v>421</v>
      </c>
      <c r="D204" s="84">
        <f>'дод 2'!E152+'дод 2'!E272</f>
        <v>0</v>
      </c>
      <c r="E204" s="84">
        <f>'дод 2'!F152+'дод 2'!F272</f>
        <v>0</v>
      </c>
      <c r="F204" s="84">
        <f>'дод 2'!G152+'дод 2'!G272</f>
        <v>0</v>
      </c>
      <c r="G204" s="84">
        <f>'дод 2'!H152+'дод 2'!H272</f>
        <v>0</v>
      </c>
      <c r="H204" s="84">
        <f>'дод 2'!I152+'дод 2'!I272</f>
        <v>0</v>
      </c>
      <c r="I204" s="84">
        <f>'дод 2'!J152+'дод 2'!J272</f>
        <v>101521665.12</v>
      </c>
      <c r="J204" s="84">
        <f>'дод 2'!K152+'дод 2'!K272</f>
        <v>101521665.12</v>
      </c>
      <c r="K204" s="84">
        <f>'дод 2'!L152+'дод 2'!L272</f>
        <v>0</v>
      </c>
      <c r="L204" s="84">
        <f>'дод 2'!M152+'дод 2'!M272</f>
        <v>0</v>
      </c>
      <c r="M204" s="84">
        <f>'дод 2'!N152+'дод 2'!N272</f>
        <v>0</v>
      </c>
      <c r="N204" s="84">
        <f>'дод 2'!O152+'дод 2'!O272</f>
        <v>101521665.12</v>
      </c>
      <c r="O204" s="84">
        <f>'дод 2'!P152+'дод 2'!P272</f>
        <v>101521665.12</v>
      </c>
      <c r="P204" s="191"/>
    </row>
    <row r="205" spans="1:16" ht="33.75" customHeight="1" x14ac:dyDescent="0.25">
      <c r="A205" s="37" t="s">
        <v>269</v>
      </c>
      <c r="B205" s="37" t="s">
        <v>84</v>
      </c>
      <c r="C205" s="3" t="s">
        <v>348</v>
      </c>
      <c r="D205" s="49">
        <f>'дод 2'!E290</f>
        <v>0</v>
      </c>
      <c r="E205" s="49">
        <f>'дод 2'!F290</f>
        <v>0</v>
      </c>
      <c r="F205" s="49">
        <f>'дод 2'!G290</f>
        <v>0</v>
      </c>
      <c r="G205" s="49">
        <f>'дод 2'!H290</f>
        <v>0</v>
      </c>
      <c r="H205" s="49">
        <f>'дод 2'!I290</f>
        <v>0</v>
      </c>
      <c r="I205" s="49">
        <f>'дод 2'!J290</f>
        <v>20000</v>
      </c>
      <c r="J205" s="49">
        <f>'дод 2'!K290</f>
        <v>20000</v>
      </c>
      <c r="K205" s="49">
        <f>'дод 2'!L290</f>
        <v>0</v>
      </c>
      <c r="L205" s="49">
        <f>'дод 2'!M290</f>
        <v>0</v>
      </c>
      <c r="M205" s="49">
        <f>'дод 2'!N290</f>
        <v>0</v>
      </c>
      <c r="N205" s="49">
        <f>'дод 2'!O290</f>
        <v>20000</v>
      </c>
      <c r="O205" s="49">
        <f>'дод 2'!P290</f>
        <v>20000</v>
      </c>
      <c r="P205" s="191"/>
    </row>
    <row r="206" spans="1:16" ht="67.5" customHeight="1" x14ac:dyDescent="0.25">
      <c r="A206" s="37" t="s">
        <v>271</v>
      </c>
      <c r="B206" s="37" t="s">
        <v>84</v>
      </c>
      <c r="C206" s="3" t="s">
        <v>272</v>
      </c>
      <c r="D206" s="49">
        <f>'дод 2'!E291</f>
        <v>0</v>
      </c>
      <c r="E206" s="49">
        <f>'дод 2'!F291</f>
        <v>0</v>
      </c>
      <c r="F206" s="49">
        <f>'дод 2'!G291</f>
        <v>0</v>
      </c>
      <c r="G206" s="49">
        <f>'дод 2'!H291</f>
        <v>0</v>
      </c>
      <c r="H206" s="49">
        <f>'дод 2'!I291</f>
        <v>0</v>
      </c>
      <c r="I206" s="49">
        <f>'дод 2'!J291</f>
        <v>45000</v>
      </c>
      <c r="J206" s="49">
        <f>'дод 2'!K291</f>
        <v>45000</v>
      </c>
      <c r="K206" s="49">
        <f>'дод 2'!L291</f>
        <v>0</v>
      </c>
      <c r="L206" s="49">
        <f>'дод 2'!M291</f>
        <v>0</v>
      </c>
      <c r="M206" s="49">
        <f>'дод 2'!N291</f>
        <v>0</v>
      </c>
      <c r="N206" s="49">
        <f>'дод 2'!O291</f>
        <v>45000</v>
      </c>
      <c r="O206" s="49">
        <f>'дод 2'!P291</f>
        <v>45000</v>
      </c>
      <c r="P206" s="191">
        <v>99</v>
      </c>
    </row>
    <row r="207" spans="1:16" ht="30.75" customHeight="1" x14ac:dyDescent="0.25">
      <c r="A207" s="37" t="s">
        <v>5</v>
      </c>
      <c r="B207" s="37" t="s">
        <v>84</v>
      </c>
      <c r="C207" s="3" t="s">
        <v>473</v>
      </c>
      <c r="D207" s="49">
        <f>'дод 2'!E51+'дод 2'!E244</f>
        <v>0</v>
      </c>
      <c r="E207" s="49">
        <f>'дод 2'!F51+'дод 2'!F244</f>
        <v>0</v>
      </c>
      <c r="F207" s="49">
        <f>'дод 2'!G51+'дод 2'!G244</f>
        <v>0</v>
      </c>
      <c r="G207" s="49">
        <f>'дод 2'!H51+'дод 2'!H244</f>
        <v>0</v>
      </c>
      <c r="H207" s="49">
        <f>'дод 2'!I51+'дод 2'!I244</f>
        <v>0</v>
      </c>
      <c r="I207" s="49">
        <f>'дод 2'!J51+'дод 2'!J244</f>
        <v>45787900</v>
      </c>
      <c r="J207" s="49">
        <f>'дод 2'!K51+'дод 2'!K244</f>
        <v>45787900</v>
      </c>
      <c r="K207" s="49">
        <f>'дод 2'!L51+'дод 2'!L244</f>
        <v>0</v>
      </c>
      <c r="L207" s="49">
        <f>'дод 2'!M51+'дод 2'!M244</f>
        <v>0</v>
      </c>
      <c r="M207" s="49">
        <f>'дод 2'!N51+'дод 2'!N244</f>
        <v>0</v>
      </c>
      <c r="N207" s="49">
        <f>'дод 2'!O51+'дод 2'!O244</f>
        <v>45787900</v>
      </c>
      <c r="O207" s="49">
        <f>'дод 2'!P51+'дод 2'!P244</f>
        <v>45787900</v>
      </c>
      <c r="P207" s="191"/>
    </row>
    <row r="208" spans="1:16" ht="16.5" customHeight="1" x14ac:dyDescent="0.25">
      <c r="A208" s="37"/>
      <c r="B208" s="37"/>
      <c r="C208" s="89" t="s">
        <v>421</v>
      </c>
      <c r="D208" s="49">
        <f>'дод 2'!E245</f>
        <v>0</v>
      </c>
      <c r="E208" s="49">
        <f>'дод 2'!F245</f>
        <v>0</v>
      </c>
      <c r="F208" s="49">
        <f>'дод 2'!G245</f>
        <v>0</v>
      </c>
      <c r="G208" s="49">
        <f>'дод 2'!H245</f>
        <v>0</v>
      </c>
      <c r="H208" s="49">
        <f>'дод 2'!I245</f>
        <v>0</v>
      </c>
      <c r="I208" s="49">
        <f>'дод 2'!J245</f>
        <v>26250000</v>
      </c>
      <c r="J208" s="49">
        <f>'дод 2'!K245</f>
        <v>26250000</v>
      </c>
      <c r="K208" s="49">
        <f>'дод 2'!L245</f>
        <v>0</v>
      </c>
      <c r="L208" s="49">
        <f>'дод 2'!M245</f>
        <v>0</v>
      </c>
      <c r="M208" s="49">
        <f>'дод 2'!N245</f>
        <v>0</v>
      </c>
      <c r="N208" s="49">
        <f>'дод 2'!O245</f>
        <v>26250000</v>
      </c>
      <c r="O208" s="49">
        <f>'дод 2'!P245</f>
        <v>26250000</v>
      </c>
      <c r="P208" s="191"/>
    </row>
    <row r="209" spans="1:16" ht="36.75" customHeight="1" x14ac:dyDescent="0.25">
      <c r="A209" s="37" t="s">
        <v>250</v>
      </c>
      <c r="B209" s="37" t="s">
        <v>84</v>
      </c>
      <c r="C209" s="3" t="s">
        <v>251</v>
      </c>
      <c r="D209" s="49">
        <f>'дод 2'!E52</f>
        <v>356337</v>
      </c>
      <c r="E209" s="49">
        <f>'дод 2'!F52</f>
        <v>356337</v>
      </c>
      <c r="F209" s="49">
        <f>'дод 2'!G52</f>
        <v>0</v>
      </c>
      <c r="G209" s="49">
        <f>'дод 2'!H52</f>
        <v>0</v>
      </c>
      <c r="H209" s="49">
        <f>'дод 2'!I52</f>
        <v>0</v>
      </c>
      <c r="I209" s="49">
        <f>'дод 2'!J52</f>
        <v>0</v>
      </c>
      <c r="J209" s="49">
        <f>'дод 2'!K52</f>
        <v>0</v>
      </c>
      <c r="K209" s="49">
        <f>'дод 2'!L52</f>
        <v>0</v>
      </c>
      <c r="L209" s="49">
        <f>'дод 2'!M52</f>
        <v>0</v>
      </c>
      <c r="M209" s="49">
        <f>'дод 2'!N52</f>
        <v>0</v>
      </c>
      <c r="N209" s="49">
        <f>'дод 2'!O52</f>
        <v>0</v>
      </c>
      <c r="O209" s="49">
        <f>'дод 2'!P52</f>
        <v>356337</v>
      </c>
      <c r="P209" s="191"/>
    </row>
    <row r="210" spans="1:16" s="54" customFormat="1" ht="97.5" customHeight="1" x14ac:dyDescent="0.25">
      <c r="A210" s="37" t="s">
        <v>298</v>
      </c>
      <c r="B210" s="37" t="s">
        <v>84</v>
      </c>
      <c r="C210" s="3" t="s">
        <v>316</v>
      </c>
      <c r="D210" s="49">
        <f>'дод 2'!E53+'дод 2'!E246+'дод 2'!E273+'дод 2'!E281</f>
        <v>0</v>
      </c>
      <c r="E210" s="49">
        <f>'дод 2'!F53+'дод 2'!F246+'дод 2'!F273+'дод 2'!F281</f>
        <v>0</v>
      </c>
      <c r="F210" s="49">
        <f>'дод 2'!G53+'дод 2'!G246+'дод 2'!G273+'дод 2'!G281</f>
        <v>0</v>
      </c>
      <c r="G210" s="49">
        <f>'дод 2'!H53+'дод 2'!H246+'дод 2'!H273+'дод 2'!H281</f>
        <v>0</v>
      </c>
      <c r="H210" s="49">
        <f>'дод 2'!I53+'дод 2'!I246+'дод 2'!I273+'дод 2'!I281</f>
        <v>0</v>
      </c>
      <c r="I210" s="49">
        <f>'дод 2'!J53+'дод 2'!J246+'дод 2'!J273+'дод 2'!J281</f>
        <v>4856037.8699999992</v>
      </c>
      <c r="J210" s="49">
        <f>'дод 2'!K53+'дод 2'!K246+'дод 2'!K273+'дод 2'!K281</f>
        <v>0</v>
      </c>
      <c r="K210" s="49">
        <f>'дод 2'!L53+'дод 2'!L246+'дод 2'!L273+'дод 2'!L281</f>
        <v>2948437.8699999996</v>
      </c>
      <c r="L210" s="49">
        <f>'дод 2'!M53+'дод 2'!M246+'дод 2'!M273+'дод 2'!M281</f>
        <v>0</v>
      </c>
      <c r="M210" s="49">
        <f>'дод 2'!N53+'дод 2'!N246+'дод 2'!N273+'дод 2'!N281</f>
        <v>0</v>
      </c>
      <c r="N210" s="49">
        <f>'дод 2'!O53+'дод 2'!O246+'дод 2'!O273+'дод 2'!O281</f>
        <v>1907600</v>
      </c>
      <c r="O210" s="49">
        <f>'дод 2'!P53+'дод 2'!P246+'дод 2'!P273+'дод 2'!P281</f>
        <v>4856037.8699999992</v>
      </c>
      <c r="P210" s="191"/>
    </row>
    <row r="211" spans="1:16" s="54" customFormat="1" ht="23.25" customHeight="1" x14ac:dyDescent="0.25">
      <c r="A211" s="37" t="s">
        <v>241</v>
      </c>
      <c r="B211" s="37" t="s">
        <v>84</v>
      </c>
      <c r="C211" s="3" t="s">
        <v>17</v>
      </c>
      <c r="D211" s="49">
        <f>'дод 2'!E54+'дод 2'!E292+'дод 2'!E300</f>
        <v>1749626</v>
      </c>
      <c r="E211" s="49">
        <f>'дод 2'!F54+'дод 2'!F292+'дод 2'!F300</f>
        <v>1749626</v>
      </c>
      <c r="F211" s="49">
        <f>'дод 2'!G54+'дод 2'!G292+'дод 2'!G300</f>
        <v>0</v>
      </c>
      <c r="G211" s="49">
        <f>'дод 2'!H54+'дод 2'!H292+'дод 2'!H300</f>
        <v>0</v>
      </c>
      <c r="H211" s="49">
        <f>'дод 2'!I54+'дод 2'!I292+'дод 2'!I300</f>
        <v>0</v>
      </c>
      <c r="I211" s="49">
        <f>'дод 2'!J54+'дод 2'!J292+'дод 2'!J300</f>
        <v>0</v>
      </c>
      <c r="J211" s="49">
        <f>'дод 2'!K54+'дод 2'!K292+'дод 2'!K300</f>
        <v>0</v>
      </c>
      <c r="K211" s="49">
        <f>'дод 2'!L54+'дод 2'!L292+'дод 2'!L300</f>
        <v>0</v>
      </c>
      <c r="L211" s="49">
        <f>'дод 2'!M54+'дод 2'!M292+'дод 2'!M300</f>
        <v>0</v>
      </c>
      <c r="M211" s="49">
        <f>'дод 2'!N54+'дод 2'!N292+'дод 2'!N300</f>
        <v>0</v>
      </c>
      <c r="N211" s="49">
        <f>'дод 2'!O54+'дод 2'!O292+'дод 2'!O300</f>
        <v>0</v>
      </c>
      <c r="O211" s="49">
        <f>'дод 2'!P54+'дод 2'!P292+'дод 2'!P300</f>
        <v>1749626</v>
      </c>
      <c r="P211" s="191"/>
    </row>
    <row r="212" spans="1:16" s="53" customFormat="1" ht="55.5" customHeight="1" x14ac:dyDescent="0.25">
      <c r="A212" s="38">
        <v>7700</v>
      </c>
      <c r="B212" s="38"/>
      <c r="C212" s="95" t="s">
        <v>364</v>
      </c>
      <c r="D212" s="48">
        <f>D213</f>
        <v>0</v>
      </c>
      <c r="E212" s="48">
        <f t="shared" ref="E212:O212" si="41">E213</f>
        <v>0</v>
      </c>
      <c r="F212" s="48">
        <f t="shared" si="41"/>
        <v>0</v>
      </c>
      <c r="G212" s="48">
        <f t="shared" si="41"/>
        <v>0</v>
      </c>
      <c r="H212" s="48">
        <f t="shared" si="41"/>
        <v>0</v>
      </c>
      <c r="I212" s="48">
        <f t="shared" si="41"/>
        <v>630000</v>
      </c>
      <c r="J212" s="48">
        <f t="shared" si="41"/>
        <v>0</v>
      </c>
      <c r="K212" s="48">
        <f t="shared" si="41"/>
        <v>0</v>
      </c>
      <c r="L212" s="48">
        <f t="shared" si="41"/>
        <v>0</v>
      </c>
      <c r="M212" s="48">
        <f t="shared" si="41"/>
        <v>0</v>
      </c>
      <c r="N212" s="48">
        <f t="shared" si="41"/>
        <v>630000</v>
      </c>
      <c r="O212" s="48">
        <f t="shared" si="41"/>
        <v>630000</v>
      </c>
      <c r="P212" s="191"/>
    </row>
    <row r="213" spans="1:16" s="54" customFormat="1" ht="46.5" customHeight="1" x14ac:dyDescent="0.25">
      <c r="A213" s="37">
        <v>7700</v>
      </c>
      <c r="B213" s="59" t="s">
        <v>95</v>
      </c>
      <c r="C213" s="61" t="s">
        <v>364</v>
      </c>
      <c r="D213" s="49">
        <f>'дод 2'!E115</f>
        <v>0</v>
      </c>
      <c r="E213" s="49">
        <f>'дод 2'!F115</f>
        <v>0</v>
      </c>
      <c r="F213" s="49">
        <f>'дод 2'!G115</f>
        <v>0</v>
      </c>
      <c r="G213" s="49">
        <f>'дод 2'!H115</f>
        <v>0</v>
      </c>
      <c r="H213" s="49">
        <f>'дод 2'!I115</f>
        <v>0</v>
      </c>
      <c r="I213" s="49">
        <f>'дод 2'!J115</f>
        <v>630000</v>
      </c>
      <c r="J213" s="49">
        <f>'дод 2'!K115</f>
        <v>0</v>
      </c>
      <c r="K213" s="49">
        <f>'дод 2'!L115</f>
        <v>0</v>
      </c>
      <c r="L213" s="49">
        <f>'дод 2'!M115</f>
        <v>0</v>
      </c>
      <c r="M213" s="49">
        <f>'дод 2'!N115</f>
        <v>0</v>
      </c>
      <c r="N213" s="49">
        <f>'дод 2'!O115</f>
        <v>630000</v>
      </c>
      <c r="O213" s="49">
        <f>'дод 2'!P115</f>
        <v>630000</v>
      </c>
      <c r="P213" s="191"/>
    </row>
    <row r="214" spans="1:16" s="52" customFormat="1" ht="25.5" customHeight="1" x14ac:dyDescent="0.25">
      <c r="A214" s="38" t="s">
        <v>96</v>
      </c>
      <c r="B214" s="39"/>
      <c r="C214" s="2" t="s">
        <v>617</v>
      </c>
      <c r="D214" s="48">
        <f>D216+D221+D223+D226+D228+D229</f>
        <v>19922760.649999999</v>
      </c>
      <c r="E214" s="48">
        <f t="shared" ref="E214:O214" si="42">E216+E221+E223+E226+E228+E229</f>
        <v>5896017.21</v>
      </c>
      <c r="F214" s="48">
        <f t="shared" si="42"/>
        <v>1906900</v>
      </c>
      <c r="G214" s="48">
        <f t="shared" si="42"/>
        <v>338147</v>
      </c>
      <c r="H214" s="48">
        <f t="shared" si="42"/>
        <v>0</v>
      </c>
      <c r="I214" s="48">
        <f t="shared" si="42"/>
        <v>5708964.6600000001</v>
      </c>
      <c r="J214" s="48">
        <f t="shared" si="42"/>
        <v>1398264.66</v>
      </c>
      <c r="K214" s="48">
        <f t="shared" si="42"/>
        <v>2960800</v>
      </c>
      <c r="L214" s="48">
        <f t="shared" si="42"/>
        <v>0</v>
      </c>
      <c r="M214" s="48">
        <f t="shared" si="42"/>
        <v>1400</v>
      </c>
      <c r="N214" s="48">
        <f t="shared" si="42"/>
        <v>2748164.66</v>
      </c>
      <c r="O214" s="48">
        <f t="shared" si="42"/>
        <v>25631725.310000002</v>
      </c>
      <c r="P214" s="191"/>
    </row>
    <row r="215" spans="1:16" s="53" customFormat="1" ht="54.75" customHeight="1" x14ac:dyDescent="0.25">
      <c r="A215" s="75"/>
      <c r="B215" s="78"/>
      <c r="C215" s="79" t="s">
        <v>384</v>
      </c>
      <c r="D215" s="80">
        <f>D217</f>
        <v>588815</v>
      </c>
      <c r="E215" s="80">
        <f t="shared" ref="E215:O215" si="43">E217</f>
        <v>588815</v>
      </c>
      <c r="F215" s="80">
        <f t="shared" si="43"/>
        <v>482635</v>
      </c>
      <c r="G215" s="80">
        <f t="shared" si="43"/>
        <v>0</v>
      </c>
      <c r="H215" s="80">
        <f t="shared" si="43"/>
        <v>0</v>
      </c>
      <c r="I215" s="80">
        <f t="shared" si="43"/>
        <v>0</v>
      </c>
      <c r="J215" s="80">
        <f t="shared" si="43"/>
        <v>0</v>
      </c>
      <c r="K215" s="80">
        <f t="shared" si="43"/>
        <v>0</v>
      </c>
      <c r="L215" s="80">
        <f t="shared" si="43"/>
        <v>0</v>
      </c>
      <c r="M215" s="80">
        <f t="shared" si="43"/>
        <v>0</v>
      </c>
      <c r="N215" s="80">
        <f t="shared" si="43"/>
        <v>0</v>
      </c>
      <c r="O215" s="80">
        <f t="shared" si="43"/>
        <v>588815</v>
      </c>
      <c r="P215" s="191"/>
    </row>
    <row r="216" spans="1:16" s="52" customFormat="1" ht="51.75" customHeight="1" x14ac:dyDescent="0.25">
      <c r="A216" s="38" t="s">
        <v>98</v>
      </c>
      <c r="B216" s="39"/>
      <c r="C216" s="2" t="s">
        <v>534</v>
      </c>
      <c r="D216" s="48">
        <f t="shared" ref="D216:O216" si="44">D218+D219</f>
        <v>3410086.21</v>
      </c>
      <c r="E216" s="48">
        <f t="shared" si="44"/>
        <v>3410086.21</v>
      </c>
      <c r="F216" s="48">
        <f t="shared" si="44"/>
        <v>1906900</v>
      </c>
      <c r="G216" s="48">
        <f t="shared" si="44"/>
        <v>80205</v>
      </c>
      <c r="H216" s="48">
        <f t="shared" si="44"/>
        <v>0</v>
      </c>
      <c r="I216" s="48">
        <f t="shared" si="44"/>
        <v>1403964.66</v>
      </c>
      <c r="J216" s="48">
        <f t="shared" si="44"/>
        <v>1398264.66</v>
      </c>
      <c r="K216" s="48">
        <f t="shared" si="44"/>
        <v>5700</v>
      </c>
      <c r="L216" s="48">
        <f t="shared" si="44"/>
        <v>0</v>
      </c>
      <c r="M216" s="48">
        <f t="shared" si="44"/>
        <v>1400</v>
      </c>
      <c r="N216" s="48">
        <f t="shared" si="44"/>
        <v>1398264.66</v>
      </c>
      <c r="O216" s="48">
        <f t="shared" si="44"/>
        <v>4814050.87</v>
      </c>
      <c r="P216" s="191"/>
    </row>
    <row r="217" spans="1:16" s="53" customFormat="1" ht="47.25" hidden="1" customHeight="1" x14ac:dyDescent="0.25">
      <c r="A217" s="75"/>
      <c r="B217" s="78"/>
      <c r="C217" s="81" t="str">
        <f>C220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17" s="80">
        <f>D220</f>
        <v>588815</v>
      </c>
      <c r="E217" s="80">
        <f t="shared" ref="E217:O217" si="45">E220</f>
        <v>588815</v>
      </c>
      <c r="F217" s="80">
        <f t="shared" si="45"/>
        <v>482635</v>
      </c>
      <c r="G217" s="80">
        <f t="shared" si="45"/>
        <v>0</v>
      </c>
      <c r="H217" s="80">
        <f t="shared" si="45"/>
        <v>0</v>
      </c>
      <c r="I217" s="80">
        <f t="shared" si="45"/>
        <v>0</v>
      </c>
      <c r="J217" s="80">
        <f t="shared" si="45"/>
        <v>0</v>
      </c>
      <c r="K217" s="80">
        <f t="shared" si="45"/>
        <v>0</v>
      </c>
      <c r="L217" s="80">
        <f t="shared" si="45"/>
        <v>0</v>
      </c>
      <c r="M217" s="80">
        <f t="shared" si="45"/>
        <v>0</v>
      </c>
      <c r="N217" s="80">
        <f t="shared" si="45"/>
        <v>0</v>
      </c>
      <c r="O217" s="80">
        <f t="shared" si="45"/>
        <v>588815</v>
      </c>
      <c r="P217" s="191"/>
    </row>
    <row r="218" spans="1:16" s="52" customFormat="1" ht="36.75" customHeight="1" x14ac:dyDescent="0.25">
      <c r="A218" s="40" t="s">
        <v>7</v>
      </c>
      <c r="B218" s="40" t="s">
        <v>91</v>
      </c>
      <c r="C218" s="3" t="s">
        <v>299</v>
      </c>
      <c r="D218" s="49">
        <f>'дод 2'!E55+'дод 2'!E247</f>
        <v>960981.21</v>
      </c>
      <c r="E218" s="49">
        <f>'дод 2'!F55+'дод 2'!F247</f>
        <v>960981.21</v>
      </c>
      <c r="F218" s="49">
        <f>'дод 2'!G55+'дод 2'!G247</f>
        <v>0</v>
      </c>
      <c r="G218" s="49">
        <f>'дод 2'!H55+'дод 2'!H247</f>
        <v>6500</v>
      </c>
      <c r="H218" s="49">
        <f>'дод 2'!I55+'дод 2'!I247</f>
        <v>0</v>
      </c>
      <c r="I218" s="49">
        <f>'дод 2'!J55+'дод 2'!J247</f>
        <v>1398264.66</v>
      </c>
      <c r="J218" s="49">
        <f>'дод 2'!K55+'дод 2'!K247</f>
        <v>1398264.66</v>
      </c>
      <c r="K218" s="49">
        <f>'дод 2'!L55+'дод 2'!L247</f>
        <v>0</v>
      </c>
      <c r="L218" s="49">
        <f>'дод 2'!M55+'дод 2'!M247</f>
        <v>0</v>
      </c>
      <c r="M218" s="49">
        <f>'дод 2'!N55+'дод 2'!N247</f>
        <v>0</v>
      </c>
      <c r="N218" s="49">
        <f>'дод 2'!O55+'дод 2'!O247</f>
        <v>1398264.66</v>
      </c>
      <c r="O218" s="49">
        <f>'дод 2'!P55+'дод 2'!P247</f>
        <v>2359245.87</v>
      </c>
      <c r="P218" s="191"/>
    </row>
    <row r="219" spans="1:16" ht="27" customHeight="1" x14ac:dyDescent="0.25">
      <c r="A219" s="37" t="s">
        <v>150</v>
      </c>
      <c r="B219" s="42" t="s">
        <v>91</v>
      </c>
      <c r="C219" s="3" t="s">
        <v>532</v>
      </c>
      <c r="D219" s="49">
        <f>'дод 2'!E56</f>
        <v>2449105</v>
      </c>
      <c r="E219" s="49">
        <f>'дод 2'!F56</f>
        <v>2449105</v>
      </c>
      <c r="F219" s="49">
        <f>'дод 2'!G56</f>
        <v>1906900</v>
      </c>
      <c r="G219" s="49">
        <f>'дод 2'!H56</f>
        <v>73705</v>
      </c>
      <c r="H219" s="49">
        <f>'дод 2'!I56</f>
        <v>0</v>
      </c>
      <c r="I219" s="49">
        <f>'дод 2'!J56</f>
        <v>5700</v>
      </c>
      <c r="J219" s="49">
        <f>'дод 2'!K56</f>
        <v>0</v>
      </c>
      <c r="K219" s="49">
        <f>'дод 2'!L56</f>
        <v>5700</v>
      </c>
      <c r="L219" s="49">
        <f>'дод 2'!M56</f>
        <v>0</v>
      </c>
      <c r="M219" s="49">
        <f>'дод 2'!N56</f>
        <v>1400</v>
      </c>
      <c r="N219" s="49">
        <f>'дод 2'!O56</f>
        <v>0</v>
      </c>
      <c r="O219" s="49">
        <f>'дод 2'!P56</f>
        <v>2454805</v>
      </c>
      <c r="P219" s="191"/>
    </row>
    <row r="220" spans="1:16" s="54" customFormat="1" ht="47.25" x14ac:dyDescent="0.25">
      <c r="A220" s="82"/>
      <c r="B220" s="92"/>
      <c r="C220" s="91" t="s">
        <v>384</v>
      </c>
      <c r="D220" s="84">
        <f>'дод 2'!E57</f>
        <v>588815</v>
      </c>
      <c r="E220" s="84">
        <f>'дод 2'!F57</f>
        <v>588815</v>
      </c>
      <c r="F220" s="84">
        <f>'дод 2'!G57</f>
        <v>482635</v>
      </c>
      <c r="G220" s="84">
        <f>'дод 2'!H57</f>
        <v>0</v>
      </c>
      <c r="H220" s="84">
        <f>'дод 2'!I57</f>
        <v>0</v>
      </c>
      <c r="I220" s="84">
        <f>'дод 2'!J57</f>
        <v>0</v>
      </c>
      <c r="J220" s="84">
        <f>'дод 2'!K57</f>
        <v>0</v>
      </c>
      <c r="K220" s="84">
        <f>'дод 2'!L57</f>
        <v>0</v>
      </c>
      <c r="L220" s="84">
        <f>'дод 2'!M57</f>
        <v>0</v>
      </c>
      <c r="M220" s="84">
        <f>'дод 2'!N57</f>
        <v>0</v>
      </c>
      <c r="N220" s="84">
        <f>'дод 2'!O57</f>
        <v>0</v>
      </c>
      <c r="O220" s="84">
        <f>'дод 2'!P57</f>
        <v>588815</v>
      </c>
      <c r="P220" s="191"/>
    </row>
    <row r="221" spans="1:16" s="52" customFormat="1" ht="23.25" customHeight="1" x14ac:dyDescent="0.25">
      <c r="A221" s="38" t="s">
        <v>252</v>
      </c>
      <c r="B221" s="38"/>
      <c r="C221" s="12" t="s">
        <v>253</v>
      </c>
      <c r="D221" s="48">
        <f t="shared" ref="D221:O221" si="46">D222</f>
        <v>416692</v>
      </c>
      <c r="E221" s="48">
        <f t="shared" si="46"/>
        <v>416692</v>
      </c>
      <c r="F221" s="48">
        <f t="shared" si="46"/>
        <v>0</v>
      </c>
      <c r="G221" s="48">
        <f t="shared" si="46"/>
        <v>257942</v>
      </c>
      <c r="H221" s="48">
        <f t="shared" si="46"/>
        <v>0</v>
      </c>
      <c r="I221" s="48">
        <f t="shared" si="46"/>
        <v>0</v>
      </c>
      <c r="J221" s="48">
        <f t="shared" si="46"/>
        <v>0</v>
      </c>
      <c r="K221" s="48">
        <f t="shared" si="46"/>
        <v>0</v>
      </c>
      <c r="L221" s="48">
        <f t="shared" si="46"/>
        <v>0</v>
      </c>
      <c r="M221" s="48">
        <f t="shared" si="46"/>
        <v>0</v>
      </c>
      <c r="N221" s="48">
        <f t="shared" si="46"/>
        <v>0</v>
      </c>
      <c r="O221" s="48">
        <f t="shared" si="46"/>
        <v>416692</v>
      </c>
      <c r="P221" s="191"/>
    </row>
    <row r="222" spans="1:16" ht="22.5" customHeight="1" x14ac:dyDescent="0.25">
      <c r="A222" s="37" t="s">
        <v>246</v>
      </c>
      <c r="B222" s="42" t="s">
        <v>247</v>
      </c>
      <c r="C222" s="3" t="s">
        <v>248</v>
      </c>
      <c r="D222" s="49">
        <f>'дод 2'!E58+'дод 2'!E248</f>
        <v>416692</v>
      </c>
      <c r="E222" s="49">
        <f>'дод 2'!F58+'дод 2'!F248</f>
        <v>416692</v>
      </c>
      <c r="F222" s="49">
        <f>'дод 2'!G58+'дод 2'!G248</f>
        <v>0</v>
      </c>
      <c r="G222" s="49">
        <f>'дод 2'!H58+'дод 2'!H248</f>
        <v>257942</v>
      </c>
      <c r="H222" s="49">
        <f>'дод 2'!I58+'дод 2'!I248</f>
        <v>0</v>
      </c>
      <c r="I222" s="49">
        <f>'дод 2'!J58+'дод 2'!J248</f>
        <v>0</v>
      </c>
      <c r="J222" s="49">
        <f>'дод 2'!K58+'дод 2'!K248</f>
        <v>0</v>
      </c>
      <c r="K222" s="49">
        <f>'дод 2'!L58+'дод 2'!L248</f>
        <v>0</v>
      </c>
      <c r="L222" s="49">
        <f>'дод 2'!M58+'дод 2'!M248</f>
        <v>0</v>
      </c>
      <c r="M222" s="49">
        <f>'дод 2'!N58+'дод 2'!N248</f>
        <v>0</v>
      </c>
      <c r="N222" s="49">
        <f>'дод 2'!O58+'дод 2'!O248</f>
        <v>0</v>
      </c>
      <c r="O222" s="49">
        <f>'дод 2'!P58+'дод 2'!P248</f>
        <v>416692</v>
      </c>
      <c r="P222" s="191"/>
    </row>
    <row r="223" spans="1:16" s="52" customFormat="1" ht="22.5" customHeight="1" x14ac:dyDescent="0.25">
      <c r="A223" s="38" t="s">
        <v>6</v>
      </c>
      <c r="B223" s="39"/>
      <c r="C223" s="2" t="s">
        <v>8</v>
      </c>
      <c r="D223" s="48">
        <f t="shared" ref="D223:O223" si="47">D225+D224</f>
        <v>75000</v>
      </c>
      <c r="E223" s="48">
        <f t="shared" si="47"/>
        <v>75000</v>
      </c>
      <c r="F223" s="48">
        <f t="shared" si="47"/>
        <v>0</v>
      </c>
      <c r="G223" s="48">
        <f t="shared" si="47"/>
        <v>0</v>
      </c>
      <c r="H223" s="48">
        <f t="shared" si="47"/>
        <v>0</v>
      </c>
      <c r="I223" s="48">
        <f t="shared" si="47"/>
        <v>4305000</v>
      </c>
      <c r="J223" s="48">
        <f t="shared" si="47"/>
        <v>0</v>
      </c>
      <c r="K223" s="48">
        <f t="shared" si="47"/>
        <v>2955100</v>
      </c>
      <c r="L223" s="48">
        <f t="shared" si="47"/>
        <v>0</v>
      </c>
      <c r="M223" s="48">
        <f t="shared" si="47"/>
        <v>0</v>
      </c>
      <c r="N223" s="48">
        <f t="shared" si="47"/>
        <v>1349900</v>
      </c>
      <c r="O223" s="48">
        <f t="shared" si="47"/>
        <v>4380000</v>
      </c>
      <c r="P223" s="191"/>
    </row>
    <row r="224" spans="1:16" s="52" customFormat="1" ht="33.75" customHeight="1" x14ac:dyDescent="0.25">
      <c r="A224" s="37">
        <v>8330</v>
      </c>
      <c r="B224" s="59" t="s">
        <v>94</v>
      </c>
      <c r="C224" s="3" t="s">
        <v>350</v>
      </c>
      <c r="D224" s="49">
        <f>'дод 2'!E301</f>
        <v>75000</v>
      </c>
      <c r="E224" s="49">
        <f>'дод 2'!F301</f>
        <v>75000</v>
      </c>
      <c r="F224" s="49">
        <f>'дод 2'!G301</f>
        <v>0</v>
      </c>
      <c r="G224" s="49">
        <f>'дод 2'!H301</f>
        <v>0</v>
      </c>
      <c r="H224" s="49">
        <f>'дод 2'!I301</f>
        <v>0</v>
      </c>
      <c r="I224" s="49">
        <f>'дод 2'!J301</f>
        <v>0</v>
      </c>
      <c r="J224" s="49">
        <f>'дод 2'!K301</f>
        <v>0</v>
      </c>
      <c r="K224" s="49">
        <f>'дод 2'!L301</f>
        <v>0</v>
      </c>
      <c r="L224" s="49">
        <f>'дод 2'!M301</f>
        <v>0</v>
      </c>
      <c r="M224" s="49">
        <f>'дод 2'!N301</f>
        <v>0</v>
      </c>
      <c r="N224" s="49">
        <f>'дод 2'!O301</f>
        <v>0</v>
      </c>
      <c r="O224" s="49">
        <f>'дод 2'!P301</f>
        <v>75000</v>
      </c>
      <c r="P224" s="191"/>
    </row>
    <row r="225" spans="1:16" s="52" customFormat="1" ht="19.5" customHeight="1" x14ac:dyDescent="0.25">
      <c r="A225" s="37" t="s">
        <v>9</v>
      </c>
      <c r="B225" s="37" t="s">
        <v>94</v>
      </c>
      <c r="C225" s="3" t="s">
        <v>10</v>
      </c>
      <c r="D225" s="49">
        <f>'дод 2'!E59+'дод 2'!E116+'дод 2'!E249+'дод 2'!E302</f>
        <v>0</v>
      </c>
      <c r="E225" s="49">
        <f>'дод 2'!F59+'дод 2'!F116+'дод 2'!F249+'дод 2'!F302</f>
        <v>0</v>
      </c>
      <c r="F225" s="49">
        <f>'дод 2'!G59+'дод 2'!G116+'дод 2'!G249+'дод 2'!G302</f>
        <v>0</v>
      </c>
      <c r="G225" s="49">
        <f>'дод 2'!H59+'дод 2'!H116+'дод 2'!H249+'дод 2'!H302</f>
        <v>0</v>
      </c>
      <c r="H225" s="49">
        <f>'дод 2'!I59+'дод 2'!I116+'дод 2'!I249+'дод 2'!I302</f>
        <v>0</v>
      </c>
      <c r="I225" s="49">
        <f>'дод 2'!J59+'дод 2'!J116+'дод 2'!J249+'дод 2'!J302</f>
        <v>4305000</v>
      </c>
      <c r="J225" s="49">
        <f>'дод 2'!K59+'дод 2'!K116+'дод 2'!K249+'дод 2'!K302</f>
        <v>0</v>
      </c>
      <c r="K225" s="49">
        <f>'дод 2'!L59+'дод 2'!L116+'дод 2'!L249+'дод 2'!L302</f>
        <v>2955100</v>
      </c>
      <c r="L225" s="49">
        <f>'дод 2'!M59+'дод 2'!M116+'дод 2'!M249+'дод 2'!M302</f>
        <v>0</v>
      </c>
      <c r="M225" s="49">
        <f>'дод 2'!N59+'дод 2'!N116+'дод 2'!N249+'дод 2'!N302</f>
        <v>0</v>
      </c>
      <c r="N225" s="49">
        <f>'дод 2'!O59+'дод 2'!O116+'дод 2'!O249+'дод 2'!O302</f>
        <v>1349900</v>
      </c>
      <c r="O225" s="49">
        <f>'дод 2'!P59+'дод 2'!P116+'дод 2'!P249+'дод 2'!P302</f>
        <v>4305000</v>
      </c>
      <c r="P225" s="191"/>
    </row>
    <row r="226" spans="1:16" s="52" customFormat="1" ht="20.25" customHeight="1" x14ac:dyDescent="0.25">
      <c r="A226" s="38" t="s">
        <v>135</v>
      </c>
      <c r="B226" s="39"/>
      <c r="C226" s="2" t="s">
        <v>77</v>
      </c>
      <c r="D226" s="48">
        <f t="shared" ref="D226:O226" si="48">D227</f>
        <v>30000</v>
      </c>
      <c r="E226" s="48">
        <f t="shared" si="48"/>
        <v>30000</v>
      </c>
      <c r="F226" s="48">
        <f t="shared" si="48"/>
        <v>0</v>
      </c>
      <c r="G226" s="48">
        <f t="shared" si="48"/>
        <v>0</v>
      </c>
      <c r="H226" s="48">
        <f t="shared" si="48"/>
        <v>0</v>
      </c>
      <c r="I226" s="48">
        <f t="shared" si="48"/>
        <v>0</v>
      </c>
      <c r="J226" s="48">
        <f t="shared" si="48"/>
        <v>0</v>
      </c>
      <c r="K226" s="48">
        <f t="shared" si="48"/>
        <v>0</v>
      </c>
      <c r="L226" s="48">
        <f t="shared" si="48"/>
        <v>0</v>
      </c>
      <c r="M226" s="48">
        <f t="shared" si="48"/>
        <v>0</v>
      </c>
      <c r="N226" s="48">
        <f t="shared" si="48"/>
        <v>0</v>
      </c>
      <c r="O226" s="48">
        <f t="shared" si="48"/>
        <v>30000</v>
      </c>
      <c r="P226" s="191"/>
    </row>
    <row r="227" spans="1:16" s="52" customFormat="1" ht="21" customHeight="1" x14ac:dyDescent="0.25">
      <c r="A227" s="37" t="s">
        <v>257</v>
      </c>
      <c r="B227" s="42" t="s">
        <v>78</v>
      </c>
      <c r="C227" s="3" t="s">
        <v>258</v>
      </c>
      <c r="D227" s="49">
        <f>'дод 2'!E60</f>
        <v>30000</v>
      </c>
      <c r="E227" s="49">
        <f>'дод 2'!F60</f>
        <v>30000</v>
      </c>
      <c r="F227" s="49">
        <f>'дод 2'!G60</f>
        <v>0</v>
      </c>
      <c r="G227" s="49">
        <f>'дод 2'!H60</f>
        <v>0</v>
      </c>
      <c r="H227" s="49">
        <f>'дод 2'!I60</f>
        <v>0</v>
      </c>
      <c r="I227" s="49">
        <f>'дод 2'!J60</f>
        <v>0</v>
      </c>
      <c r="J227" s="49">
        <f>'дод 2'!K60</f>
        <v>0</v>
      </c>
      <c r="K227" s="49">
        <f>'дод 2'!L60</f>
        <v>0</v>
      </c>
      <c r="L227" s="49">
        <f>'дод 2'!M60</f>
        <v>0</v>
      </c>
      <c r="M227" s="49">
        <f>'дод 2'!N60</f>
        <v>0</v>
      </c>
      <c r="N227" s="49">
        <f>'дод 2'!O60</f>
        <v>0</v>
      </c>
      <c r="O227" s="49">
        <f>'дод 2'!P60</f>
        <v>30000</v>
      </c>
      <c r="P227" s="191"/>
    </row>
    <row r="228" spans="1:16" s="52" customFormat="1" ht="21" customHeight="1" x14ac:dyDescent="0.25">
      <c r="A228" s="38" t="s">
        <v>97</v>
      </c>
      <c r="B228" s="38" t="s">
        <v>92</v>
      </c>
      <c r="C228" s="2" t="s">
        <v>11</v>
      </c>
      <c r="D228" s="48">
        <f>'дод 2'!E303</f>
        <v>1964239</v>
      </c>
      <c r="E228" s="48">
        <f>'дод 2'!F303</f>
        <v>1964239</v>
      </c>
      <c r="F228" s="48">
        <f>'дод 2'!G303</f>
        <v>0</v>
      </c>
      <c r="G228" s="48">
        <f>'дод 2'!H303</f>
        <v>0</v>
      </c>
      <c r="H228" s="48">
        <f>'дод 2'!I303</f>
        <v>0</v>
      </c>
      <c r="I228" s="48">
        <f>'дод 2'!J303</f>
        <v>0</v>
      </c>
      <c r="J228" s="48">
        <f>'дод 2'!K303</f>
        <v>0</v>
      </c>
      <c r="K228" s="48">
        <f>'дод 2'!L303</f>
        <v>0</v>
      </c>
      <c r="L228" s="48">
        <f>'дод 2'!M303</f>
        <v>0</v>
      </c>
      <c r="M228" s="48">
        <f>'дод 2'!N303</f>
        <v>0</v>
      </c>
      <c r="N228" s="48">
        <f>'дод 2'!O303</f>
        <v>0</v>
      </c>
      <c r="O228" s="48">
        <f>'дод 2'!P303</f>
        <v>1964239</v>
      </c>
      <c r="P228" s="191"/>
    </row>
    <row r="229" spans="1:16" s="52" customFormat="1" ht="25.5" customHeight="1" x14ac:dyDescent="0.25">
      <c r="A229" s="38">
        <v>8710</v>
      </c>
      <c r="B229" s="38" t="s">
        <v>95</v>
      </c>
      <c r="C229" s="2" t="s">
        <v>527</v>
      </c>
      <c r="D229" s="48">
        <f>'дод 2'!E304</f>
        <v>14026743.439999999</v>
      </c>
      <c r="E229" s="48">
        <f>'дод 2'!F304</f>
        <v>0</v>
      </c>
      <c r="F229" s="48">
        <f>'дод 2'!G304</f>
        <v>0</v>
      </c>
      <c r="G229" s="48">
        <f>'дод 2'!H304</f>
        <v>0</v>
      </c>
      <c r="H229" s="48">
        <f>'дод 2'!I304</f>
        <v>0</v>
      </c>
      <c r="I229" s="48">
        <f>'дод 2'!J304</f>
        <v>0</v>
      </c>
      <c r="J229" s="48">
        <f>'дод 2'!K304</f>
        <v>0</v>
      </c>
      <c r="K229" s="48">
        <f>'дод 2'!L304</f>
        <v>0</v>
      </c>
      <c r="L229" s="48">
        <f>'дод 2'!M304</f>
        <v>0</v>
      </c>
      <c r="M229" s="48">
        <f>'дод 2'!N304</f>
        <v>0</v>
      </c>
      <c r="N229" s="48">
        <f>'дод 2'!O304</f>
        <v>0</v>
      </c>
      <c r="O229" s="48">
        <f>'дод 2'!P304</f>
        <v>14026743.439999999</v>
      </c>
      <c r="P229" s="191"/>
    </row>
    <row r="230" spans="1:16" s="52" customFormat="1" ht="24" customHeight="1" x14ac:dyDescent="0.25">
      <c r="A230" s="38" t="s">
        <v>12</v>
      </c>
      <c r="B230" s="38"/>
      <c r="C230" s="2" t="s">
        <v>559</v>
      </c>
      <c r="D230" s="48">
        <f>D232+D234+D238+D242</f>
        <v>200462443</v>
      </c>
      <c r="E230" s="48">
        <f t="shared" ref="E230:O230" si="49">E232+E234+E238+E242</f>
        <v>200462443</v>
      </c>
      <c r="F230" s="48">
        <f t="shared" si="49"/>
        <v>0</v>
      </c>
      <c r="G230" s="48">
        <f t="shared" si="49"/>
        <v>0</v>
      </c>
      <c r="H230" s="48">
        <f t="shared" si="49"/>
        <v>0</v>
      </c>
      <c r="I230" s="48">
        <f t="shared" si="49"/>
        <v>30582619.600000001</v>
      </c>
      <c r="J230" s="48">
        <f t="shared" si="49"/>
        <v>30582619.600000001</v>
      </c>
      <c r="K230" s="48">
        <f t="shared" si="49"/>
        <v>0</v>
      </c>
      <c r="L230" s="48">
        <f t="shared" si="49"/>
        <v>0</v>
      </c>
      <c r="M230" s="48">
        <f t="shared" si="49"/>
        <v>0</v>
      </c>
      <c r="N230" s="48">
        <f t="shared" si="49"/>
        <v>30582619.600000001</v>
      </c>
      <c r="O230" s="48">
        <f t="shared" si="49"/>
        <v>231045062.59999999</v>
      </c>
      <c r="P230" s="191"/>
    </row>
    <row r="231" spans="1:16" s="52" customFormat="1" ht="36.75" customHeight="1" x14ac:dyDescent="0.25">
      <c r="A231" s="38"/>
      <c r="B231" s="38"/>
      <c r="C231" s="81" t="s">
        <v>555</v>
      </c>
      <c r="D231" s="80">
        <f>D235</f>
        <v>693000</v>
      </c>
      <c r="E231" s="80">
        <f t="shared" ref="E231:O231" si="50">E235</f>
        <v>693000</v>
      </c>
      <c r="F231" s="80">
        <f t="shared" si="50"/>
        <v>0</v>
      </c>
      <c r="G231" s="80">
        <f t="shared" si="50"/>
        <v>0</v>
      </c>
      <c r="H231" s="80">
        <f t="shared" si="50"/>
        <v>0</v>
      </c>
      <c r="I231" s="80">
        <f t="shared" si="50"/>
        <v>3307000</v>
      </c>
      <c r="J231" s="80">
        <f t="shared" si="50"/>
        <v>3307000</v>
      </c>
      <c r="K231" s="80">
        <f t="shared" si="50"/>
        <v>0</v>
      </c>
      <c r="L231" s="80">
        <f t="shared" si="50"/>
        <v>0</v>
      </c>
      <c r="M231" s="80">
        <f t="shared" si="50"/>
        <v>0</v>
      </c>
      <c r="N231" s="80">
        <f t="shared" si="50"/>
        <v>3307000</v>
      </c>
      <c r="O231" s="80">
        <f t="shared" si="50"/>
        <v>4000000</v>
      </c>
      <c r="P231" s="191"/>
    </row>
    <row r="232" spans="1:16" s="52" customFormat="1" ht="21.75" customHeight="1" x14ac:dyDescent="0.25">
      <c r="A232" s="38" t="s">
        <v>255</v>
      </c>
      <c r="B232" s="38"/>
      <c r="C232" s="2" t="s">
        <v>300</v>
      </c>
      <c r="D232" s="48">
        <f t="shared" ref="D232:O232" si="51">D233</f>
        <v>100870700</v>
      </c>
      <c r="E232" s="48">
        <f t="shared" si="51"/>
        <v>100870700</v>
      </c>
      <c r="F232" s="48">
        <f t="shared" si="51"/>
        <v>0</v>
      </c>
      <c r="G232" s="48">
        <f t="shared" si="51"/>
        <v>0</v>
      </c>
      <c r="H232" s="48">
        <f t="shared" si="51"/>
        <v>0</v>
      </c>
      <c r="I232" s="48">
        <f t="shared" si="51"/>
        <v>0</v>
      </c>
      <c r="J232" s="48">
        <f t="shared" si="51"/>
        <v>0</v>
      </c>
      <c r="K232" s="48">
        <f t="shared" si="51"/>
        <v>0</v>
      </c>
      <c r="L232" s="48">
        <f t="shared" si="51"/>
        <v>0</v>
      </c>
      <c r="M232" s="48">
        <f t="shared" si="51"/>
        <v>0</v>
      </c>
      <c r="N232" s="48">
        <f t="shared" si="51"/>
        <v>0</v>
      </c>
      <c r="O232" s="48">
        <f t="shared" si="51"/>
        <v>100870700</v>
      </c>
      <c r="P232" s="191"/>
    </row>
    <row r="233" spans="1:16" s="52" customFormat="1" ht="21" customHeight="1" x14ac:dyDescent="0.25">
      <c r="A233" s="37" t="s">
        <v>93</v>
      </c>
      <c r="B233" s="42" t="s">
        <v>46</v>
      </c>
      <c r="C233" s="3" t="s">
        <v>112</v>
      </c>
      <c r="D233" s="49">
        <f>'дод 2'!E305</f>
        <v>100870700</v>
      </c>
      <c r="E233" s="49">
        <f>'дод 2'!F305</f>
        <v>100870700</v>
      </c>
      <c r="F233" s="49">
        <f>'дод 2'!G305</f>
        <v>0</v>
      </c>
      <c r="G233" s="49">
        <f>'дод 2'!H305</f>
        <v>0</v>
      </c>
      <c r="H233" s="49">
        <f>'дод 2'!I305</f>
        <v>0</v>
      </c>
      <c r="I233" s="49">
        <f>'дод 2'!J305</f>
        <v>0</v>
      </c>
      <c r="J233" s="49">
        <f>'дод 2'!K305</f>
        <v>0</v>
      </c>
      <c r="K233" s="49">
        <f>'дод 2'!L305</f>
        <v>0</v>
      </c>
      <c r="L233" s="49">
        <f>'дод 2'!M305</f>
        <v>0</v>
      </c>
      <c r="M233" s="49">
        <f>'дод 2'!N305</f>
        <v>0</v>
      </c>
      <c r="N233" s="49">
        <f>'дод 2'!O305</f>
        <v>0</v>
      </c>
      <c r="O233" s="49">
        <f>'дод 2'!P305</f>
        <v>100870700</v>
      </c>
      <c r="P233" s="191"/>
    </row>
    <row r="234" spans="1:16" s="52" customFormat="1" ht="69" customHeight="1" x14ac:dyDescent="0.25">
      <c r="A234" s="38">
        <v>9300</v>
      </c>
      <c r="B234" s="110"/>
      <c r="C234" s="2" t="s">
        <v>552</v>
      </c>
      <c r="D234" s="48">
        <f>D236</f>
        <v>693000</v>
      </c>
      <c r="E234" s="48">
        <f t="shared" ref="E234:O234" si="52">E236</f>
        <v>693000</v>
      </c>
      <c r="F234" s="48">
        <f t="shared" si="52"/>
        <v>0</v>
      </c>
      <c r="G234" s="48">
        <f t="shared" si="52"/>
        <v>0</v>
      </c>
      <c r="H234" s="48">
        <f t="shared" si="52"/>
        <v>0</v>
      </c>
      <c r="I234" s="48">
        <f t="shared" si="52"/>
        <v>3307000</v>
      </c>
      <c r="J234" s="48">
        <f t="shared" si="52"/>
        <v>3307000</v>
      </c>
      <c r="K234" s="48">
        <f t="shared" si="52"/>
        <v>0</v>
      </c>
      <c r="L234" s="48">
        <f t="shared" si="52"/>
        <v>0</v>
      </c>
      <c r="M234" s="48">
        <f t="shared" si="52"/>
        <v>0</v>
      </c>
      <c r="N234" s="48">
        <f t="shared" si="52"/>
        <v>3307000</v>
      </c>
      <c r="O234" s="48">
        <f t="shared" si="52"/>
        <v>4000000</v>
      </c>
      <c r="P234" s="192">
        <v>100</v>
      </c>
    </row>
    <row r="235" spans="1:16" s="52" customFormat="1" ht="36.75" customHeight="1" x14ac:dyDescent="0.25">
      <c r="A235" s="38"/>
      <c r="B235" s="107"/>
      <c r="C235" s="81" t="s">
        <v>555</v>
      </c>
      <c r="D235" s="80">
        <f>D237</f>
        <v>693000</v>
      </c>
      <c r="E235" s="80">
        <f t="shared" ref="E235:O235" si="53">E237</f>
        <v>693000</v>
      </c>
      <c r="F235" s="80">
        <f t="shared" si="53"/>
        <v>0</v>
      </c>
      <c r="G235" s="80">
        <f t="shared" si="53"/>
        <v>0</v>
      </c>
      <c r="H235" s="80">
        <f t="shared" si="53"/>
        <v>0</v>
      </c>
      <c r="I235" s="80">
        <f t="shared" si="53"/>
        <v>3307000</v>
      </c>
      <c r="J235" s="80">
        <f t="shared" si="53"/>
        <v>3307000</v>
      </c>
      <c r="K235" s="80">
        <f t="shared" si="53"/>
        <v>0</v>
      </c>
      <c r="L235" s="80">
        <f t="shared" si="53"/>
        <v>0</v>
      </c>
      <c r="M235" s="80">
        <f t="shared" si="53"/>
        <v>0</v>
      </c>
      <c r="N235" s="80">
        <f t="shared" si="53"/>
        <v>3307000</v>
      </c>
      <c r="O235" s="80">
        <f t="shared" si="53"/>
        <v>4000000</v>
      </c>
      <c r="P235" s="192"/>
    </row>
    <row r="236" spans="1:16" s="52" customFormat="1" ht="53.25" customHeight="1" x14ac:dyDescent="0.25">
      <c r="A236" s="37">
        <v>9320</v>
      </c>
      <c r="B236" s="107" t="s">
        <v>46</v>
      </c>
      <c r="C236" s="6" t="s">
        <v>553</v>
      </c>
      <c r="D236" s="49">
        <f>'дод 2'!E117</f>
        <v>693000</v>
      </c>
      <c r="E236" s="49">
        <f>'дод 2'!F117</f>
        <v>693000</v>
      </c>
      <c r="F236" s="49">
        <f>'дод 2'!G117</f>
        <v>0</v>
      </c>
      <c r="G236" s="49">
        <f>'дод 2'!H117</f>
        <v>0</v>
      </c>
      <c r="H236" s="49">
        <f>'дод 2'!I117</f>
        <v>0</v>
      </c>
      <c r="I236" s="49">
        <f>'дод 2'!J117</f>
        <v>3307000</v>
      </c>
      <c r="J236" s="49">
        <f>'дод 2'!K117</f>
        <v>3307000</v>
      </c>
      <c r="K236" s="49">
        <f>'дод 2'!L117</f>
        <v>0</v>
      </c>
      <c r="L236" s="49">
        <f>'дод 2'!M117</f>
        <v>0</v>
      </c>
      <c r="M236" s="49">
        <f>'дод 2'!N117</f>
        <v>0</v>
      </c>
      <c r="N236" s="49">
        <f>'дод 2'!O117</f>
        <v>3307000</v>
      </c>
      <c r="O236" s="49">
        <f>'дод 2'!P117</f>
        <v>4000000</v>
      </c>
      <c r="P236" s="192"/>
    </row>
    <row r="237" spans="1:16" s="53" customFormat="1" ht="36.75" customHeight="1" x14ac:dyDescent="0.25">
      <c r="A237" s="82"/>
      <c r="B237" s="109"/>
      <c r="C237" s="91" t="s">
        <v>555</v>
      </c>
      <c r="D237" s="84">
        <f>'дод 2'!E118</f>
        <v>693000</v>
      </c>
      <c r="E237" s="84">
        <f>'дод 2'!F118</f>
        <v>693000</v>
      </c>
      <c r="F237" s="84">
        <f>'дод 2'!G118</f>
        <v>0</v>
      </c>
      <c r="G237" s="84">
        <f>'дод 2'!H118</f>
        <v>0</v>
      </c>
      <c r="H237" s="84">
        <f>'дод 2'!I118</f>
        <v>0</v>
      </c>
      <c r="I237" s="84">
        <f>'дод 2'!J118</f>
        <v>3307000</v>
      </c>
      <c r="J237" s="84">
        <f>'дод 2'!K118</f>
        <v>3307000</v>
      </c>
      <c r="K237" s="84">
        <f>'дод 2'!L118</f>
        <v>0</v>
      </c>
      <c r="L237" s="84">
        <f>'дод 2'!M118</f>
        <v>0</v>
      </c>
      <c r="M237" s="84">
        <f>'дод 2'!N118</f>
        <v>0</v>
      </c>
      <c r="N237" s="84">
        <f>'дод 2'!O118</f>
        <v>3307000</v>
      </c>
      <c r="O237" s="84">
        <f>'дод 2'!P118</f>
        <v>4000000</v>
      </c>
      <c r="P237" s="192"/>
    </row>
    <row r="238" spans="1:16" s="52" customFormat="1" ht="57.75" customHeight="1" x14ac:dyDescent="0.25">
      <c r="A238" s="38" t="s">
        <v>13</v>
      </c>
      <c r="B238" s="110"/>
      <c r="C238" s="2" t="s">
        <v>349</v>
      </c>
      <c r="D238" s="48">
        <f>D239+D240+D241</f>
        <v>96855344</v>
      </c>
      <c r="E238" s="48">
        <f t="shared" ref="E238:O238" si="54">E239+E240+E241</f>
        <v>96855344</v>
      </c>
      <c r="F238" s="48">
        <f t="shared" si="54"/>
        <v>0</v>
      </c>
      <c r="G238" s="48">
        <f t="shared" si="54"/>
        <v>0</v>
      </c>
      <c r="H238" s="48">
        <f t="shared" si="54"/>
        <v>0</v>
      </c>
      <c r="I238" s="48">
        <f t="shared" si="54"/>
        <v>25792619.600000001</v>
      </c>
      <c r="J238" s="48">
        <f t="shared" si="54"/>
        <v>25792619.600000001</v>
      </c>
      <c r="K238" s="48">
        <f t="shared" si="54"/>
        <v>0</v>
      </c>
      <c r="L238" s="48">
        <f t="shared" si="54"/>
        <v>0</v>
      </c>
      <c r="M238" s="48">
        <f t="shared" si="54"/>
        <v>0</v>
      </c>
      <c r="N238" s="48">
        <f t="shared" si="54"/>
        <v>25792619.600000001</v>
      </c>
      <c r="O238" s="48">
        <f t="shared" si="54"/>
        <v>122647963.59999999</v>
      </c>
      <c r="P238" s="192"/>
    </row>
    <row r="239" spans="1:16" s="52" customFormat="1" ht="78.75" x14ac:dyDescent="0.25">
      <c r="A239" s="97">
        <v>9730</v>
      </c>
      <c r="B239" s="60" t="s">
        <v>46</v>
      </c>
      <c r="C239" s="61" t="s">
        <v>592</v>
      </c>
      <c r="D239" s="49">
        <f>'дод 2'!E250</f>
        <v>25000000</v>
      </c>
      <c r="E239" s="49">
        <f>'дод 2'!F250</f>
        <v>25000000</v>
      </c>
      <c r="F239" s="49">
        <f>'дод 2'!G250</f>
        <v>0</v>
      </c>
      <c r="G239" s="49">
        <f>'дод 2'!H250</f>
        <v>0</v>
      </c>
      <c r="H239" s="49">
        <f>'дод 2'!I250</f>
        <v>0</v>
      </c>
      <c r="I239" s="49">
        <f>'дод 2'!J250</f>
        <v>0</v>
      </c>
      <c r="J239" s="49">
        <f>'дод 2'!K250</f>
        <v>0</v>
      </c>
      <c r="K239" s="49">
        <f>'дод 2'!L250</f>
        <v>0</v>
      </c>
      <c r="L239" s="49">
        <f>'дод 2'!M250</f>
        <v>0</v>
      </c>
      <c r="M239" s="49">
        <f>'дод 2'!N250</f>
        <v>0</v>
      </c>
      <c r="N239" s="49">
        <f>'дод 2'!O250</f>
        <v>0</v>
      </c>
      <c r="O239" s="49">
        <f>'дод 2'!P250</f>
        <v>25000000</v>
      </c>
      <c r="P239" s="192"/>
    </row>
    <row r="240" spans="1:16" ht="31.5" x14ac:dyDescent="0.25">
      <c r="A240" s="37">
        <v>9750</v>
      </c>
      <c r="B240" s="42" t="s">
        <v>46</v>
      </c>
      <c r="C240" s="61" t="s">
        <v>542</v>
      </c>
      <c r="D240" s="49">
        <f>'дод 2'!E274</f>
        <v>0</v>
      </c>
      <c r="E240" s="49">
        <f>'дод 2'!F274</f>
        <v>0</v>
      </c>
      <c r="F240" s="49">
        <f>'дод 2'!G274</f>
        <v>0</v>
      </c>
      <c r="G240" s="49">
        <f>'дод 2'!H274</f>
        <v>0</v>
      </c>
      <c r="H240" s="49">
        <f>'дод 2'!I274</f>
        <v>0</v>
      </c>
      <c r="I240" s="49">
        <f>'дод 2'!J274</f>
        <v>86000</v>
      </c>
      <c r="J240" s="49">
        <f>'дод 2'!K274</f>
        <v>86000</v>
      </c>
      <c r="K240" s="49">
        <f>'дод 2'!L274</f>
        <v>0</v>
      </c>
      <c r="L240" s="49">
        <f>'дод 2'!M274</f>
        <v>0</v>
      </c>
      <c r="M240" s="49">
        <f>'дод 2'!N274</f>
        <v>0</v>
      </c>
      <c r="N240" s="49">
        <f>'дод 2'!O274</f>
        <v>86000</v>
      </c>
      <c r="O240" s="49">
        <f>'дод 2'!P274</f>
        <v>86000</v>
      </c>
      <c r="P240" s="192"/>
    </row>
    <row r="241" spans="1:513" s="52" customFormat="1" ht="22.5" customHeight="1" x14ac:dyDescent="0.25">
      <c r="A241" s="37" t="s">
        <v>14</v>
      </c>
      <c r="B241" s="42" t="s">
        <v>46</v>
      </c>
      <c r="C241" s="6" t="s">
        <v>358</v>
      </c>
      <c r="D241" s="49">
        <f>'дод 2'!E119+'дод 2'!E154+'дод 2'!E195+'дод 2'!E251</f>
        <v>71855344</v>
      </c>
      <c r="E241" s="49">
        <f>'дод 2'!F119+'дод 2'!F154+'дод 2'!F195+'дод 2'!F251</f>
        <v>71855344</v>
      </c>
      <c r="F241" s="49">
        <f>'дод 2'!G119+'дод 2'!G154+'дод 2'!G195+'дод 2'!G251</f>
        <v>0</v>
      </c>
      <c r="G241" s="49">
        <f>'дод 2'!H119+'дод 2'!H154+'дод 2'!H195+'дод 2'!H251</f>
        <v>0</v>
      </c>
      <c r="H241" s="49">
        <f>'дод 2'!I119+'дод 2'!I154+'дод 2'!I195+'дод 2'!I251</f>
        <v>0</v>
      </c>
      <c r="I241" s="49">
        <f>'дод 2'!J119+'дод 2'!J154+'дод 2'!J195+'дод 2'!J251</f>
        <v>25706619.600000001</v>
      </c>
      <c r="J241" s="49">
        <f>'дод 2'!K119+'дод 2'!K154+'дод 2'!K195+'дод 2'!K251</f>
        <v>25706619.600000001</v>
      </c>
      <c r="K241" s="49">
        <f>'дод 2'!L119+'дод 2'!L154+'дод 2'!L195+'дод 2'!L251</f>
        <v>0</v>
      </c>
      <c r="L241" s="49">
        <f>'дод 2'!M119+'дод 2'!M154+'дод 2'!M195+'дод 2'!M251</f>
        <v>0</v>
      </c>
      <c r="M241" s="49">
        <f>'дод 2'!N119+'дод 2'!N154+'дод 2'!N195+'дод 2'!N251</f>
        <v>0</v>
      </c>
      <c r="N241" s="49">
        <f>'дод 2'!O119+'дод 2'!O154+'дод 2'!O195+'дод 2'!O251</f>
        <v>25706619.600000001</v>
      </c>
      <c r="O241" s="49">
        <f>'дод 2'!P119+'дод 2'!P154+'дод 2'!P195+'дод 2'!P251</f>
        <v>97561963.599999994</v>
      </c>
      <c r="P241" s="192"/>
    </row>
    <row r="242" spans="1:513" s="52" customFormat="1" ht="51" customHeight="1" x14ac:dyDescent="0.25">
      <c r="A242" s="38">
        <v>9800</v>
      </c>
      <c r="B242" s="39" t="s">
        <v>46</v>
      </c>
      <c r="C242" s="9" t="s">
        <v>369</v>
      </c>
      <c r="D242" s="48">
        <f>'дод 2'!E120+'дод 2'!E61</f>
        <v>2043399</v>
      </c>
      <c r="E242" s="48">
        <f>'дод 2'!F120+'дод 2'!F61</f>
        <v>2043399</v>
      </c>
      <c r="F242" s="48">
        <f>'дод 2'!G120+'дод 2'!G61</f>
        <v>0</v>
      </c>
      <c r="G242" s="48">
        <f>'дод 2'!H120+'дод 2'!H61</f>
        <v>0</v>
      </c>
      <c r="H242" s="48">
        <f>'дод 2'!I120+'дод 2'!I61</f>
        <v>0</v>
      </c>
      <c r="I242" s="48">
        <f>'дод 2'!J120+'дод 2'!J61</f>
        <v>1483000</v>
      </c>
      <c r="J242" s="48">
        <f>'дод 2'!K120+'дод 2'!K61</f>
        <v>1483000</v>
      </c>
      <c r="K242" s="48">
        <f>'дод 2'!L120+'дод 2'!L61</f>
        <v>0</v>
      </c>
      <c r="L242" s="48">
        <f>'дод 2'!M120+'дод 2'!M61</f>
        <v>0</v>
      </c>
      <c r="M242" s="48">
        <f>'дод 2'!N120+'дод 2'!N61</f>
        <v>0</v>
      </c>
      <c r="N242" s="48">
        <f>'дод 2'!O120+'дод 2'!O61</f>
        <v>1483000</v>
      </c>
      <c r="O242" s="48">
        <f>'дод 2'!P120+'дод 2'!P61</f>
        <v>3526399</v>
      </c>
      <c r="P242" s="192"/>
    </row>
    <row r="243" spans="1:513" s="52" customFormat="1" ht="18.75" customHeight="1" x14ac:dyDescent="0.25">
      <c r="A243" s="7"/>
      <c r="B243" s="7"/>
      <c r="C243" s="2" t="s">
        <v>410</v>
      </c>
      <c r="D243" s="48">
        <f>D18+D25+D75+D96+D137+D142+D151+D163+D214+D230</f>
        <v>2296845778.4499998</v>
      </c>
      <c r="E243" s="48">
        <f t="shared" ref="E243:O243" si="55">E18+E25+E75+E96+E137+E142+E151+E163+E214+E230</f>
        <v>2196977880.5299997</v>
      </c>
      <c r="F243" s="48">
        <f t="shared" si="55"/>
        <v>1078837255</v>
      </c>
      <c r="G243" s="48">
        <f t="shared" si="55"/>
        <v>107607651</v>
      </c>
      <c r="H243" s="48">
        <f t="shared" si="55"/>
        <v>85841154.480000004</v>
      </c>
      <c r="I243" s="48">
        <f t="shared" si="55"/>
        <v>713726839.55999994</v>
      </c>
      <c r="J243" s="48">
        <f t="shared" si="55"/>
        <v>648653545.03999996</v>
      </c>
      <c r="K243" s="48">
        <f t="shared" si="55"/>
        <v>47765901.869999997</v>
      </c>
      <c r="L243" s="48">
        <f t="shared" si="55"/>
        <v>6033355</v>
      </c>
      <c r="M243" s="48">
        <f t="shared" si="55"/>
        <v>266522</v>
      </c>
      <c r="N243" s="48">
        <f t="shared" si="55"/>
        <v>665960937.68999994</v>
      </c>
      <c r="O243" s="48">
        <f t="shared" si="55"/>
        <v>3010572618.0099998</v>
      </c>
      <c r="P243" s="192"/>
    </row>
    <row r="244" spans="1:513" s="53" customFormat="1" ht="18" customHeight="1" x14ac:dyDescent="0.25">
      <c r="A244" s="90"/>
      <c r="B244" s="90"/>
      <c r="C244" s="79" t="s">
        <v>403</v>
      </c>
      <c r="D244" s="80">
        <f>D26+D33+D187+D231+D170</f>
        <v>485377355.60000002</v>
      </c>
      <c r="E244" s="80">
        <f t="shared" ref="E244:O244" si="56">E26+E33+E187+E231+E170</f>
        <v>485377355.60000002</v>
      </c>
      <c r="F244" s="80">
        <f t="shared" si="56"/>
        <v>396066000</v>
      </c>
      <c r="G244" s="80">
        <f t="shared" si="56"/>
        <v>0</v>
      </c>
      <c r="H244" s="80">
        <f t="shared" si="56"/>
        <v>0</v>
      </c>
      <c r="I244" s="80">
        <f t="shared" si="56"/>
        <v>14076649.18</v>
      </c>
      <c r="J244" s="80">
        <f t="shared" si="56"/>
        <v>14076649.18</v>
      </c>
      <c r="K244" s="80">
        <f t="shared" si="56"/>
        <v>0</v>
      </c>
      <c r="L244" s="80">
        <f t="shared" si="56"/>
        <v>0</v>
      </c>
      <c r="M244" s="80">
        <f t="shared" si="56"/>
        <v>0</v>
      </c>
      <c r="N244" s="80">
        <f t="shared" si="56"/>
        <v>14076649.18</v>
      </c>
      <c r="O244" s="80">
        <f t="shared" si="56"/>
        <v>499454004.77999997</v>
      </c>
      <c r="P244" s="192"/>
    </row>
    <row r="245" spans="1:513" s="53" customFormat="1" ht="31.5" x14ac:dyDescent="0.25">
      <c r="A245" s="90"/>
      <c r="B245" s="90"/>
      <c r="C245" s="79" t="s">
        <v>404</v>
      </c>
      <c r="D245" s="80">
        <f>D27+D28+D30+D99+D100+D101+D220+D32+D78+D143+D34+D35</f>
        <v>30695366.240000002</v>
      </c>
      <c r="E245" s="80">
        <f t="shared" ref="E245:O245" si="57">E27+E28+E30+E99+E100+E101+E220+E32+E78+E143+E34+E35</f>
        <v>30695366.240000002</v>
      </c>
      <c r="F245" s="80">
        <f t="shared" si="57"/>
        <v>4133559</v>
      </c>
      <c r="G245" s="80">
        <f t="shared" si="57"/>
        <v>0</v>
      </c>
      <c r="H245" s="80">
        <f t="shared" si="57"/>
        <v>0</v>
      </c>
      <c r="I245" s="80">
        <f t="shared" si="57"/>
        <v>7933192.0499999998</v>
      </c>
      <c r="J245" s="80">
        <f t="shared" si="57"/>
        <v>7933192.0499999998</v>
      </c>
      <c r="K245" s="80">
        <f t="shared" si="57"/>
        <v>0</v>
      </c>
      <c r="L245" s="80">
        <f t="shared" si="57"/>
        <v>0</v>
      </c>
      <c r="M245" s="80">
        <f t="shared" si="57"/>
        <v>0</v>
      </c>
      <c r="N245" s="80">
        <f t="shared" si="57"/>
        <v>7933192.0499999998</v>
      </c>
      <c r="O245" s="80">
        <f t="shared" si="57"/>
        <v>38628558.289999999</v>
      </c>
      <c r="P245" s="192"/>
    </row>
    <row r="246" spans="1:513" s="53" customFormat="1" ht="23.25" customHeight="1" x14ac:dyDescent="0.25">
      <c r="A246" s="75"/>
      <c r="B246" s="75"/>
      <c r="C246" s="87" t="s">
        <v>421</v>
      </c>
      <c r="D246" s="80">
        <f>D166</f>
        <v>0</v>
      </c>
      <c r="E246" s="80">
        <f t="shared" ref="E246:O246" si="58">E166</f>
        <v>0</v>
      </c>
      <c r="F246" s="80">
        <f t="shared" si="58"/>
        <v>0</v>
      </c>
      <c r="G246" s="80">
        <f t="shared" si="58"/>
        <v>0</v>
      </c>
      <c r="H246" s="80">
        <f t="shared" si="58"/>
        <v>0</v>
      </c>
      <c r="I246" s="80">
        <f t="shared" si="58"/>
        <v>127771665.12</v>
      </c>
      <c r="J246" s="80">
        <f t="shared" si="58"/>
        <v>127771665.12</v>
      </c>
      <c r="K246" s="80">
        <f t="shared" si="58"/>
        <v>0</v>
      </c>
      <c r="L246" s="80">
        <f t="shared" si="58"/>
        <v>0</v>
      </c>
      <c r="M246" s="80">
        <f t="shared" si="58"/>
        <v>0</v>
      </c>
      <c r="N246" s="80">
        <f t="shared" si="58"/>
        <v>127771665.12</v>
      </c>
      <c r="O246" s="80">
        <f t="shared" si="58"/>
        <v>127771665.12</v>
      </c>
      <c r="P246" s="192"/>
    </row>
    <row r="247" spans="1:513" s="52" customFormat="1" ht="30.75" customHeight="1" x14ac:dyDescent="0.25">
      <c r="A247" s="67"/>
      <c r="B247" s="67"/>
      <c r="C247" s="68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192"/>
    </row>
    <row r="248" spans="1:513" s="52" customFormat="1" ht="33.75" customHeight="1" x14ac:dyDescent="0.25">
      <c r="A248" s="67"/>
      <c r="B248" s="67"/>
      <c r="C248" s="68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192"/>
    </row>
    <row r="249" spans="1:513" s="52" customFormat="1" ht="31.5" customHeight="1" x14ac:dyDescent="0.55000000000000004">
      <c r="A249" s="67"/>
      <c r="B249" s="67"/>
      <c r="C249" s="68"/>
      <c r="D249" s="69"/>
      <c r="E249" s="69"/>
      <c r="F249" s="69"/>
      <c r="G249" s="69"/>
      <c r="H249" s="69"/>
      <c r="I249" s="69"/>
      <c r="J249" s="149"/>
      <c r="K249" s="69"/>
      <c r="L249" s="69"/>
      <c r="M249" s="69"/>
      <c r="N249" s="69"/>
      <c r="O249" s="69"/>
      <c r="P249" s="192"/>
    </row>
    <row r="250" spans="1:513" s="52" customFormat="1" ht="37.5" customHeight="1" x14ac:dyDescent="0.55000000000000004">
      <c r="A250" s="67"/>
      <c r="B250" s="67"/>
      <c r="C250" s="68"/>
      <c r="D250" s="69"/>
      <c r="E250" s="69"/>
      <c r="F250" s="69"/>
      <c r="G250" s="69"/>
      <c r="H250" s="69"/>
      <c r="I250" s="69"/>
      <c r="J250" s="149"/>
      <c r="K250" s="69"/>
      <c r="L250" s="69"/>
      <c r="M250" s="69"/>
      <c r="N250" s="69"/>
      <c r="O250" s="69"/>
      <c r="P250" s="192"/>
    </row>
    <row r="251" spans="1:513" s="178" customFormat="1" ht="47.25" customHeight="1" x14ac:dyDescent="0.45">
      <c r="A251" s="172" t="s">
        <v>476</v>
      </c>
      <c r="B251" s="173"/>
      <c r="C251" s="174"/>
      <c r="D251" s="175"/>
      <c r="E251" s="175"/>
      <c r="F251" s="175"/>
      <c r="G251" s="175"/>
      <c r="H251" s="175"/>
      <c r="I251" s="175"/>
      <c r="J251" s="152"/>
      <c r="K251" s="175"/>
      <c r="L251" s="175" t="s">
        <v>477</v>
      </c>
      <c r="M251" s="176"/>
      <c r="N251" s="176"/>
      <c r="O251" s="176"/>
      <c r="P251" s="192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177"/>
      <c r="AJ251" s="177"/>
      <c r="AK251" s="177"/>
      <c r="AL251" s="177"/>
      <c r="AM251" s="177"/>
      <c r="AN251" s="177"/>
      <c r="AO251" s="177"/>
      <c r="AP251" s="177"/>
      <c r="AQ251" s="177"/>
      <c r="AR251" s="177"/>
      <c r="AS251" s="177"/>
      <c r="AT251" s="177"/>
      <c r="AU251" s="177"/>
      <c r="AV251" s="177"/>
      <c r="AW251" s="177"/>
      <c r="AX251" s="177"/>
      <c r="AY251" s="177"/>
      <c r="AZ251" s="177"/>
      <c r="BA251" s="177"/>
      <c r="BB251" s="177"/>
      <c r="BC251" s="177"/>
      <c r="BD251" s="177"/>
      <c r="BE251" s="177"/>
      <c r="BF251" s="177"/>
      <c r="BG251" s="177"/>
      <c r="BH251" s="177"/>
      <c r="BI251" s="177"/>
      <c r="BJ251" s="177"/>
      <c r="BK251" s="177"/>
      <c r="BL251" s="177"/>
      <c r="BM251" s="177"/>
      <c r="BN251" s="177"/>
      <c r="BO251" s="177"/>
      <c r="BP251" s="177"/>
      <c r="BQ251" s="177"/>
      <c r="BR251" s="177"/>
      <c r="BS251" s="177"/>
      <c r="BT251" s="177"/>
      <c r="BU251" s="177"/>
      <c r="BV251" s="177"/>
      <c r="BW251" s="177"/>
      <c r="BX251" s="177"/>
      <c r="BY251" s="177"/>
      <c r="BZ251" s="177"/>
      <c r="CA251" s="177"/>
      <c r="CB251" s="177"/>
      <c r="CC251" s="177"/>
      <c r="CD251" s="177"/>
      <c r="CE251" s="177"/>
      <c r="CF251" s="177"/>
      <c r="CG251" s="177"/>
      <c r="CH251" s="177"/>
      <c r="CI251" s="177"/>
      <c r="CJ251" s="177"/>
      <c r="CK251" s="177"/>
      <c r="CL251" s="177"/>
      <c r="CM251" s="177"/>
      <c r="CN251" s="177"/>
      <c r="CO251" s="177"/>
      <c r="CP251" s="177"/>
      <c r="CQ251" s="177"/>
      <c r="CR251" s="177"/>
      <c r="CS251" s="177"/>
      <c r="CT251" s="177"/>
      <c r="CU251" s="177"/>
      <c r="CV251" s="177"/>
      <c r="CW251" s="177"/>
      <c r="CX251" s="177"/>
      <c r="CY251" s="177"/>
      <c r="CZ251" s="177"/>
      <c r="DA251" s="177"/>
      <c r="DB251" s="177"/>
      <c r="DC251" s="177"/>
      <c r="DD251" s="177"/>
      <c r="DE251" s="177"/>
      <c r="DF251" s="177"/>
      <c r="DG251" s="177"/>
      <c r="DH251" s="177"/>
      <c r="DI251" s="177"/>
      <c r="DJ251" s="177"/>
      <c r="DK251" s="177"/>
      <c r="DL251" s="177"/>
      <c r="DM251" s="177"/>
      <c r="DN251" s="177"/>
      <c r="DO251" s="177"/>
      <c r="DP251" s="177"/>
      <c r="DQ251" s="177"/>
      <c r="DR251" s="177"/>
      <c r="DS251" s="177"/>
      <c r="DT251" s="177"/>
      <c r="DU251" s="177"/>
      <c r="DV251" s="177"/>
      <c r="DW251" s="177"/>
      <c r="DX251" s="177"/>
      <c r="DY251" s="177"/>
      <c r="DZ251" s="177"/>
      <c r="EA251" s="177"/>
      <c r="EB251" s="177"/>
      <c r="EC251" s="177"/>
      <c r="ED251" s="177"/>
      <c r="EE251" s="177"/>
      <c r="EF251" s="177"/>
      <c r="EG251" s="177"/>
      <c r="EH251" s="177"/>
      <c r="EI251" s="177"/>
      <c r="EJ251" s="177"/>
      <c r="EK251" s="177"/>
      <c r="EL251" s="177"/>
      <c r="EM251" s="177"/>
      <c r="EN251" s="177"/>
      <c r="EO251" s="177"/>
      <c r="EP251" s="177"/>
      <c r="EQ251" s="177"/>
      <c r="ER251" s="177"/>
      <c r="ES251" s="177"/>
      <c r="ET251" s="177"/>
      <c r="EU251" s="177"/>
      <c r="EV251" s="177"/>
      <c r="EW251" s="177"/>
      <c r="EX251" s="177"/>
      <c r="EY251" s="177"/>
      <c r="EZ251" s="177"/>
      <c r="FA251" s="177"/>
      <c r="FB251" s="177"/>
      <c r="FC251" s="177"/>
      <c r="FD251" s="177"/>
      <c r="FE251" s="177"/>
      <c r="FF251" s="177"/>
      <c r="FG251" s="177"/>
      <c r="FH251" s="177"/>
      <c r="FI251" s="177"/>
      <c r="FJ251" s="177"/>
      <c r="FK251" s="177"/>
      <c r="FL251" s="177"/>
      <c r="FM251" s="177"/>
      <c r="FN251" s="177"/>
      <c r="FO251" s="177"/>
      <c r="FP251" s="177"/>
      <c r="FQ251" s="177"/>
      <c r="FR251" s="177"/>
      <c r="FS251" s="177"/>
      <c r="FT251" s="177"/>
      <c r="FU251" s="177"/>
      <c r="FV251" s="177"/>
      <c r="FW251" s="177"/>
      <c r="FX251" s="177"/>
      <c r="FY251" s="177"/>
      <c r="FZ251" s="177"/>
      <c r="GA251" s="177"/>
      <c r="GB251" s="177"/>
      <c r="GC251" s="177"/>
      <c r="GD251" s="177"/>
      <c r="GE251" s="177"/>
      <c r="GF251" s="177"/>
      <c r="GG251" s="177"/>
      <c r="GH251" s="177"/>
      <c r="GI251" s="177"/>
      <c r="GJ251" s="177"/>
      <c r="GK251" s="177"/>
      <c r="GL251" s="177"/>
      <c r="GM251" s="177"/>
      <c r="GN251" s="177"/>
      <c r="GO251" s="177"/>
      <c r="GP251" s="177"/>
      <c r="GQ251" s="177"/>
      <c r="GR251" s="177"/>
      <c r="GS251" s="177"/>
      <c r="GT251" s="177"/>
      <c r="GU251" s="177"/>
      <c r="GV251" s="177"/>
      <c r="GW251" s="177"/>
      <c r="GX251" s="177"/>
      <c r="GY251" s="177"/>
      <c r="GZ251" s="177"/>
      <c r="HA251" s="177"/>
      <c r="HB251" s="177"/>
      <c r="HC251" s="177"/>
      <c r="HD251" s="177"/>
      <c r="HE251" s="177"/>
      <c r="HF251" s="177"/>
      <c r="HG251" s="177"/>
      <c r="HH251" s="177"/>
      <c r="HI251" s="177"/>
      <c r="HJ251" s="177"/>
      <c r="HK251" s="177"/>
      <c r="HL251" s="177"/>
      <c r="HM251" s="177"/>
      <c r="HN251" s="177"/>
      <c r="HO251" s="177"/>
      <c r="HP251" s="177"/>
      <c r="HQ251" s="177"/>
      <c r="HR251" s="177"/>
      <c r="HS251" s="177"/>
      <c r="HT251" s="177"/>
      <c r="HU251" s="177"/>
      <c r="HV251" s="177"/>
      <c r="HW251" s="177"/>
      <c r="HX251" s="177"/>
      <c r="HY251" s="177"/>
      <c r="HZ251" s="177"/>
      <c r="IA251" s="177"/>
      <c r="IB251" s="177"/>
      <c r="IC251" s="177"/>
      <c r="ID251" s="177"/>
      <c r="IE251" s="177"/>
      <c r="IF251" s="177"/>
      <c r="IG251" s="177"/>
      <c r="IH251" s="177"/>
      <c r="II251" s="177"/>
      <c r="IJ251" s="177"/>
      <c r="IK251" s="177"/>
      <c r="IL251" s="177"/>
      <c r="IM251" s="177"/>
      <c r="IN251" s="177"/>
      <c r="IO251" s="177"/>
      <c r="IP251" s="177"/>
      <c r="IQ251" s="177"/>
      <c r="IR251" s="177"/>
      <c r="IS251" s="177"/>
      <c r="IT251" s="177"/>
      <c r="IU251" s="177"/>
      <c r="IV251" s="177"/>
      <c r="IW251" s="177"/>
      <c r="IX251" s="177"/>
      <c r="IY251" s="177"/>
      <c r="IZ251" s="177"/>
      <c r="JA251" s="177"/>
      <c r="JB251" s="177"/>
      <c r="JC251" s="177"/>
      <c r="JD251" s="177"/>
      <c r="JE251" s="177"/>
      <c r="JF251" s="177"/>
      <c r="JG251" s="177"/>
      <c r="JH251" s="177"/>
      <c r="JI251" s="177"/>
      <c r="JJ251" s="177"/>
      <c r="JK251" s="177"/>
      <c r="JL251" s="177"/>
      <c r="JM251" s="177"/>
      <c r="JN251" s="177"/>
      <c r="JO251" s="177"/>
      <c r="JP251" s="177"/>
      <c r="JQ251" s="177"/>
      <c r="JR251" s="177"/>
      <c r="JS251" s="177"/>
      <c r="JT251" s="177"/>
      <c r="JU251" s="177"/>
      <c r="JV251" s="177"/>
      <c r="JW251" s="177"/>
      <c r="JX251" s="177"/>
      <c r="JY251" s="177"/>
      <c r="JZ251" s="177"/>
      <c r="KA251" s="177"/>
      <c r="KB251" s="177"/>
      <c r="KC251" s="177"/>
      <c r="KD251" s="177"/>
      <c r="KE251" s="177"/>
      <c r="KF251" s="177"/>
      <c r="KG251" s="177"/>
      <c r="KH251" s="177"/>
      <c r="KI251" s="177"/>
      <c r="KJ251" s="177"/>
      <c r="KK251" s="177"/>
      <c r="KL251" s="177"/>
      <c r="KM251" s="177"/>
      <c r="KN251" s="177"/>
      <c r="KO251" s="177"/>
      <c r="KP251" s="177"/>
      <c r="KQ251" s="177"/>
      <c r="KR251" s="177"/>
      <c r="KS251" s="177"/>
      <c r="KT251" s="177"/>
      <c r="KU251" s="177"/>
      <c r="KV251" s="177"/>
      <c r="KW251" s="177"/>
      <c r="KX251" s="177"/>
      <c r="KY251" s="177"/>
      <c r="KZ251" s="177"/>
      <c r="LA251" s="177"/>
      <c r="LB251" s="177"/>
      <c r="LC251" s="177"/>
      <c r="LD251" s="177"/>
      <c r="LE251" s="177"/>
      <c r="LF251" s="177"/>
      <c r="LG251" s="177"/>
      <c r="LH251" s="177"/>
      <c r="LI251" s="177"/>
      <c r="LJ251" s="177"/>
      <c r="LK251" s="177"/>
      <c r="LL251" s="177"/>
      <c r="LM251" s="177"/>
      <c r="LN251" s="177"/>
      <c r="LO251" s="177"/>
      <c r="LP251" s="177"/>
      <c r="LQ251" s="177"/>
      <c r="LR251" s="177"/>
      <c r="LS251" s="177"/>
      <c r="LT251" s="177"/>
      <c r="LU251" s="177"/>
      <c r="LV251" s="177"/>
      <c r="LW251" s="177"/>
      <c r="LX251" s="177"/>
      <c r="LY251" s="177"/>
      <c r="LZ251" s="177"/>
      <c r="MA251" s="177"/>
      <c r="MB251" s="177"/>
      <c r="MC251" s="177"/>
      <c r="MD251" s="177"/>
      <c r="ME251" s="177"/>
      <c r="MF251" s="177"/>
      <c r="MG251" s="177"/>
      <c r="MH251" s="177"/>
      <c r="MI251" s="177"/>
      <c r="MJ251" s="177"/>
      <c r="MK251" s="177"/>
      <c r="ML251" s="177"/>
      <c r="MM251" s="177"/>
      <c r="MN251" s="177"/>
      <c r="MO251" s="177"/>
      <c r="MP251" s="177"/>
      <c r="MQ251" s="177"/>
      <c r="MR251" s="177"/>
      <c r="MS251" s="177"/>
      <c r="MT251" s="177"/>
      <c r="MU251" s="177"/>
      <c r="MV251" s="177"/>
      <c r="MW251" s="177"/>
      <c r="MX251" s="177"/>
      <c r="MY251" s="177"/>
      <c r="MZ251" s="177"/>
      <c r="NA251" s="177"/>
      <c r="NB251" s="177"/>
      <c r="NC251" s="177"/>
      <c r="ND251" s="177"/>
      <c r="NE251" s="177"/>
      <c r="NF251" s="177"/>
      <c r="NG251" s="177"/>
      <c r="NH251" s="177"/>
      <c r="NI251" s="177"/>
      <c r="NJ251" s="177"/>
      <c r="NK251" s="177"/>
      <c r="NL251" s="177"/>
      <c r="NM251" s="177"/>
      <c r="NN251" s="177"/>
      <c r="NO251" s="177"/>
      <c r="NP251" s="177"/>
      <c r="NQ251" s="177"/>
      <c r="NR251" s="177"/>
      <c r="NS251" s="177"/>
      <c r="NT251" s="177"/>
      <c r="NU251" s="177"/>
      <c r="NV251" s="177"/>
      <c r="NW251" s="177"/>
      <c r="NX251" s="177"/>
      <c r="NY251" s="177"/>
      <c r="NZ251" s="177"/>
      <c r="OA251" s="177"/>
      <c r="OB251" s="177"/>
      <c r="OC251" s="177"/>
      <c r="OD251" s="177"/>
      <c r="OE251" s="177"/>
      <c r="OF251" s="177"/>
      <c r="OG251" s="177"/>
      <c r="OH251" s="177"/>
      <c r="OI251" s="177"/>
      <c r="OJ251" s="177"/>
      <c r="OK251" s="177"/>
      <c r="OL251" s="177"/>
      <c r="OM251" s="177"/>
      <c r="ON251" s="177"/>
      <c r="OO251" s="177"/>
      <c r="OP251" s="177"/>
      <c r="OQ251" s="177"/>
      <c r="OR251" s="177"/>
      <c r="OS251" s="177"/>
      <c r="OT251" s="177"/>
      <c r="OU251" s="177"/>
      <c r="OV251" s="177"/>
      <c r="OW251" s="177"/>
      <c r="OX251" s="177"/>
      <c r="OY251" s="177"/>
      <c r="OZ251" s="177"/>
      <c r="PA251" s="177"/>
      <c r="PB251" s="177"/>
      <c r="PC251" s="177"/>
      <c r="PD251" s="177"/>
      <c r="PE251" s="177"/>
      <c r="PF251" s="177"/>
      <c r="PG251" s="177"/>
      <c r="PH251" s="177"/>
      <c r="PI251" s="177"/>
      <c r="PJ251" s="177"/>
      <c r="PK251" s="177"/>
      <c r="PL251" s="177"/>
      <c r="PM251" s="177"/>
      <c r="PN251" s="177"/>
      <c r="PO251" s="177"/>
      <c r="PP251" s="177"/>
      <c r="PQ251" s="177"/>
      <c r="PR251" s="177"/>
      <c r="PS251" s="177"/>
      <c r="PT251" s="177"/>
      <c r="PU251" s="177"/>
      <c r="PV251" s="177"/>
      <c r="PW251" s="177"/>
      <c r="PX251" s="177"/>
      <c r="PY251" s="177"/>
      <c r="PZ251" s="177"/>
      <c r="QA251" s="177"/>
      <c r="QB251" s="177"/>
      <c r="QC251" s="177"/>
      <c r="QD251" s="177"/>
      <c r="QE251" s="177"/>
      <c r="QF251" s="177"/>
      <c r="QG251" s="177"/>
      <c r="QH251" s="177"/>
      <c r="QI251" s="177"/>
      <c r="QJ251" s="177"/>
      <c r="QK251" s="177"/>
      <c r="QL251" s="177"/>
      <c r="QM251" s="177"/>
      <c r="QN251" s="177"/>
      <c r="QO251" s="177"/>
      <c r="QP251" s="177"/>
      <c r="QQ251" s="177"/>
      <c r="QR251" s="177"/>
      <c r="QS251" s="177"/>
      <c r="QT251" s="177"/>
      <c r="QU251" s="177"/>
      <c r="QV251" s="177"/>
      <c r="QW251" s="177"/>
      <c r="QX251" s="177"/>
      <c r="QY251" s="177"/>
      <c r="QZ251" s="177"/>
      <c r="RA251" s="177"/>
      <c r="RB251" s="177"/>
      <c r="RC251" s="177"/>
      <c r="RD251" s="177"/>
      <c r="RE251" s="177"/>
      <c r="RF251" s="177"/>
      <c r="RG251" s="177"/>
      <c r="RH251" s="177"/>
      <c r="RI251" s="177"/>
      <c r="RJ251" s="177"/>
      <c r="RK251" s="177"/>
      <c r="RL251" s="177"/>
      <c r="RM251" s="177"/>
      <c r="RN251" s="177"/>
      <c r="RO251" s="177"/>
      <c r="RP251" s="177"/>
      <c r="RQ251" s="177"/>
      <c r="RR251" s="177"/>
      <c r="RS251" s="177"/>
      <c r="RT251" s="177"/>
      <c r="RU251" s="177"/>
      <c r="RV251" s="177"/>
      <c r="RW251" s="177"/>
      <c r="RX251" s="177"/>
      <c r="RY251" s="177"/>
      <c r="RZ251" s="177"/>
      <c r="SA251" s="177"/>
      <c r="SB251" s="177"/>
      <c r="SC251" s="177"/>
      <c r="SD251" s="177"/>
      <c r="SE251" s="177"/>
      <c r="SF251" s="177"/>
      <c r="SG251" s="177"/>
      <c r="SH251" s="177"/>
      <c r="SI251" s="177"/>
      <c r="SJ251" s="177"/>
      <c r="SK251" s="177"/>
      <c r="SL251" s="177"/>
      <c r="SM251" s="177"/>
      <c r="SN251" s="177"/>
      <c r="SO251" s="177"/>
      <c r="SP251" s="177"/>
      <c r="SQ251" s="177"/>
      <c r="SR251" s="177"/>
      <c r="SS251" s="177"/>
    </row>
    <row r="252" spans="1:513" s="171" customFormat="1" ht="30" customHeight="1" x14ac:dyDescent="0.3">
      <c r="A252" s="168"/>
      <c r="B252" s="169"/>
      <c r="C252" s="169"/>
      <c r="D252" s="170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92"/>
    </row>
    <row r="253" spans="1:513" s="135" customFormat="1" ht="26.25" x14ac:dyDescent="0.4">
      <c r="A253" s="166" t="s">
        <v>478</v>
      </c>
      <c r="B253" s="166"/>
      <c r="C253" s="166"/>
      <c r="D253" s="166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92"/>
    </row>
    <row r="254" spans="1:513" s="171" customFormat="1" ht="36" customHeight="1" x14ac:dyDescent="0.3">
      <c r="A254" s="195" t="s">
        <v>567</v>
      </c>
      <c r="B254" s="195"/>
      <c r="C254" s="169"/>
      <c r="D254" s="170"/>
      <c r="E254" s="167"/>
      <c r="F254" s="167"/>
      <c r="G254" s="167"/>
      <c r="H254" s="167"/>
      <c r="I254" s="167"/>
      <c r="J254" s="17"/>
      <c r="K254" s="167"/>
      <c r="L254" s="167"/>
      <c r="M254" s="167"/>
      <c r="N254" s="167"/>
      <c r="O254" s="167"/>
      <c r="P254" s="192"/>
    </row>
    <row r="255" spans="1:513" s="142" customFormat="1" ht="26.25" x14ac:dyDescent="0.4">
      <c r="A255" s="139"/>
      <c r="B255" s="140"/>
      <c r="C255" s="141"/>
      <c r="J255" s="4"/>
      <c r="P255" s="192"/>
    </row>
    <row r="258" spans="1:15" ht="38.25" x14ac:dyDescent="0.55000000000000004">
      <c r="A258" s="189" t="s">
        <v>615</v>
      </c>
      <c r="B258" s="189"/>
      <c r="C258" s="189"/>
      <c r="D258" s="189"/>
      <c r="E258" s="189"/>
      <c r="F258" s="189"/>
      <c r="G258" s="189"/>
      <c r="H258" s="189"/>
      <c r="I258" s="189"/>
      <c r="M258" s="190" t="s">
        <v>616</v>
      </c>
      <c r="N258" s="190"/>
      <c r="O258" s="190"/>
    </row>
  </sheetData>
  <mergeCells count="34">
    <mergeCell ref="N16:N17"/>
    <mergeCell ref="D15:H15"/>
    <mergeCell ref="J3:O3"/>
    <mergeCell ref="J16:J17"/>
    <mergeCell ref="A254:B254"/>
    <mergeCell ref="O15:O17"/>
    <mergeCell ref="J4:O4"/>
    <mergeCell ref="J5:O5"/>
    <mergeCell ref="J6:O6"/>
    <mergeCell ref="J8:O8"/>
    <mergeCell ref="I15:N15"/>
    <mergeCell ref="P38:P68"/>
    <mergeCell ref="P69:P99"/>
    <mergeCell ref="P100:P111"/>
    <mergeCell ref="P112:P128"/>
    <mergeCell ref="J1:O1"/>
    <mergeCell ref="A10:O10"/>
    <mergeCell ref="B15:B17"/>
    <mergeCell ref="C15:C17"/>
    <mergeCell ref="A15:A17"/>
    <mergeCell ref="D16:D17"/>
    <mergeCell ref="E16:E17"/>
    <mergeCell ref="F16:G16"/>
    <mergeCell ref="K16:K17"/>
    <mergeCell ref="H16:H17"/>
    <mergeCell ref="I16:I17"/>
    <mergeCell ref="L16:M16"/>
    <mergeCell ref="A258:I258"/>
    <mergeCell ref="M258:O258"/>
    <mergeCell ref="P129:P137"/>
    <mergeCell ref="P138:P171"/>
    <mergeCell ref="P172:P205"/>
    <mergeCell ref="P206:P233"/>
    <mergeCell ref="P234:P255"/>
  </mergeCells>
  <phoneticPr fontId="3" type="noConversion"/>
  <printOptions horizontalCentered="1"/>
  <pageMargins left="0" right="0" top="0.86614173228346458" bottom="0.78740157480314965" header="0.39370078740157483" footer="0"/>
  <pageSetup paperSize="9" scale="43" fitToHeight="100" orientation="landscape" verticalDpi="300" r:id="rId1"/>
  <headerFooter scaleWithDoc="0" alignWithMargins="0">
    <oddHeader xml:space="preserve">&amp;RПродовження додатку
</oddHeader>
  </headerFooter>
  <rowBreaks count="2" manualBreakCount="2">
    <brk id="184" max="15" man="1"/>
    <brk id="21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2021-07-30T12:06:04Z</cp:lastPrinted>
  <dcterms:created xsi:type="dcterms:W3CDTF">2014-01-17T10:52:16Z</dcterms:created>
  <dcterms:modified xsi:type="dcterms:W3CDTF">2021-09-01T06:11:39Z</dcterms:modified>
</cp:coreProperties>
</file>