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МВК\ріш МВК - МБТ соцзах+ДФРР\доопрацьовано\"/>
    </mc:Choice>
  </mc:AlternateContent>
  <bookViews>
    <workbookView xWindow="0" yWindow="0" windowWidth="19200" windowHeight="11460" tabRatio="495" activeTab="1"/>
  </bookViews>
  <sheets>
    <sheet name="дод 3 " sheetId="1" r:id="rId1"/>
    <sheet name="дод 4" sheetId="3" r:id="rId2"/>
  </sheets>
  <definedNames>
    <definedName name="_xlnm.Print_Titles" localSheetId="0">'дод 3 '!$10:$12</definedName>
    <definedName name="_xlnm.Print_Titles" localSheetId="1">'дод 4'!$10:$12</definedName>
    <definedName name="_xlnm.Print_Area" localSheetId="0">'дод 3 '!$A$1:$Q$202</definedName>
    <definedName name="_xlnm.Print_Area" localSheetId="1">'дод 4'!$A$1:$P$149</definedName>
  </definedNames>
  <calcPr calcId="162913"/>
</workbook>
</file>

<file path=xl/calcChain.xml><?xml version="1.0" encoding="utf-8"?>
<calcChain xmlns="http://schemas.openxmlformats.org/spreadsheetml/2006/main">
  <c r="O87" i="1" l="1"/>
  <c r="K87" i="1"/>
  <c r="O75" i="1"/>
  <c r="K75" i="1"/>
  <c r="F94" i="1" l="1"/>
  <c r="F123" i="1" l="1"/>
  <c r="F137" i="1"/>
  <c r="N103" i="3" l="1"/>
  <c r="M103" i="3"/>
  <c r="L103" i="3"/>
  <c r="K103" i="3"/>
  <c r="J103" i="3"/>
  <c r="H103" i="3"/>
  <c r="G103" i="3"/>
  <c r="F103" i="3"/>
  <c r="E103" i="3"/>
  <c r="N72" i="1"/>
  <c r="M72" i="1"/>
  <c r="L72" i="1"/>
  <c r="I72" i="1"/>
  <c r="H72" i="1"/>
  <c r="J86" i="1"/>
  <c r="E86" i="1"/>
  <c r="D86" i="1"/>
  <c r="C86" i="1"/>
  <c r="B86" i="1"/>
  <c r="D163" i="1"/>
  <c r="C163" i="1"/>
  <c r="B163" i="1"/>
  <c r="D140" i="1"/>
  <c r="C140" i="1"/>
  <c r="B140" i="1"/>
  <c r="P86" i="1" l="1"/>
  <c r="N154" i="1"/>
  <c r="M154" i="1"/>
  <c r="L154" i="1"/>
  <c r="I154" i="1"/>
  <c r="H154" i="1"/>
  <c r="J163" i="1"/>
  <c r="P163" i="1" s="1"/>
  <c r="E163" i="1"/>
  <c r="O159" i="1"/>
  <c r="K159" i="1"/>
  <c r="N127" i="1"/>
  <c r="M127" i="1"/>
  <c r="H127" i="1"/>
  <c r="J140" i="1"/>
  <c r="E140" i="1"/>
  <c r="D103" i="3" s="1"/>
  <c r="O138" i="1"/>
  <c r="K138" i="1"/>
  <c r="F133" i="1"/>
  <c r="I103" i="3" l="1"/>
  <c r="P140" i="1"/>
  <c r="O103" i="3" s="1"/>
  <c r="K136" i="1"/>
  <c r="G52" i="1" l="1"/>
  <c r="G51" i="1"/>
  <c r="O160" i="1" l="1"/>
  <c r="O157" i="1"/>
  <c r="L38" i="1" l="1"/>
  <c r="L171" i="1" l="1"/>
  <c r="O136" i="1" l="1"/>
  <c r="F51" i="1" l="1"/>
  <c r="F109" i="1" l="1"/>
  <c r="K137" i="1"/>
  <c r="F136" i="1"/>
  <c r="O162" i="1" l="1"/>
  <c r="K162" i="1"/>
  <c r="O119" i="1" l="1"/>
  <c r="K119" i="1"/>
  <c r="F81" i="1"/>
  <c r="N118" i="3" l="1"/>
  <c r="M118" i="3"/>
  <c r="L118" i="3"/>
  <c r="J118" i="3"/>
  <c r="H118" i="3"/>
  <c r="G118" i="3"/>
  <c r="F118" i="3"/>
  <c r="E118" i="3"/>
  <c r="N140" i="3"/>
  <c r="M140" i="3"/>
  <c r="L140" i="3"/>
  <c r="K140" i="3"/>
  <c r="J140" i="3"/>
  <c r="H140" i="3"/>
  <c r="G140" i="3"/>
  <c r="F140" i="3"/>
  <c r="E140" i="3"/>
  <c r="N106" i="3" l="1"/>
  <c r="N96" i="3" s="1"/>
  <c r="N92" i="3" s="1"/>
  <c r="M106" i="3"/>
  <c r="M96" i="3" s="1"/>
  <c r="M92" i="3" s="1"/>
  <c r="L106" i="3"/>
  <c r="L96" i="3" s="1"/>
  <c r="L92" i="3" s="1"/>
  <c r="K106" i="3"/>
  <c r="K96" i="3" s="1"/>
  <c r="K92" i="3" s="1"/>
  <c r="J106" i="3"/>
  <c r="H106" i="3"/>
  <c r="G106" i="3"/>
  <c r="G96" i="3" s="1"/>
  <c r="G92" i="3" s="1"/>
  <c r="F106" i="3"/>
  <c r="F96" i="3" s="1"/>
  <c r="F92" i="3" s="1"/>
  <c r="E106" i="3"/>
  <c r="E96" i="3" s="1"/>
  <c r="E92" i="3" s="1"/>
  <c r="M105" i="3"/>
  <c r="L105" i="3"/>
  <c r="K105" i="3"/>
  <c r="H105" i="3"/>
  <c r="G105" i="3"/>
  <c r="F105" i="3"/>
  <c r="E105" i="3"/>
  <c r="O128" i="1"/>
  <c r="N128" i="1"/>
  <c r="M128" i="1"/>
  <c r="L128" i="1"/>
  <c r="K128" i="1"/>
  <c r="I128" i="1"/>
  <c r="H128" i="1"/>
  <c r="G128" i="1"/>
  <c r="F128" i="1"/>
  <c r="H96" i="3"/>
  <c r="H92" i="3" s="1"/>
  <c r="O133" i="1" l="1"/>
  <c r="K133" i="1"/>
  <c r="O131" i="1"/>
  <c r="K131" i="1"/>
  <c r="K176" i="1" l="1"/>
  <c r="L168" i="1"/>
  <c r="E191" i="1" l="1"/>
  <c r="L189" i="1"/>
  <c r="G174" i="1"/>
  <c r="F174" i="1"/>
  <c r="F169" i="1"/>
  <c r="J166" i="1"/>
  <c r="P166" i="1" s="1"/>
  <c r="E166" i="1"/>
  <c r="O161" i="1"/>
  <c r="K161" i="1"/>
  <c r="O148" i="1"/>
  <c r="L147" i="1"/>
  <c r="O143" i="1"/>
  <c r="J143" i="1" s="1"/>
  <c r="K143" i="1"/>
  <c r="O139" i="1"/>
  <c r="K139" i="1"/>
  <c r="E144" i="1"/>
  <c r="E143" i="1"/>
  <c r="J144" i="1"/>
  <c r="F129" i="1"/>
  <c r="F121" i="1"/>
  <c r="O120" i="1"/>
  <c r="K120" i="1"/>
  <c r="K117" i="1" s="1"/>
  <c r="F120" i="1"/>
  <c r="F119" i="1"/>
  <c r="F118" i="1"/>
  <c r="O108" i="1"/>
  <c r="K108" i="1"/>
  <c r="F99" i="1"/>
  <c r="F91" i="1"/>
  <c r="F82" i="1"/>
  <c r="F77" i="1"/>
  <c r="F75" i="1"/>
  <c r="F76" i="1"/>
  <c r="F74" i="1"/>
  <c r="F72" i="1" s="1"/>
  <c r="P143" i="1" l="1"/>
  <c r="L127" i="1"/>
  <c r="K118" i="3"/>
  <c r="P144" i="1"/>
  <c r="P128" i="1" s="1"/>
  <c r="J128" i="1"/>
  <c r="E128" i="1"/>
  <c r="O47" i="1"/>
  <c r="N47" i="1"/>
  <c r="M47" i="1"/>
  <c r="L47" i="1"/>
  <c r="I47" i="1"/>
  <c r="H47" i="1"/>
  <c r="G47" i="1"/>
  <c r="N46" i="1"/>
  <c r="M46" i="1"/>
  <c r="I46" i="1"/>
  <c r="E70" i="1"/>
  <c r="J70" i="1"/>
  <c r="I140" i="3" s="1"/>
  <c r="L69" i="1"/>
  <c r="L46" i="1" s="1"/>
  <c r="O65" i="1"/>
  <c r="K65" i="1"/>
  <c r="F65" i="1"/>
  <c r="O59" i="1"/>
  <c r="K59" i="1"/>
  <c r="F59" i="1"/>
  <c r="P70" i="1" l="1"/>
  <c r="O140" i="3" s="1"/>
  <c r="D140" i="3"/>
  <c r="J67" i="1"/>
  <c r="E67" i="1"/>
  <c r="D106" i="3" s="1"/>
  <c r="D96" i="3" s="1"/>
  <c r="D92" i="3" s="1"/>
  <c r="P67" i="1" l="1"/>
  <c r="O106" i="3" s="1"/>
  <c r="O96" i="3" s="1"/>
  <c r="O92" i="3" s="1"/>
  <c r="I106" i="3"/>
  <c r="I96" i="3" s="1"/>
  <c r="I92" i="3" s="1"/>
  <c r="J96" i="3"/>
  <c r="J92" i="3" s="1"/>
  <c r="F56" i="1"/>
  <c r="F55" i="1"/>
  <c r="O53" i="1"/>
  <c r="K53" i="1"/>
  <c r="F53" i="1"/>
  <c r="O66" i="1"/>
  <c r="N105" i="3" s="1"/>
  <c r="K66" i="1"/>
  <c r="J105" i="3" s="1"/>
  <c r="E66" i="1"/>
  <c r="O51" i="1"/>
  <c r="K51" i="1"/>
  <c r="F52" i="1"/>
  <c r="F47" i="1" s="1"/>
  <c r="O49" i="1"/>
  <c r="K49" i="1"/>
  <c r="F49" i="1"/>
  <c r="F48" i="1"/>
  <c r="F41" i="1"/>
  <c r="F39" i="1"/>
  <c r="F32" i="1"/>
  <c r="F31" i="1"/>
  <c r="F30" i="1"/>
  <c r="F29" i="1"/>
  <c r="F28" i="1"/>
  <c r="F27" i="1"/>
  <c r="F25" i="1"/>
  <c r="F24" i="1"/>
  <c r="F19" i="1"/>
  <c r="F15" i="1"/>
  <c r="G15" i="1"/>
  <c r="F46" i="1" l="1"/>
  <c r="K46" i="1"/>
  <c r="O46" i="1"/>
  <c r="J66" i="1"/>
  <c r="P66" i="1" s="1"/>
  <c r="O132" i="1"/>
  <c r="K132" i="1"/>
  <c r="J164" i="1" l="1"/>
  <c r="I105" i="3" s="1"/>
  <c r="E164" i="1"/>
  <c r="D105" i="3" s="1"/>
  <c r="K160" i="1"/>
  <c r="O158" i="1"/>
  <c r="K158" i="1"/>
  <c r="O137" i="1"/>
  <c r="P164" i="1" l="1"/>
  <c r="O105" i="3" s="1"/>
  <c r="O34" i="1" l="1"/>
  <c r="K34" i="1"/>
  <c r="F34" i="1"/>
  <c r="G113" i="1" l="1"/>
  <c r="F113" i="1"/>
  <c r="F105" i="1" l="1"/>
  <c r="G185" i="1"/>
  <c r="F185" i="1"/>
  <c r="G177" i="1"/>
  <c r="F177" i="1"/>
  <c r="G169" i="1"/>
  <c r="O156" i="1"/>
  <c r="K156" i="1"/>
  <c r="K154" i="1" s="1"/>
  <c r="G155" i="1"/>
  <c r="G154" i="1" s="1"/>
  <c r="F155" i="1"/>
  <c r="F154" i="1" s="1"/>
  <c r="G152" i="1"/>
  <c r="F152" i="1"/>
  <c r="I145" i="1"/>
  <c r="F145" i="1"/>
  <c r="G129" i="1"/>
  <c r="G127" i="1" s="1"/>
  <c r="G118" i="1"/>
  <c r="G91" i="1"/>
  <c r="G74" i="1"/>
  <c r="G72" i="1" s="1"/>
  <c r="G48" i="1"/>
  <c r="N121" i="3" l="1"/>
  <c r="N120" i="3" s="1"/>
  <c r="M121" i="3"/>
  <c r="M120" i="3" s="1"/>
  <c r="L121" i="3"/>
  <c r="L120" i="3" s="1"/>
  <c r="K121" i="3"/>
  <c r="K120" i="3" s="1"/>
  <c r="J121" i="3"/>
  <c r="J120" i="3" s="1"/>
  <c r="H121" i="3"/>
  <c r="H120" i="3" s="1"/>
  <c r="G121" i="3"/>
  <c r="G120" i="3" s="1"/>
  <c r="F121" i="3"/>
  <c r="F120" i="3" s="1"/>
  <c r="E121" i="3"/>
  <c r="E120" i="3" s="1"/>
  <c r="J88" i="1"/>
  <c r="I121" i="3" s="1"/>
  <c r="I120" i="3" s="1"/>
  <c r="E88" i="1"/>
  <c r="D121" i="3" s="1"/>
  <c r="D120" i="3" s="1"/>
  <c r="P88" i="1" l="1"/>
  <c r="D93" i="1"/>
  <c r="O121" i="3" l="1"/>
  <c r="O120" i="3" s="1"/>
  <c r="C161" i="1" l="1"/>
  <c r="D161" i="1"/>
  <c r="B161" i="1"/>
  <c r="E100" i="3"/>
  <c r="F100" i="3"/>
  <c r="G100" i="3"/>
  <c r="H100" i="3"/>
  <c r="J100" i="3"/>
  <c r="K100" i="3"/>
  <c r="L100" i="3"/>
  <c r="M100" i="3"/>
  <c r="N100" i="3"/>
  <c r="D100" i="3"/>
  <c r="J161" i="1"/>
  <c r="I100" i="3" s="1"/>
  <c r="P161" i="1" l="1"/>
  <c r="O100" i="3" s="1"/>
  <c r="E32" i="3"/>
  <c r="F32" i="3"/>
  <c r="G32" i="3"/>
  <c r="H32" i="3"/>
  <c r="I32" i="3"/>
  <c r="J32" i="3"/>
  <c r="K32" i="3"/>
  <c r="L32" i="3"/>
  <c r="M32" i="3"/>
  <c r="N32" i="3"/>
  <c r="E62" i="1"/>
  <c r="P62" i="1" s="1"/>
  <c r="O32" i="3" s="1"/>
  <c r="K52" i="1"/>
  <c r="K47" i="1" s="1"/>
  <c r="J50" i="1"/>
  <c r="I19" i="3" s="1"/>
  <c r="E19" i="3"/>
  <c r="F19" i="3"/>
  <c r="G19" i="3"/>
  <c r="H19" i="3"/>
  <c r="J19" i="3"/>
  <c r="K19" i="3"/>
  <c r="L19" i="3"/>
  <c r="M19" i="3"/>
  <c r="N19" i="3"/>
  <c r="E50" i="1"/>
  <c r="D19" i="3" s="1"/>
  <c r="G49" i="1"/>
  <c r="G46" i="1" s="1"/>
  <c r="P50" i="1" l="1"/>
  <c r="O19" i="3" s="1"/>
  <c r="D32" i="3"/>
  <c r="O36" i="1"/>
  <c r="K36" i="1"/>
  <c r="K14" i="1" s="1"/>
  <c r="F132" i="1" l="1"/>
  <c r="F127" i="1" s="1"/>
  <c r="I132" i="1"/>
  <c r="I127" i="1" s="1"/>
  <c r="D110" i="1" l="1"/>
  <c r="E139" i="3"/>
  <c r="F139" i="3"/>
  <c r="G139" i="3"/>
  <c r="H139" i="3"/>
  <c r="K139" i="3"/>
  <c r="L139" i="3"/>
  <c r="M139" i="3"/>
  <c r="F119" i="3"/>
  <c r="G119" i="3"/>
  <c r="H119" i="3"/>
  <c r="J119" i="3"/>
  <c r="K119" i="3"/>
  <c r="L119" i="3"/>
  <c r="M119" i="3"/>
  <c r="N119" i="3"/>
  <c r="E102" i="3"/>
  <c r="F102" i="3"/>
  <c r="G102" i="3"/>
  <c r="H102" i="3"/>
  <c r="J102" i="3"/>
  <c r="K102" i="3"/>
  <c r="L102" i="3"/>
  <c r="M102" i="3"/>
  <c r="N102" i="3"/>
  <c r="F90" i="3"/>
  <c r="G90" i="3"/>
  <c r="H90" i="3"/>
  <c r="J90" i="3"/>
  <c r="K90" i="3"/>
  <c r="L90" i="3"/>
  <c r="M90" i="3"/>
  <c r="N90" i="3"/>
  <c r="F14" i="3"/>
  <c r="G14" i="3"/>
  <c r="H14" i="3"/>
  <c r="J14" i="3"/>
  <c r="K14" i="3"/>
  <c r="L14" i="3"/>
  <c r="M14" i="3"/>
  <c r="N14" i="3"/>
  <c r="G90" i="1"/>
  <c r="H90" i="1"/>
  <c r="I90" i="1"/>
  <c r="L90" i="1"/>
  <c r="M90" i="1"/>
  <c r="N90" i="1"/>
  <c r="G184" i="1"/>
  <c r="H184" i="1"/>
  <c r="I184" i="1"/>
  <c r="K184" i="1"/>
  <c r="L184" i="1"/>
  <c r="M184" i="1"/>
  <c r="N184" i="1"/>
  <c r="O184" i="1"/>
  <c r="G176" i="1"/>
  <c r="H176" i="1"/>
  <c r="L176" i="1"/>
  <c r="M176" i="1"/>
  <c r="N176" i="1"/>
  <c r="O176" i="1"/>
  <c r="G168" i="1"/>
  <c r="H168" i="1"/>
  <c r="I168" i="1"/>
  <c r="K168" i="1"/>
  <c r="M168" i="1"/>
  <c r="N168" i="1"/>
  <c r="O168" i="1"/>
  <c r="G117" i="1"/>
  <c r="H117" i="1"/>
  <c r="I117" i="1"/>
  <c r="L117" i="1"/>
  <c r="M117" i="1"/>
  <c r="N117" i="1"/>
  <c r="G112" i="1"/>
  <c r="H112" i="1"/>
  <c r="I112" i="1"/>
  <c r="K112" i="1"/>
  <c r="L112" i="1"/>
  <c r="M112" i="1"/>
  <c r="N112" i="1"/>
  <c r="O112" i="1"/>
  <c r="G71" i="1"/>
  <c r="H71" i="1"/>
  <c r="I71" i="1"/>
  <c r="L71" i="1"/>
  <c r="M71" i="1"/>
  <c r="N71" i="1"/>
  <c r="G73" i="1"/>
  <c r="G194" i="1" s="1"/>
  <c r="H73" i="1"/>
  <c r="H194" i="1" s="1"/>
  <c r="I73" i="1"/>
  <c r="I194" i="1" s="1"/>
  <c r="K73" i="1"/>
  <c r="K194" i="1" s="1"/>
  <c r="L73" i="1"/>
  <c r="L194" i="1" s="1"/>
  <c r="M73" i="1"/>
  <c r="M194" i="1" s="1"/>
  <c r="N73" i="1"/>
  <c r="N194" i="1" s="1"/>
  <c r="O73" i="1"/>
  <c r="O194" i="1" s="1"/>
  <c r="G14" i="1"/>
  <c r="H14" i="1"/>
  <c r="I14" i="1"/>
  <c r="L14" i="1"/>
  <c r="M14" i="1"/>
  <c r="N14" i="1"/>
  <c r="F73" i="1" l="1"/>
  <c r="F194" i="1" s="1"/>
  <c r="H56" i="1" l="1"/>
  <c r="H46" i="1" s="1"/>
  <c r="O149" i="1"/>
  <c r="N139" i="3" s="1"/>
  <c r="K149" i="1"/>
  <c r="J139" i="3" s="1"/>
  <c r="F179" i="1" l="1"/>
  <c r="I179" i="1"/>
  <c r="I176" i="1" s="1"/>
  <c r="F182" i="1" l="1"/>
  <c r="E119" i="3" s="1"/>
  <c r="O146" i="1"/>
  <c r="O127" i="1" s="1"/>
  <c r="K146" i="1"/>
  <c r="K127" i="1" s="1"/>
  <c r="F176" i="1" l="1"/>
  <c r="F168" i="1"/>
  <c r="F112" i="1"/>
  <c r="F71" i="1"/>
  <c r="E14" i="3" l="1"/>
  <c r="O14" i="1"/>
  <c r="O117" i="1"/>
  <c r="D149" i="1" l="1"/>
  <c r="F35" i="1" l="1"/>
  <c r="F96" i="1" l="1"/>
  <c r="F190" i="1"/>
  <c r="F184" i="1" s="1"/>
  <c r="F117" i="1" l="1"/>
  <c r="O79" i="1" l="1"/>
  <c r="O72" i="1" s="1"/>
  <c r="K79" i="1"/>
  <c r="K72" i="1" s="1"/>
  <c r="O71" i="1" l="1"/>
  <c r="K71" i="1"/>
  <c r="E130" i="3"/>
  <c r="F130" i="3"/>
  <c r="G130" i="3"/>
  <c r="H130" i="3"/>
  <c r="J130" i="3"/>
  <c r="K130" i="3"/>
  <c r="L130" i="3"/>
  <c r="M130" i="3"/>
  <c r="N130" i="3"/>
  <c r="J125" i="1"/>
  <c r="E125" i="1"/>
  <c r="C125" i="1"/>
  <c r="D125" i="1"/>
  <c r="B125" i="1"/>
  <c r="P125" i="1" l="1"/>
  <c r="E15" i="3"/>
  <c r="F15" i="3"/>
  <c r="G15" i="3"/>
  <c r="H15" i="3"/>
  <c r="J15" i="3"/>
  <c r="K15" i="3"/>
  <c r="L15" i="3"/>
  <c r="M15" i="3"/>
  <c r="N15" i="3"/>
  <c r="E18" i="3"/>
  <c r="F18" i="3"/>
  <c r="G18" i="3"/>
  <c r="H18" i="3"/>
  <c r="K18" i="3"/>
  <c r="L18" i="3"/>
  <c r="M18" i="3"/>
  <c r="N18" i="3"/>
  <c r="E20" i="3"/>
  <c r="F20" i="3"/>
  <c r="G20" i="3"/>
  <c r="H20" i="3"/>
  <c r="K20" i="3"/>
  <c r="L20" i="3"/>
  <c r="M20" i="3"/>
  <c r="E21" i="3"/>
  <c r="F21" i="3"/>
  <c r="G21" i="3"/>
  <c r="H21" i="3"/>
  <c r="J21" i="3"/>
  <c r="K21" i="3"/>
  <c r="L21" i="3"/>
  <c r="M21" i="3"/>
  <c r="N21" i="3"/>
  <c r="E22" i="3"/>
  <c r="F22" i="3"/>
  <c r="G22" i="3"/>
  <c r="H22" i="3"/>
  <c r="J22" i="3"/>
  <c r="K22" i="3"/>
  <c r="L22" i="3"/>
  <c r="M22" i="3"/>
  <c r="N22" i="3"/>
  <c r="E23" i="3"/>
  <c r="F23" i="3"/>
  <c r="G23" i="3"/>
  <c r="H23" i="3"/>
  <c r="J23" i="3"/>
  <c r="K23" i="3"/>
  <c r="L23" i="3"/>
  <c r="M23" i="3"/>
  <c r="N23" i="3"/>
  <c r="E24" i="3"/>
  <c r="F24" i="3"/>
  <c r="G24" i="3"/>
  <c r="H24" i="3"/>
  <c r="J24" i="3"/>
  <c r="K24" i="3"/>
  <c r="L24" i="3"/>
  <c r="M24" i="3"/>
  <c r="N24" i="3"/>
  <c r="E25" i="3"/>
  <c r="F25" i="3"/>
  <c r="G25" i="3"/>
  <c r="H25" i="3"/>
  <c r="J25" i="3"/>
  <c r="K25" i="3"/>
  <c r="L25" i="3"/>
  <c r="M25" i="3"/>
  <c r="E26" i="3"/>
  <c r="F26" i="3"/>
  <c r="G26" i="3"/>
  <c r="H26" i="3"/>
  <c r="J26" i="3"/>
  <c r="K26" i="3"/>
  <c r="L26" i="3"/>
  <c r="M26" i="3"/>
  <c r="N26" i="3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9" i="3"/>
  <c r="F29" i="3"/>
  <c r="G29" i="3"/>
  <c r="H29" i="3"/>
  <c r="J29" i="3"/>
  <c r="K29" i="3"/>
  <c r="L29" i="3"/>
  <c r="M29" i="3"/>
  <c r="N29" i="3"/>
  <c r="E30" i="3"/>
  <c r="F30" i="3"/>
  <c r="G30" i="3"/>
  <c r="H30" i="3"/>
  <c r="J30" i="3"/>
  <c r="K30" i="3"/>
  <c r="L30" i="3"/>
  <c r="M30" i="3"/>
  <c r="N30" i="3"/>
  <c r="E31" i="3"/>
  <c r="F31" i="3"/>
  <c r="G31" i="3"/>
  <c r="H31" i="3"/>
  <c r="J31" i="3"/>
  <c r="K31" i="3"/>
  <c r="L31" i="3"/>
  <c r="M31" i="3"/>
  <c r="N31" i="3"/>
  <c r="E35" i="3"/>
  <c r="F35" i="3"/>
  <c r="G35" i="3"/>
  <c r="H35" i="3"/>
  <c r="J35" i="3"/>
  <c r="K35" i="3"/>
  <c r="L35" i="3"/>
  <c r="M35" i="3"/>
  <c r="N35" i="3"/>
  <c r="E36" i="3"/>
  <c r="F36" i="3"/>
  <c r="G36" i="3"/>
  <c r="H36" i="3"/>
  <c r="J36" i="3"/>
  <c r="K36" i="3"/>
  <c r="L36" i="3"/>
  <c r="M36" i="3"/>
  <c r="N36" i="3"/>
  <c r="E37" i="3"/>
  <c r="F37" i="3"/>
  <c r="G37" i="3"/>
  <c r="H37" i="3"/>
  <c r="J37" i="3"/>
  <c r="K37" i="3"/>
  <c r="L37" i="3"/>
  <c r="M37" i="3"/>
  <c r="N37" i="3"/>
  <c r="E38" i="3"/>
  <c r="F38" i="3"/>
  <c r="G38" i="3"/>
  <c r="H38" i="3"/>
  <c r="J38" i="3"/>
  <c r="K38" i="3"/>
  <c r="L38" i="3"/>
  <c r="M38" i="3"/>
  <c r="N38" i="3"/>
  <c r="E39" i="3"/>
  <c r="F39" i="3"/>
  <c r="G39" i="3"/>
  <c r="H39" i="3"/>
  <c r="J39" i="3"/>
  <c r="K39" i="3"/>
  <c r="L39" i="3"/>
  <c r="M39" i="3"/>
  <c r="N39" i="3"/>
  <c r="E40" i="3"/>
  <c r="F40" i="3"/>
  <c r="G40" i="3"/>
  <c r="H40" i="3"/>
  <c r="J40" i="3"/>
  <c r="K40" i="3"/>
  <c r="L40" i="3"/>
  <c r="M40" i="3"/>
  <c r="N40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N43" i="3"/>
  <c r="E44" i="3"/>
  <c r="F44" i="3"/>
  <c r="G44" i="3"/>
  <c r="H44" i="3"/>
  <c r="J44" i="3"/>
  <c r="K44" i="3"/>
  <c r="L44" i="3"/>
  <c r="M44" i="3"/>
  <c r="N44" i="3"/>
  <c r="E45" i="3"/>
  <c r="F45" i="3"/>
  <c r="G45" i="3"/>
  <c r="H45" i="3"/>
  <c r="J45" i="3"/>
  <c r="K45" i="3"/>
  <c r="L45" i="3"/>
  <c r="M45" i="3"/>
  <c r="N45" i="3"/>
  <c r="E47" i="3"/>
  <c r="F47" i="3"/>
  <c r="G47" i="3"/>
  <c r="H47" i="3"/>
  <c r="K47" i="3"/>
  <c r="L47" i="3"/>
  <c r="M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1" i="3"/>
  <c r="F51" i="3"/>
  <c r="G51" i="3"/>
  <c r="H51" i="3"/>
  <c r="J51" i="3"/>
  <c r="K51" i="3"/>
  <c r="L51" i="3"/>
  <c r="M51" i="3"/>
  <c r="N51" i="3"/>
  <c r="E52" i="3"/>
  <c r="F52" i="3"/>
  <c r="G52" i="3"/>
  <c r="H52" i="3"/>
  <c r="J52" i="3"/>
  <c r="K52" i="3"/>
  <c r="L52" i="3"/>
  <c r="M52" i="3"/>
  <c r="N52" i="3"/>
  <c r="E53" i="3"/>
  <c r="F53" i="3"/>
  <c r="G53" i="3"/>
  <c r="H53" i="3"/>
  <c r="J53" i="3"/>
  <c r="K53" i="3"/>
  <c r="L53" i="3"/>
  <c r="M53" i="3"/>
  <c r="N53" i="3"/>
  <c r="E54" i="3"/>
  <c r="F54" i="3"/>
  <c r="G54" i="3"/>
  <c r="H54" i="3"/>
  <c r="J54" i="3"/>
  <c r="K54" i="3"/>
  <c r="L54" i="3"/>
  <c r="M54" i="3"/>
  <c r="N54" i="3"/>
  <c r="E55" i="3"/>
  <c r="F55" i="3"/>
  <c r="G55" i="3"/>
  <c r="H55" i="3"/>
  <c r="J55" i="3"/>
  <c r="K55" i="3"/>
  <c r="L55" i="3"/>
  <c r="M55" i="3"/>
  <c r="N55" i="3"/>
  <c r="E56" i="3"/>
  <c r="F56" i="3"/>
  <c r="G56" i="3"/>
  <c r="H56" i="3"/>
  <c r="J56" i="3"/>
  <c r="K56" i="3"/>
  <c r="L56" i="3"/>
  <c r="M56" i="3"/>
  <c r="N56" i="3"/>
  <c r="E57" i="3"/>
  <c r="F57" i="3"/>
  <c r="G57" i="3"/>
  <c r="H57" i="3"/>
  <c r="J57" i="3"/>
  <c r="K57" i="3"/>
  <c r="L57" i="3"/>
  <c r="M57" i="3"/>
  <c r="N57" i="3"/>
  <c r="E58" i="3"/>
  <c r="F58" i="3"/>
  <c r="G58" i="3"/>
  <c r="H58" i="3"/>
  <c r="J58" i="3"/>
  <c r="K58" i="3"/>
  <c r="L58" i="3"/>
  <c r="M58" i="3"/>
  <c r="N58" i="3"/>
  <c r="E59" i="3"/>
  <c r="F59" i="3"/>
  <c r="G59" i="3"/>
  <c r="H59" i="3"/>
  <c r="J59" i="3"/>
  <c r="K59" i="3"/>
  <c r="L59" i="3"/>
  <c r="M59" i="3"/>
  <c r="N59" i="3"/>
  <c r="E60" i="3"/>
  <c r="F60" i="3"/>
  <c r="G60" i="3"/>
  <c r="H60" i="3"/>
  <c r="J60" i="3"/>
  <c r="K60" i="3"/>
  <c r="L60" i="3"/>
  <c r="M60" i="3"/>
  <c r="N60" i="3"/>
  <c r="E61" i="3"/>
  <c r="F61" i="3"/>
  <c r="G61" i="3"/>
  <c r="H61" i="3"/>
  <c r="J61" i="3"/>
  <c r="K61" i="3"/>
  <c r="L61" i="3"/>
  <c r="M61" i="3"/>
  <c r="N61" i="3"/>
  <c r="E62" i="3"/>
  <c r="F62" i="3"/>
  <c r="G62" i="3"/>
  <c r="H62" i="3"/>
  <c r="J62" i="3"/>
  <c r="K62" i="3"/>
  <c r="L62" i="3"/>
  <c r="M62" i="3"/>
  <c r="N62" i="3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E69" i="3"/>
  <c r="F69" i="3"/>
  <c r="G69" i="3"/>
  <c r="H69" i="3"/>
  <c r="J69" i="3"/>
  <c r="K69" i="3"/>
  <c r="L69" i="3"/>
  <c r="M69" i="3"/>
  <c r="N69" i="3"/>
  <c r="E71" i="3"/>
  <c r="F71" i="3"/>
  <c r="G71" i="3"/>
  <c r="H71" i="3"/>
  <c r="J71" i="3"/>
  <c r="K71" i="3"/>
  <c r="L71" i="3"/>
  <c r="M71" i="3"/>
  <c r="N71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4" i="3"/>
  <c r="F74" i="3"/>
  <c r="G74" i="3"/>
  <c r="H74" i="3"/>
  <c r="J74" i="3"/>
  <c r="K74" i="3"/>
  <c r="L74" i="3"/>
  <c r="M74" i="3"/>
  <c r="N74" i="3"/>
  <c r="E76" i="3"/>
  <c r="F76" i="3"/>
  <c r="G76" i="3"/>
  <c r="H76" i="3"/>
  <c r="J76" i="3"/>
  <c r="K76" i="3"/>
  <c r="L76" i="3"/>
  <c r="M76" i="3"/>
  <c r="N76" i="3"/>
  <c r="E77" i="3"/>
  <c r="F77" i="3"/>
  <c r="G77" i="3"/>
  <c r="H77" i="3"/>
  <c r="J77" i="3"/>
  <c r="K77" i="3"/>
  <c r="L77" i="3"/>
  <c r="M77" i="3"/>
  <c r="N77" i="3"/>
  <c r="E78" i="3"/>
  <c r="F78" i="3"/>
  <c r="G78" i="3"/>
  <c r="H78" i="3"/>
  <c r="J78" i="3"/>
  <c r="K78" i="3"/>
  <c r="L78" i="3"/>
  <c r="M78" i="3"/>
  <c r="N78" i="3"/>
  <c r="E79" i="3"/>
  <c r="F79" i="3"/>
  <c r="G79" i="3"/>
  <c r="H79" i="3"/>
  <c r="J79" i="3"/>
  <c r="K79" i="3"/>
  <c r="L79" i="3"/>
  <c r="M79" i="3"/>
  <c r="N79" i="3"/>
  <c r="F80" i="3"/>
  <c r="G80" i="3"/>
  <c r="H80" i="3"/>
  <c r="J80" i="3"/>
  <c r="K80" i="3"/>
  <c r="L80" i="3"/>
  <c r="M80" i="3"/>
  <c r="N80" i="3"/>
  <c r="E81" i="3"/>
  <c r="F81" i="3"/>
  <c r="G81" i="3"/>
  <c r="H81" i="3"/>
  <c r="J81" i="3"/>
  <c r="K81" i="3"/>
  <c r="L81" i="3"/>
  <c r="M81" i="3"/>
  <c r="N81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5" i="3"/>
  <c r="F85" i="3"/>
  <c r="G85" i="3"/>
  <c r="H85" i="3"/>
  <c r="J85" i="3"/>
  <c r="K85" i="3"/>
  <c r="L85" i="3"/>
  <c r="M85" i="3"/>
  <c r="N85" i="3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4" i="3"/>
  <c r="E93" i="3" s="1"/>
  <c r="F94" i="3"/>
  <c r="F93" i="3" s="1"/>
  <c r="G94" i="3"/>
  <c r="G93" i="3" s="1"/>
  <c r="H94" i="3"/>
  <c r="H93" i="3" s="1"/>
  <c r="J94" i="3"/>
  <c r="J93" i="3" s="1"/>
  <c r="K94" i="3"/>
  <c r="K93" i="3" s="1"/>
  <c r="L94" i="3"/>
  <c r="L93" i="3" s="1"/>
  <c r="M94" i="3"/>
  <c r="M93" i="3" s="1"/>
  <c r="N94" i="3"/>
  <c r="N93" i="3" s="1"/>
  <c r="E97" i="3"/>
  <c r="F97" i="3"/>
  <c r="G97" i="3"/>
  <c r="H97" i="3"/>
  <c r="J97" i="3"/>
  <c r="K97" i="3"/>
  <c r="L97" i="3"/>
  <c r="M97" i="3"/>
  <c r="N97" i="3"/>
  <c r="E98" i="3"/>
  <c r="F98" i="3"/>
  <c r="G98" i="3"/>
  <c r="H98" i="3"/>
  <c r="J98" i="3"/>
  <c r="K98" i="3"/>
  <c r="L98" i="3"/>
  <c r="M98" i="3"/>
  <c r="N98" i="3"/>
  <c r="E99" i="3"/>
  <c r="F99" i="3"/>
  <c r="G99" i="3"/>
  <c r="H99" i="3"/>
  <c r="J99" i="3"/>
  <c r="K99" i="3"/>
  <c r="L99" i="3"/>
  <c r="M99" i="3"/>
  <c r="N99" i="3"/>
  <c r="E101" i="3"/>
  <c r="F101" i="3"/>
  <c r="G101" i="3"/>
  <c r="H101" i="3"/>
  <c r="J101" i="3"/>
  <c r="K101" i="3"/>
  <c r="L101" i="3"/>
  <c r="M101" i="3"/>
  <c r="N101" i="3"/>
  <c r="E104" i="3"/>
  <c r="F104" i="3"/>
  <c r="G104" i="3"/>
  <c r="H104" i="3"/>
  <c r="J104" i="3"/>
  <c r="K104" i="3"/>
  <c r="L104" i="3"/>
  <c r="M104" i="3"/>
  <c r="N104" i="3"/>
  <c r="E108" i="3"/>
  <c r="E107" i="3" s="1"/>
  <c r="F108" i="3"/>
  <c r="F107" i="3" s="1"/>
  <c r="G108" i="3"/>
  <c r="G107" i="3" s="1"/>
  <c r="H108" i="3"/>
  <c r="H107" i="3" s="1"/>
  <c r="J108" i="3"/>
  <c r="J107" i="3" s="1"/>
  <c r="K108" i="3"/>
  <c r="K107" i="3" s="1"/>
  <c r="L108" i="3"/>
  <c r="L107" i="3" s="1"/>
  <c r="M108" i="3"/>
  <c r="M107" i="3" s="1"/>
  <c r="N108" i="3"/>
  <c r="N107" i="3" s="1"/>
  <c r="E110" i="3"/>
  <c r="E109" i="3" s="1"/>
  <c r="F110" i="3"/>
  <c r="F109" i="3" s="1"/>
  <c r="G110" i="3"/>
  <c r="G109" i="3" s="1"/>
  <c r="H110" i="3"/>
  <c r="H109" i="3" s="1"/>
  <c r="J110" i="3"/>
  <c r="J109" i="3" s="1"/>
  <c r="K110" i="3"/>
  <c r="K109" i="3" s="1"/>
  <c r="L110" i="3"/>
  <c r="L109" i="3" s="1"/>
  <c r="M110" i="3"/>
  <c r="M109" i="3" s="1"/>
  <c r="N110" i="3"/>
  <c r="N109" i="3" s="1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6" i="3"/>
  <c r="F116" i="3"/>
  <c r="G116" i="3"/>
  <c r="H116" i="3"/>
  <c r="J116" i="3"/>
  <c r="K116" i="3"/>
  <c r="L116" i="3"/>
  <c r="M116" i="3"/>
  <c r="N116" i="3"/>
  <c r="F117" i="3"/>
  <c r="G117" i="3"/>
  <c r="H117" i="3"/>
  <c r="J117" i="3"/>
  <c r="K117" i="3"/>
  <c r="L117" i="3"/>
  <c r="M117" i="3"/>
  <c r="N117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7" i="3"/>
  <c r="E126" i="3" s="1"/>
  <c r="F127" i="3"/>
  <c r="F126" i="3" s="1"/>
  <c r="G127" i="3"/>
  <c r="G126" i="3" s="1"/>
  <c r="H127" i="3"/>
  <c r="H126" i="3" s="1"/>
  <c r="J127" i="3"/>
  <c r="J126" i="3" s="1"/>
  <c r="K127" i="3"/>
  <c r="K126" i="3" s="1"/>
  <c r="L127" i="3"/>
  <c r="L126" i="3" s="1"/>
  <c r="M127" i="3"/>
  <c r="M126" i="3" s="1"/>
  <c r="N127" i="3"/>
  <c r="N126" i="3" s="1"/>
  <c r="E129" i="3"/>
  <c r="E128" i="3" s="1"/>
  <c r="F129" i="3"/>
  <c r="F128" i="3" s="1"/>
  <c r="G129" i="3"/>
  <c r="H129" i="3"/>
  <c r="J129" i="3"/>
  <c r="K129" i="3"/>
  <c r="K128" i="3" s="1"/>
  <c r="L129" i="3"/>
  <c r="M129" i="3"/>
  <c r="M128" i="3" s="1"/>
  <c r="N129" i="3"/>
  <c r="E132" i="3"/>
  <c r="E131" i="3" s="1"/>
  <c r="F132" i="3"/>
  <c r="F131" i="3" s="1"/>
  <c r="G132" i="3"/>
  <c r="G131" i="3" s="1"/>
  <c r="H132" i="3"/>
  <c r="H131" i="3" s="1"/>
  <c r="J132" i="3"/>
  <c r="J131" i="3" s="1"/>
  <c r="K132" i="3"/>
  <c r="K131" i="3" s="1"/>
  <c r="L132" i="3"/>
  <c r="L131" i="3" s="1"/>
  <c r="M132" i="3"/>
  <c r="M131" i="3" s="1"/>
  <c r="N132" i="3"/>
  <c r="N131" i="3" s="1"/>
  <c r="E133" i="3"/>
  <c r="F133" i="3"/>
  <c r="G133" i="3"/>
  <c r="H133" i="3"/>
  <c r="J133" i="3"/>
  <c r="K133" i="3"/>
  <c r="L133" i="3"/>
  <c r="M133" i="3"/>
  <c r="N133" i="3"/>
  <c r="D134" i="3"/>
  <c r="E134" i="3"/>
  <c r="F134" i="3"/>
  <c r="G134" i="3"/>
  <c r="H134" i="3"/>
  <c r="J134" i="3"/>
  <c r="K134" i="3"/>
  <c r="L134" i="3"/>
  <c r="M134" i="3"/>
  <c r="N134" i="3"/>
  <c r="E137" i="3"/>
  <c r="E136" i="3" s="1"/>
  <c r="F137" i="3"/>
  <c r="F136" i="3" s="1"/>
  <c r="G137" i="3"/>
  <c r="G136" i="3" s="1"/>
  <c r="H137" i="3"/>
  <c r="H136" i="3" s="1"/>
  <c r="J137" i="3"/>
  <c r="J136" i="3" s="1"/>
  <c r="K137" i="3"/>
  <c r="K136" i="3" s="1"/>
  <c r="L137" i="3"/>
  <c r="L136" i="3" s="1"/>
  <c r="M137" i="3"/>
  <c r="M136" i="3" s="1"/>
  <c r="N137" i="3"/>
  <c r="N136" i="3" s="1"/>
  <c r="E138" i="3"/>
  <c r="F138" i="3"/>
  <c r="G138" i="3"/>
  <c r="H138" i="3"/>
  <c r="J138" i="3"/>
  <c r="K138" i="3"/>
  <c r="L138" i="3"/>
  <c r="M138" i="3"/>
  <c r="N138" i="3"/>
  <c r="O165" i="1"/>
  <c r="O154" i="1" s="1"/>
  <c r="J49" i="1"/>
  <c r="I18" i="3" s="1"/>
  <c r="J186" i="1"/>
  <c r="J187" i="1"/>
  <c r="J188" i="1"/>
  <c r="I129" i="3" s="1"/>
  <c r="J189" i="1"/>
  <c r="J190" i="1"/>
  <c r="I133" i="3" s="1"/>
  <c r="J191" i="1"/>
  <c r="I134" i="3" s="1"/>
  <c r="J192" i="1"/>
  <c r="I137" i="3" s="1"/>
  <c r="I136" i="3" s="1"/>
  <c r="J185" i="1"/>
  <c r="J178" i="1"/>
  <c r="I94" i="3" s="1"/>
  <c r="I93" i="3" s="1"/>
  <c r="J179" i="1"/>
  <c r="J180" i="1"/>
  <c r="I114" i="3" s="1"/>
  <c r="J181" i="1"/>
  <c r="I115" i="3" s="1"/>
  <c r="J182" i="1"/>
  <c r="J177" i="1"/>
  <c r="J174" i="1"/>
  <c r="J156" i="1"/>
  <c r="J157" i="1"/>
  <c r="I89" i="3" s="1"/>
  <c r="J158" i="1"/>
  <c r="J159" i="1"/>
  <c r="I98" i="3" s="1"/>
  <c r="J160" i="1"/>
  <c r="I99" i="3" s="1"/>
  <c r="J162" i="1"/>
  <c r="J169" i="1"/>
  <c r="J170" i="1"/>
  <c r="J171" i="1"/>
  <c r="J155" i="1"/>
  <c r="J152" i="1"/>
  <c r="J130" i="1"/>
  <c r="J131" i="1"/>
  <c r="J132" i="1"/>
  <c r="I84" i="3" s="1"/>
  <c r="J133" i="1"/>
  <c r="I85" i="3" s="1"/>
  <c r="J134" i="1"/>
  <c r="I86" i="3" s="1"/>
  <c r="J135" i="1"/>
  <c r="I87" i="3" s="1"/>
  <c r="J136" i="1"/>
  <c r="J137" i="1"/>
  <c r="J138" i="1"/>
  <c r="J139" i="1"/>
  <c r="J141" i="1"/>
  <c r="I102" i="3" s="1"/>
  <c r="J142" i="1"/>
  <c r="I104" i="3" s="1"/>
  <c r="J145" i="1"/>
  <c r="J146" i="1"/>
  <c r="J148" i="1"/>
  <c r="J149" i="1"/>
  <c r="J129" i="1"/>
  <c r="J120" i="1"/>
  <c r="I71" i="3" s="1"/>
  <c r="J121" i="1"/>
  <c r="J122" i="1"/>
  <c r="J123" i="1"/>
  <c r="J124" i="1"/>
  <c r="J118" i="1"/>
  <c r="J114" i="1"/>
  <c r="I55" i="3" s="1"/>
  <c r="J115" i="1"/>
  <c r="I56" i="3" s="1"/>
  <c r="J113" i="1"/>
  <c r="J93" i="1"/>
  <c r="I48" i="3" s="1"/>
  <c r="J94" i="1"/>
  <c r="J95" i="1"/>
  <c r="I50" i="3" s="1"/>
  <c r="J96" i="1"/>
  <c r="J97" i="1"/>
  <c r="I52" i="3" s="1"/>
  <c r="J98" i="1"/>
  <c r="I53" i="3" s="1"/>
  <c r="J99" i="1"/>
  <c r="I54" i="3" s="1"/>
  <c r="J100" i="1"/>
  <c r="I60" i="3" s="1"/>
  <c r="J101" i="1"/>
  <c r="I61" i="3" s="1"/>
  <c r="J102" i="1"/>
  <c r="I62" i="3" s="1"/>
  <c r="J103" i="1"/>
  <c r="I63" i="3" s="1"/>
  <c r="J104" i="1"/>
  <c r="I64" i="3" s="1"/>
  <c r="J105" i="1"/>
  <c r="I65" i="3" s="1"/>
  <c r="J106" i="1"/>
  <c r="I66" i="3" s="1"/>
  <c r="J107" i="1"/>
  <c r="J108" i="1"/>
  <c r="J109" i="1"/>
  <c r="J110" i="1"/>
  <c r="J91" i="1"/>
  <c r="J75" i="1"/>
  <c r="I35" i="3" s="1"/>
  <c r="J76" i="1"/>
  <c r="J77" i="1"/>
  <c r="I37" i="3" s="1"/>
  <c r="J78" i="1"/>
  <c r="I38" i="3" s="1"/>
  <c r="J79" i="1"/>
  <c r="I39" i="3" s="1"/>
  <c r="J80" i="1"/>
  <c r="I40" i="3" s="1"/>
  <c r="J81" i="1"/>
  <c r="I41" i="3" s="1"/>
  <c r="J82" i="1"/>
  <c r="I42" i="3" s="1"/>
  <c r="J83" i="1"/>
  <c r="I43" i="3" s="1"/>
  <c r="J84" i="1"/>
  <c r="I44" i="3" s="1"/>
  <c r="J85" i="1"/>
  <c r="I45" i="3" s="1"/>
  <c r="J74" i="1"/>
  <c r="J52" i="1"/>
  <c r="J53" i="1"/>
  <c r="I22" i="3" s="1"/>
  <c r="J54" i="1"/>
  <c r="I23" i="3" s="1"/>
  <c r="J55" i="1"/>
  <c r="I24" i="3" s="1"/>
  <c r="J56" i="1"/>
  <c r="I26" i="3" s="1"/>
  <c r="J57" i="1"/>
  <c r="I27" i="3" s="1"/>
  <c r="J58" i="1"/>
  <c r="I28" i="3" s="1"/>
  <c r="J59" i="1"/>
  <c r="I29" i="3" s="1"/>
  <c r="J60" i="1"/>
  <c r="I30" i="3" s="1"/>
  <c r="J61" i="1"/>
  <c r="I31" i="3" s="1"/>
  <c r="J63" i="1"/>
  <c r="J64" i="1"/>
  <c r="J65" i="1"/>
  <c r="J68" i="1"/>
  <c r="J69" i="1"/>
  <c r="J48" i="1"/>
  <c r="J16" i="1"/>
  <c r="I15" i="3" s="1"/>
  <c r="J17" i="1"/>
  <c r="J18" i="1"/>
  <c r="J19" i="1"/>
  <c r="I57" i="3" s="1"/>
  <c r="J20" i="1"/>
  <c r="I58" i="3" s="1"/>
  <c r="J21" i="1"/>
  <c r="J22" i="1"/>
  <c r="J23" i="1"/>
  <c r="J24" i="1"/>
  <c r="J25" i="1"/>
  <c r="J26" i="1"/>
  <c r="J27" i="1"/>
  <c r="I76" i="3" s="1"/>
  <c r="J28" i="1"/>
  <c r="I77" i="3" s="1"/>
  <c r="J29" i="1"/>
  <c r="J30" i="1"/>
  <c r="I79" i="3" s="1"/>
  <c r="J31" i="1"/>
  <c r="I80" i="3" s="1"/>
  <c r="J32" i="1"/>
  <c r="I81" i="3" s="1"/>
  <c r="J33" i="1"/>
  <c r="I108" i="3" s="1"/>
  <c r="I107" i="3" s="1"/>
  <c r="J34" i="1"/>
  <c r="I110" i="3" s="1"/>
  <c r="I109" i="3" s="1"/>
  <c r="J35" i="1"/>
  <c r="J36" i="1"/>
  <c r="J37" i="1"/>
  <c r="I117" i="3" s="1"/>
  <c r="J38" i="1"/>
  <c r="J39" i="1"/>
  <c r="J40" i="1"/>
  <c r="I124" i="3" s="1"/>
  <c r="J41" i="1"/>
  <c r="I125" i="3" s="1"/>
  <c r="J42" i="1"/>
  <c r="I127" i="3" s="1"/>
  <c r="I126" i="3" s="1"/>
  <c r="J43" i="1"/>
  <c r="J44" i="1"/>
  <c r="I132" i="3" s="1"/>
  <c r="I131" i="3" s="1"/>
  <c r="J15" i="1"/>
  <c r="L95" i="3" l="1"/>
  <c r="G95" i="3"/>
  <c r="E95" i="3"/>
  <c r="N95" i="3"/>
  <c r="J95" i="3"/>
  <c r="M95" i="3"/>
  <c r="K95" i="3"/>
  <c r="H95" i="3"/>
  <c r="F95" i="3"/>
  <c r="M135" i="3"/>
  <c r="K135" i="3"/>
  <c r="H135" i="3"/>
  <c r="F135" i="3"/>
  <c r="N135" i="3"/>
  <c r="L135" i="3"/>
  <c r="J135" i="3"/>
  <c r="G135" i="3"/>
  <c r="E135" i="3"/>
  <c r="J47" i="1"/>
  <c r="M34" i="3"/>
  <c r="K34" i="3"/>
  <c r="H34" i="3"/>
  <c r="F34" i="3"/>
  <c r="N34" i="3"/>
  <c r="L34" i="3"/>
  <c r="J34" i="3"/>
  <c r="G34" i="3"/>
  <c r="E34" i="3"/>
  <c r="I83" i="3"/>
  <c r="I90" i="3"/>
  <c r="J184" i="1"/>
  <c r="I14" i="3"/>
  <c r="I13" i="3" s="1"/>
  <c r="I119" i="3"/>
  <c r="K111" i="3"/>
  <c r="I139" i="3"/>
  <c r="I138" i="3" s="1"/>
  <c r="I135" i="3" s="1"/>
  <c r="N17" i="3"/>
  <c r="L17" i="3"/>
  <c r="J17" i="3"/>
  <c r="G17" i="3"/>
  <c r="E17" i="3"/>
  <c r="M17" i="3"/>
  <c r="K17" i="3"/>
  <c r="H17" i="3"/>
  <c r="F17" i="3"/>
  <c r="N82" i="3"/>
  <c r="L82" i="3"/>
  <c r="J82" i="3"/>
  <c r="G82" i="3"/>
  <c r="M82" i="3"/>
  <c r="K82" i="3"/>
  <c r="H82" i="3"/>
  <c r="F82" i="3"/>
  <c r="L46" i="3"/>
  <c r="H46" i="3"/>
  <c r="F46" i="3"/>
  <c r="M46" i="3"/>
  <c r="K46" i="3"/>
  <c r="G46" i="3"/>
  <c r="I33" i="3"/>
  <c r="N33" i="3"/>
  <c r="L33" i="3"/>
  <c r="J33" i="3"/>
  <c r="G33" i="3"/>
  <c r="E33" i="3"/>
  <c r="M33" i="3"/>
  <c r="K33" i="3"/>
  <c r="H33" i="3"/>
  <c r="F33" i="3"/>
  <c r="L16" i="3"/>
  <c r="H16" i="3"/>
  <c r="F16" i="3"/>
  <c r="M16" i="3"/>
  <c r="K16" i="3"/>
  <c r="G16" i="3"/>
  <c r="E16" i="3"/>
  <c r="I21" i="3"/>
  <c r="I17" i="3" s="1"/>
  <c r="J176" i="1"/>
  <c r="J168" i="1"/>
  <c r="J167" i="1" s="1"/>
  <c r="J165" i="1"/>
  <c r="J154" i="1" s="1"/>
  <c r="J112" i="1"/>
  <c r="I74" i="3"/>
  <c r="I72" i="3"/>
  <c r="I36" i="3"/>
  <c r="I34" i="3" s="1"/>
  <c r="J73" i="1"/>
  <c r="I116" i="3"/>
  <c r="I73" i="3"/>
  <c r="J14" i="1"/>
  <c r="E80" i="3"/>
  <c r="E75" i="3" s="1"/>
  <c r="I101" i="3"/>
  <c r="I97" i="3"/>
  <c r="L123" i="3"/>
  <c r="J123" i="3"/>
  <c r="G123" i="3"/>
  <c r="I69" i="3"/>
  <c r="I49" i="3"/>
  <c r="I130" i="3"/>
  <c r="I128" i="3" s="1"/>
  <c r="I112" i="3"/>
  <c r="I78" i="3"/>
  <c r="I75" i="3" s="1"/>
  <c r="I59" i="3"/>
  <c r="I67" i="3"/>
  <c r="N113" i="3"/>
  <c r="N111" i="3" s="1"/>
  <c r="N123" i="3"/>
  <c r="H123" i="3"/>
  <c r="M123" i="3"/>
  <c r="M122" i="3" s="1"/>
  <c r="K123" i="3"/>
  <c r="K122" i="3" s="1"/>
  <c r="F123" i="3"/>
  <c r="F122" i="3" s="1"/>
  <c r="E123" i="3"/>
  <c r="E122" i="3" s="1"/>
  <c r="L13" i="3"/>
  <c r="I88" i="3"/>
  <c r="I123" i="3"/>
  <c r="M75" i="3"/>
  <c r="F75" i="3"/>
  <c r="I68" i="3"/>
  <c r="I51" i="3"/>
  <c r="N128" i="3"/>
  <c r="L128" i="3"/>
  <c r="J128" i="3"/>
  <c r="H128" i="3"/>
  <c r="G128" i="3"/>
  <c r="M111" i="3"/>
  <c r="F111" i="3"/>
  <c r="K75" i="3"/>
  <c r="L70" i="3"/>
  <c r="H70" i="3"/>
  <c r="N13" i="3"/>
  <c r="J13" i="3"/>
  <c r="H13" i="3"/>
  <c r="G13" i="3"/>
  <c r="M13" i="3"/>
  <c r="K13" i="3"/>
  <c r="F13" i="3"/>
  <c r="E13" i="3"/>
  <c r="L111" i="3"/>
  <c r="H111" i="3"/>
  <c r="G111" i="3"/>
  <c r="N70" i="3"/>
  <c r="J70" i="3"/>
  <c r="G70" i="3"/>
  <c r="M70" i="3"/>
  <c r="K70" i="3"/>
  <c r="F70" i="3"/>
  <c r="E70" i="3"/>
  <c r="N75" i="3"/>
  <c r="L75" i="3"/>
  <c r="J75" i="3"/>
  <c r="H75" i="3"/>
  <c r="G75" i="3"/>
  <c r="J147" i="1"/>
  <c r="J127" i="1" s="1"/>
  <c r="I95" i="3" l="1"/>
  <c r="K142" i="3"/>
  <c r="L198" i="1" s="1"/>
  <c r="J194" i="1"/>
  <c r="I118" i="3"/>
  <c r="G142" i="3"/>
  <c r="H198" i="1" s="1"/>
  <c r="J142" i="3"/>
  <c r="K198" i="1" s="1"/>
  <c r="N142" i="3"/>
  <c r="O198" i="1" s="1"/>
  <c r="M142" i="3"/>
  <c r="N198" i="1" s="1"/>
  <c r="H142" i="3"/>
  <c r="I198" i="1" s="1"/>
  <c r="I142" i="3"/>
  <c r="E142" i="3"/>
  <c r="F198" i="1" s="1"/>
  <c r="L142" i="3"/>
  <c r="M198" i="1" s="1"/>
  <c r="F142" i="3"/>
  <c r="G198" i="1" s="1"/>
  <c r="I82" i="3"/>
  <c r="K91" i="3"/>
  <c r="K141" i="3" s="1"/>
  <c r="H91" i="3"/>
  <c r="M91" i="3"/>
  <c r="M141" i="3" s="1"/>
  <c r="G91" i="3"/>
  <c r="L91" i="3"/>
  <c r="F91" i="3"/>
  <c r="F141" i="3" s="1"/>
  <c r="N91" i="3"/>
  <c r="I70" i="3"/>
  <c r="L122" i="3"/>
  <c r="G122" i="3"/>
  <c r="N122" i="3"/>
  <c r="J122" i="3"/>
  <c r="I122" i="3"/>
  <c r="H122" i="3"/>
  <c r="F37" i="1"/>
  <c r="F14" i="1" s="1"/>
  <c r="E188" i="1"/>
  <c r="D129" i="3" s="1"/>
  <c r="C188" i="1"/>
  <c r="D188" i="1"/>
  <c r="B188" i="1"/>
  <c r="J198" i="1" l="1"/>
  <c r="E90" i="3"/>
  <c r="E82" i="3" s="1"/>
  <c r="G141" i="3"/>
  <c r="L141" i="3"/>
  <c r="H141" i="3"/>
  <c r="E117" i="3"/>
  <c r="E111" i="3" s="1"/>
  <c r="E91" i="3" s="1"/>
  <c r="J87" i="1"/>
  <c r="J72" i="1" s="1"/>
  <c r="P188" i="1"/>
  <c r="O129" i="3" s="1"/>
  <c r="I113" i="3" l="1"/>
  <c r="I111" i="3" s="1"/>
  <c r="I91" i="3" s="1"/>
  <c r="J71" i="1"/>
  <c r="E142" i="1" l="1"/>
  <c r="C142" i="1"/>
  <c r="D142" i="1"/>
  <c r="B142" i="1"/>
  <c r="D104" i="3" l="1"/>
  <c r="P142" i="1"/>
  <c r="O104" i="3" s="1"/>
  <c r="F103" i="1"/>
  <c r="E63" i="3" l="1"/>
  <c r="F90" i="1"/>
  <c r="E46" i="3"/>
  <c r="E141" i="3" s="1"/>
  <c r="J18" i="3"/>
  <c r="N20" i="3" l="1"/>
  <c r="J20" i="3"/>
  <c r="J16" i="3" s="1"/>
  <c r="J51" i="1"/>
  <c r="J46" i="1" s="1"/>
  <c r="I20" i="3" l="1"/>
  <c r="N25" i="3"/>
  <c r="N16" i="3" s="1"/>
  <c r="J119" i="1"/>
  <c r="J117" i="1" s="1"/>
  <c r="D38" i="1"/>
  <c r="D171" i="1"/>
  <c r="D147" i="1"/>
  <c r="C121" i="1"/>
  <c r="D121" i="1"/>
  <c r="B121" i="1"/>
  <c r="D114" i="1"/>
  <c r="D61" i="1"/>
  <c r="D59" i="1"/>
  <c r="P191" i="1"/>
  <c r="O134" i="3" s="1"/>
  <c r="E186" i="1"/>
  <c r="E187" i="1"/>
  <c r="E189" i="1"/>
  <c r="E190" i="1"/>
  <c r="D133" i="3" s="1"/>
  <c r="E192" i="1"/>
  <c r="D137" i="3" s="1"/>
  <c r="D136" i="3" s="1"/>
  <c r="E185" i="1"/>
  <c r="K183" i="1"/>
  <c r="L183" i="1"/>
  <c r="M183" i="1"/>
  <c r="N183" i="1"/>
  <c r="O183" i="1"/>
  <c r="F183" i="1"/>
  <c r="G183" i="1"/>
  <c r="H183" i="1"/>
  <c r="I183" i="1"/>
  <c r="E178" i="1"/>
  <c r="D94" i="3" s="1"/>
  <c r="D93" i="3" s="1"/>
  <c r="E179" i="1"/>
  <c r="E180" i="1"/>
  <c r="D114" i="3" s="1"/>
  <c r="E181" i="1"/>
  <c r="D115" i="3" s="1"/>
  <c r="E182" i="1"/>
  <c r="E177" i="1"/>
  <c r="K175" i="1"/>
  <c r="L175" i="1"/>
  <c r="M175" i="1"/>
  <c r="N175" i="1"/>
  <c r="O175" i="1"/>
  <c r="F175" i="1"/>
  <c r="G175" i="1"/>
  <c r="H175" i="1"/>
  <c r="I175" i="1"/>
  <c r="J173" i="1"/>
  <c r="J172" i="1" s="1"/>
  <c r="E174" i="1"/>
  <c r="K173" i="1"/>
  <c r="K172" i="1" s="1"/>
  <c r="L173" i="1"/>
  <c r="L172" i="1" s="1"/>
  <c r="M173" i="1"/>
  <c r="M172" i="1" s="1"/>
  <c r="N173" i="1"/>
  <c r="N172" i="1" s="1"/>
  <c r="O173" i="1"/>
  <c r="O172" i="1" s="1"/>
  <c r="F173" i="1"/>
  <c r="F172" i="1" s="1"/>
  <c r="G173" i="1"/>
  <c r="G172" i="1" s="1"/>
  <c r="H173" i="1"/>
  <c r="H172" i="1" s="1"/>
  <c r="I173" i="1"/>
  <c r="I172" i="1" s="1"/>
  <c r="E173" i="1"/>
  <c r="E172" i="1" s="1"/>
  <c r="E170" i="1"/>
  <c r="E171" i="1"/>
  <c r="E169" i="1"/>
  <c r="K167" i="1"/>
  <c r="L167" i="1"/>
  <c r="M167" i="1"/>
  <c r="N167" i="1"/>
  <c r="O167" i="1"/>
  <c r="F167" i="1"/>
  <c r="G167" i="1"/>
  <c r="H167" i="1"/>
  <c r="I167" i="1"/>
  <c r="E156" i="1"/>
  <c r="E157" i="1"/>
  <c r="D89" i="3" s="1"/>
  <c r="E158" i="1"/>
  <c r="E159" i="1"/>
  <c r="D98" i="3" s="1"/>
  <c r="E160" i="1"/>
  <c r="D99" i="3" s="1"/>
  <c r="E162" i="1"/>
  <c r="E165" i="1"/>
  <c r="E155" i="1"/>
  <c r="K153" i="1"/>
  <c r="M153" i="1"/>
  <c r="N153" i="1"/>
  <c r="O153" i="1"/>
  <c r="F153" i="1"/>
  <c r="G153" i="1"/>
  <c r="H153" i="1"/>
  <c r="I153" i="1"/>
  <c r="J151" i="1"/>
  <c r="J150" i="1" s="1"/>
  <c r="E152" i="1"/>
  <c r="E151" i="1" s="1"/>
  <c r="E150" i="1" s="1"/>
  <c r="K151" i="1"/>
  <c r="K150" i="1" s="1"/>
  <c r="L151" i="1"/>
  <c r="L150" i="1" s="1"/>
  <c r="M151" i="1"/>
  <c r="M150" i="1" s="1"/>
  <c r="N151" i="1"/>
  <c r="N150" i="1" s="1"/>
  <c r="O151" i="1"/>
  <c r="O150" i="1" s="1"/>
  <c r="F151" i="1"/>
  <c r="F150" i="1" s="1"/>
  <c r="G151" i="1"/>
  <c r="G150" i="1" s="1"/>
  <c r="H151" i="1"/>
  <c r="H150" i="1" s="1"/>
  <c r="I151" i="1"/>
  <c r="I150" i="1" s="1"/>
  <c r="E130" i="1"/>
  <c r="P130" i="1" s="1"/>
  <c r="E131" i="1"/>
  <c r="D83" i="3" s="1"/>
  <c r="E132" i="1"/>
  <c r="E133" i="1"/>
  <c r="D85" i="3" s="1"/>
  <c r="E134" i="1"/>
  <c r="D86" i="3" s="1"/>
  <c r="E135" i="1"/>
  <c r="D87" i="3" s="1"/>
  <c r="E136" i="1"/>
  <c r="E137" i="1"/>
  <c r="E138" i="1"/>
  <c r="E139" i="1"/>
  <c r="P139" i="1" s="1"/>
  <c r="E141" i="1"/>
  <c r="D102" i="3" s="1"/>
  <c r="E145" i="1"/>
  <c r="E146" i="1"/>
  <c r="P146" i="1" s="1"/>
  <c r="E147" i="1"/>
  <c r="P147" i="1" s="1"/>
  <c r="E148" i="1"/>
  <c r="P148" i="1" s="1"/>
  <c r="E149" i="1"/>
  <c r="E129" i="1"/>
  <c r="K126" i="1"/>
  <c r="L126" i="1"/>
  <c r="M126" i="1"/>
  <c r="N126" i="1"/>
  <c r="O126" i="1"/>
  <c r="F126" i="1"/>
  <c r="G126" i="1"/>
  <c r="H126" i="1"/>
  <c r="I126" i="1"/>
  <c r="E119" i="1"/>
  <c r="D25" i="3" s="1"/>
  <c r="E120" i="1"/>
  <c r="D71" i="3" s="1"/>
  <c r="E121" i="1"/>
  <c r="E122" i="1"/>
  <c r="E123" i="1"/>
  <c r="E124" i="1"/>
  <c r="E118" i="1"/>
  <c r="K116" i="1"/>
  <c r="L116" i="1"/>
  <c r="M116" i="1"/>
  <c r="N116" i="1"/>
  <c r="F116" i="1"/>
  <c r="G116" i="1"/>
  <c r="H116" i="1"/>
  <c r="I116" i="1"/>
  <c r="E114" i="1"/>
  <c r="D55" i="3" s="1"/>
  <c r="E115" i="1"/>
  <c r="D56" i="3" s="1"/>
  <c r="E113" i="1"/>
  <c r="K111" i="1"/>
  <c r="L111" i="1"/>
  <c r="M111" i="1"/>
  <c r="N111" i="1"/>
  <c r="O111" i="1"/>
  <c r="F111" i="1"/>
  <c r="G111" i="1"/>
  <c r="H111" i="1"/>
  <c r="I111" i="1"/>
  <c r="E92" i="1"/>
  <c r="D47" i="3" s="1"/>
  <c r="E93" i="1"/>
  <c r="D48" i="3" s="1"/>
  <c r="E94" i="1"/>
  <c r="E95" i="1"/>
  <c r="D50" i="3" s="1"/>
  <c r="E96" i="1"/>
  <c r="E97" i="1"/>
  <c r="D52" i="3" s="1"/>
  <c r="E98" i="1"/>
  <c r="D53" i="3" s="1"/>
  <c r="E99" i="1"/>
  <c r="D54" i="3" s="1"/>
  <c r="E100" i="1"/>
  <c r="D60" i="3" s="1"/>
  <c r="E101" i="1"/>
  <c r="E102" i="1"/>
  <c r="D62" i="3" s="1"/>
  <c r="E103" i="1"/>
  <c r="D63" i="3" s="1"/>
  <c r="E104" i="1"/>
  <c r="D64" i="3" s="1"/>
  <c r="E105" i="1"/>
  <c r="D65" i="3" s="1"/>
  <c r="E106" i="1"/>
  <c r="D66" i="3" s="1"/>
  <c r="E107" i="1"/>
  <c r="E108" i="1"/>
  <c r="E109" i="1"/>
  <c r="P109" i="1" s="1"/>
  <c r="E110" i="1"/>
  <c r="E91" i="1"/>
  <c r="L89" i="1"/>
  <c r="M89" i="1"/>
  <c r="N89" i="1"/>
  <c r="F89" i="1"/>
  <c r="G89" i="1"/>
  <c r="H89" i="1"/>
  <c r="I89" i="1"/>
  <c r="E75" i="1"/>
  <c r="D35" i="3" s="1"/>
  <c r="E76" i="1"/>
  <c r="E77" i="1"/>
  <c r="D37" i="3" s="1"/>
  <c r="E78" i="1"/>
  <c r="D38" i="3" s="1"/>
  <c r="E79" i="1"/>
  <c r="D39" i="3" s="1"/>
  <c r="E80" i="1"/>
  <c r="D40" i="3" s="1"/>
  <c r="E81" i="1"/>
  <c r="D41" i="3" s="1"/>
  <c r="E82" i="1"/>
  <c r="D42" i="3" s="1"/>
  <c r="E83" i="1"/>
  <c r="D43" i="3" s="1"/>
  <c r="E84" i="1"/>
  <c r="D44" i="3" s="1"/>
  <c r="E85" i="1"/>
  <c r="D45" i="3" s="1"/>
  <c r="E87" i="1"/>
  <c r="E74" i="1"/>
  <c r="K45" i="1"/>
  <c r="L45" i="1"/>
  <c r="M45" i="1"/>
  <c r="N45" i="1"/>
  <c r="O45" i="1"/>
  <c r="F45" i="1"/>
  <c r="G45" i="1"/>
  <c r="H45" i="1"/>
  <c r="I45" i="1"/>
  <c r="E49" i="1"/>
  <c r="D18" i="3" s="1"/>
  <c r="E51" i="1"/>
  <c r="E52" i="1"/>
  <c r="E53" i="1"/>
  <c r="D22" i="3" s="1"/>
  <c r="E54" i="1"/>
  <c r="D23" i="3" s="1"/>
  <c r="E55" i="1"/>
  <c r="D24" i="3" s="1"/>
  <c r="E56" i="1"/>
  <c r="D26" i="3" s="1"/>
  <c r="E57" i="1"/>
  <c r="D27" i="3" s="1"/>
  <c r="E58" i="1"/>
  <c r="D28" i="3" s="1"/>
  <c r="E59" i="1"/>
  <c r="D29" i="3" s="1"/>
  <c r="E60" i="1"/>
  <c r="D30" i="3" s="1"/>
  <c r="E61" i="1"/>
  <c r="D31" i="3" s="1"/>
  <c r="E63" i="1"/>
  <c r="E64" i="1"/>
  <c r="E65" i="1"/>
  <c r="E68" i="1"/>
  <c r="E69" i="1"/>
  <c r="P69" i="1" s="1"/>
  <c r="E48" i="1"/>
  <c r="E16" i="1"/>
  <c r="D15" i="3" s="1"/>
  <c r="E17" i="1"/>
  <c r="E18" i="1"/>
  <c r="E19" i="1"/>
  <c r="D57" i="3" s="1"/>
  <c r="E20" i="1"/>
  <c r="D58" i="3" s="1"/>
  <c r="E21" i="1"/>
  <c r="E22" i="1"/>
  <c r="E23" i="1"/>
  <c r="E24" i="1"/>
  <c r="E25" i="1"/>
  <c r="E26" i="1"/>
  <c r="E27" i="1"/>
  <c r="D76" i="3" s="1"/>
  <c r="E28" i="1"/>
  <c r="D77" i="3" s="1"/>
  <c r="E29" i="1"/>
  <c r="E30" i="1"/>
  <c r="D79" i="3" s="1"/>
  <c r="E31" i="1"/>
  <c r="D80" i="3" s="1"/>
  <c r="E32" i="1"/>
  <c r="D81" i="3" s="1"/>
  <c r="E33" i="1"/>
  <c r="D108" i="3" s="1"/>
  <c r="D107" i="3" s="1"/>
  <c r="E34" i="1"/>
  <c r="D110" i="3" s="1"/>
  <c r="D109" i="3" s="1"/>
  <c r="E35" i="1"/>
  <c r="E36" i="1"/>
  <c r="E37" i="1"/>
  <c r="D117" i="3" s="1"/>
  <c r="E38" i="1"/>
  <c r="E39" i="1"/>
  <c r="E40" i="1"/>
  <c r="D124" i="3" s="1"/>
  <c r="E41" i="1"/>
  <c r="D125" i="3" s="1"/>
  <c r="E42" i="1"/>
  <c r="D127" i="3" s="1"/>
  <c r="D126" i="3" s="1"/>
  <c r="E43" i="1"/>
  <c r="E44" i="1"/>
  <c r="D132" i="3" s="1"/>
  <c r="D131" i="3" s="1"/>
  <c r="E15" i="1"/>
  <c r="K13" i="1"/>
  <c r="M13" i="1"/>
  <c r="N13" i="1"/>
  <c r="O13" i="1"/>
  <c r="F13" i="1"/>
  <c r="G13" i="1"/>
  <c r="H13" i="1"/>
  <c r="I13" i="1"/>
  <c r="L13" i="1"/>
  <c r="E72" i="1" l="1"/>
  <c r="E71" i="1" s="1"/>
  <c r="E154" i="1"/>
  <c r="D118" i="3"/>
  <c r="E127" i="1"/>
  <c r="E126" i="1" s="1"/>
  <c r="E47" i="1"/>
  <c r="D20" i="3"/>
  <c r="D16" i="3" s="1"/>
  <c r="E46" i="1"/>
  <c r="E45" i="1" s="1"/>
  <c r="D90" i="3"/>
  <c r="E153" i="1"/>
  <c r="E184" i="1"/>
  <c r="H193" i="1"/>
  <c r="H197" i="1" s="1"/>
  <c r="N193" i="1"/>
  <c r="N197" i="1" s="1"/>
  <c r="D119" i="3"/>
  <c r="I193" i="1"/>
  <c r="I197" i="1" s="1"/>
  <c r="M193" i="1"/>
  <c r="M197" i="1" s="1"/>
  <c r="P149" i="1"/>
  <c r="D139" i="3"/>
  <c r="D138" i="3" s="1"/>
  <c r="D135" i="3" s="1"/>
  <c r="E90" i="1"/>
  <c r="E89" i="1" s="1"/>
  <c r="G193" i="1"/>
  <c r="G197" i="1" s="1"/>
  <c r="F193" i="1"/>
  <c r="F197" i="1" s="1"/>
  <c r="D14" i="3"/>
  <c r="D13" i="3" s="1"/>
  <c r="D84" i="3"/>
  <c r="D33" i="3"/>
  <c r="D21" i="3"/>
  <c r="D17" i="3" s="1"/>
  <c r="E168" i="1"/>
  <c r="E167" i="1" s="1"/>
  <c r="E176" i="1"/>
  <c r="E175" i="1" s="1"/>
  <c r="D88" i="3"/>
  <c r="E117" i="1"/>
  <c r="E116" i="1" s="1"/>
  <c r="E112" i="1"/>
  <c r="E111" i="1" s="1"/>
  <c r="D116" i="3"/>
  <c r="E73" i="1"/>
  <c r="E14" i="1"/>
  <c r="E13" i="1" s="1"/>
  <c r="D36" i="3"/>
  <c r="D34" i="3" s="1"/>
  <c r="D61" i="3"/>
  <c r="D112" i="3"/>
  <c r="P129" i="1"/>
  <c r="O116" i="1"/>
  <c r="D73" i="3"/>
  <c r="D113" i="3"/>
  <c r="D67" i="3"/>
  <c r="D97" i="3"/>
  <c r="D130" i="3"/>
  <c r="D128" i="3" s="1"/>
  <c r="D74" i="3"/>
  <c r="D72" i="3"/>
  <c r="D101" i="3"/>
  <c r="I25" i="3"/>
  <c r="I16" i="3" s="1"/>
  <c r="J116" i="1"/>
  <c r="D123" i="3"/>
  <c r="D69" i="3"/>
  <c r="D78" i="3"/>
  <c r="D75" i="3" s="1"/>
  <c r="D59" i="3"/>
  <c r="P110" i="1"/>
  <c r="D68" i="3"/>
  <c r="D51" i="3"/>
  <c r="D49" i="3"/>
  <c r="P15" i="1"/>
  <c r="P43" i="1"/>
  <c r="P41" i="1"/>
  <c r="O125" i="3" s="1"/>
  <c r="P39" i="1"/>
  <c r="P37" i="1"/>
  <c r="O117" i="3" s="1"/>
  <c r="P35" i="1"/>
  <c r="P65" i="1"/>
  <c r="P63" i="1"/>
  <c r="P61" i="1"/>
  <c r="O31" i="3" s="1"/>
  <c r="P60" i="1"/>
  <c r="O30" i="3" s="1"/>
  <c r="P59" i="1"/>
  <c r="O29" i="3" s="1"/>
  <c r="P57" i="1"/>
  <c r="O27" i="3" s="1"/>
  <c r="P55" i="1"/>
  <c r="O24" i="3" s="1"/>
  <c r="P53" i="1"/>
  <c r="O22" i="3" s="1"/>
  <c r="P51" i="1"/>
  <c r="O20" i="3" s="1"/>
  <c r="P74" i="1"/>
  <c r="P106" i="1"/>
  <c r="O66" i="3" s="1"/>
  <c r="P104" i="1"/>
  <c r="O64" i="3" s="1"/>
  <c r="P102" i="1"/>
  <c r="O62" i="3" s="1"/>
  <c r="P100" i="1"/>
  <c r="O60" i="3" s="1"/>
  <c r="P98" i="1"/>
  <c r="O53" i="3" s="1"/>
  <c r="P96" i="1"/>
  <c r="P94" i="1"/>
  <c r="P137" i="1"/>
  <c r="P135" i="1"/>
  <c r="O87" i="3" s="1"/>
  <c r="P132" i="1"/>
  <c r="O84" i="3" s="1"/>
  <c r="P159" i="1"/>
  <c r="O98" i="3" s="1"/>
  <c r="P192" i="1"/>
  <c r="O137" i="3" s="1"/>
  <c r="O136" i="3" s="1"/>
  <c r="P44" i="1"/>
  <c r="O132" i="3" s="1"/>
  <c r="O131" i="3" s="1"/>
  <c r="P42" i="1"/>
  <c r="O127" i="3" s="1"/>
  <c r="O126" i="3" s="1"/>
  <c r="P40" i="1"/>
  <c r="O124" i="3" s="1"/>
  <c r="P38" i="1"/>
  <c r="J111" i="3" s="1"/>
  <c r="J91" i="3" s="1"/>
  <c r="P36" i="1"/>
  <c r="O116" i="3" s="1"/>
  <c r="P34" i="1"/>
  <c r="O110" i="3" s="1"/>
  <c r="O109" i="3" s="1"/>
  <c r="P68" i="1"/>
  <c r="P64" i="1"/>
  <c r="P58" i="1"/>
  <c r="O28" i="3" s="1"/>
  <c r="P56" i="1"/>
  <c r="O26" i="3" s="1"/>
  <c r="P54" i="1"/>
  <c r="O23" i="3" s="1"/>
  <c r="P52" i="1"/>
  <c r="P91" i="1"/>
  <c r="P107" i="1"/>
  <c r="O67" i="3" s="1"/>
  <c r="P105" i="1"/>
  <c r="O65" i="3" s="1"/>
  <c r="P103" i="1"/>
  <c r="O63" i="3" s="1"/>
  <c r="P101" i="1"/>
  <c r="O61" i="3" s="1"/>
  <c r="P99" i="1"/>
  <c r="O54" i="3" s="1"/>
  <c r="P97" i="1"/>
  <c r="O52" i="3" s="1"/>
  <c r="P95" i="1"/>
  <c r="O50" i="3" s="1"/>
  <c r="P93" i="1"/>
  <c r="O48" i="3" s="1"/>
  <c r="P141" i="1"/>
  <c r="O102" i="3" s="1"/>
  <c r="P136" i="1"/>
  <c r="P134" i="1"/>
  <c r="O86" i="3" s="1"/>
  <c r="P133" i="1"/>
  <c r="O85" i="3" s="1"/>
  <c r="P160" i="1"/>
  <c r="O99" i="3" s="1"/>
  <c r="P185" i="1"/>
  <c r="E183" i="1"/>
  <c r="J126" i="1"/>
  <c r="P145" i="1"/>
  <c r="P169" i="1"/>
  <c r="P170" i="1"/>
  <c r="P180" i="1"/>
  <c r="O114" i="3" s="1"/>
  <c r="J175" i="1"/>
  <c r="P189" i="1"/>
  <c r="P186" i="1"/>
  <c r="P115" i="1"/>
  <c r="O56" i="3" s="1"/>
  <c r="P114" i="1"/>
  <c r="O55" i="3" s="1"/>
  <c r="P33" i="1"/>
  <c r="O108" i="3" s="1"/>
  <c r="O107" i="3" s="1"/>
  <c r="P29" i="1"/>
  <c r="P27" i="1"/>
  <c r="O76" i="3" s="1"/>
  <c r="P25" i="1"/>
  <c r="P23" i="1"/>
  <c r="P21" i="1"/>
  <c r="P19" i="1"/>
  <c r="O57" i="3" s="1"/>
  <c r="P17" i="1"/>
  <c r="P118" i="1"/>
  <c r="P165" i="1"/>
  <c r="P174" i="1"/>
  <c r="P173" i="1" s="1"/>
  <c r="P172" i="1" s="1"/>
  <c r="P181" i="1"/>
  <c r="O115" i="3" s="1"/>
  <c r="P179" i="1"/>
  <c r="P178" i="1"/>
  <c r="O94" i="3" s="1"/>
  <c r="O93" i="3" s="1"/>
  <c r="P182" i="1"/>
  <c r="P138" i="1"/>
  <c r="P32" i="1"/>
  <c r="O81" i="3" s="1"/>
  <c r="P30" i="1"/>
  <c r="O79" i="3" s="1"/>
  <c r="P28" i="1"/>
  <c r="O77" i="3" s="1"/>
  <c r="P26" i="1"/>
  <c r="P22" i="1"/>
  <c r="P20" i="1"/>
  <c r="O58" i="3" s="1"/>
  <c r="P18" i="1"/>
  <c r="P87" i="1"/>
  <c r="P85" i="1"/>
  <c r="O45" i="3" s="1"/>
  <c r="P84" i="1"/>
  <c r="O44" i="3" s="1"/>
  <c r="P82" i="1"/>
  <c r="O42" i="3" s="1"/>
  <c r="P81" i="1"/>
  <c r="O41" i="3" s="1"/>
  <c r="P79" i="1"/>
  <c r="O39" i="3" s="1"/>
  <c r="P77" i="1"/>
  <c r="O37" i="3" s="1"/>
  <c r="P75" i="1"/>
  <c r="O35" i="3" s="1"/>
  <c r="P83" i="1"/>
  <c r="O43" i="3" s="1"/>
  <c r="P80" i="1"/>
  <c r="O40" i="3" s="1"/>
  <c r="P78" i="1"/>
  <c r="O38" i="3" s="1"/>
  <c r="P76" i="1"/>
  <c r="J111" i="1"/>
  <c r="P123" i="1"/>
  <c r="P124" i="1"/>
  <c r="P120" i="1"/>
  <c r="O71" i="3" s="1"/>
  <c r="P162" i="1"/>
  <c r="P158" i="1"/>
  <c r="P16" i="1"/>
  <c r="O15" i="3" s="1"/>
  <c r="P24" i="1"/>
  <c r="P131" i="1"/>
  <c r="O83" i="3" s="1"/>
  <c r="P171" i="1"/>
  <c r="P31" i="1"/>
  <c r="O80" i="3" s="1"/>
  <c r="P49" i="1"/>
  <c r="O18" i="3" s="1"/>
  <c r="P113" i="1"/>
  <c r="P122" i="1"/>
  <c r="P121" i="1"/>
  <c r="P187" i="1"/>
  <c r="P155" i="1"/>
  <c r="P156" i="1"/>
  <c r="P190" i="1"/>
  <c r="O133" i="3" s="1"/>
  <c r="J183" i="1"/>
  <c r="J45" i="1"/>
  <c r="P177" i="1"/>
  <c r="P152" i="1"/>
  <c r="P151" i="1" s="1"/>
  <c r="P150" i="1" s="1"/>
  <c r="P48" i="1"/>
  <c r="J13" i="1"/>
  <c r="P108" i="1"/>
  <c r="P119" i="1"/>
  <c r="O25" i="3" s="1"/>
  <c r="P72" i="1" l="1"/>
  <c r="P71" i="1" s="1"/>
  <c r="D95" i="3"/>
  <c r="E194" i="1"/>
  <c r="P127" i="1"/>
  <c r="D142" i="3"/>
  <c r="O118" i="3"/>
  <c r="O101" i="3"/>
  <c r="P46" i="1"/>
  <c r="P45" i="1" s="1"/>
  <c r="P47" i="1"/>
  <c r="O119" i="3"/>
  <c r="O14" i="3"/>
  <c r="O13" i="3" s="1"/>
  <c r="O90" i="3"/>
  <c r="O139" i="3"/>
  <c r="O138" i="3" s="1"/>
  <c r="O135" i="3" s="1"/>
  <c r="D82" i="3"/>
  <c r="E193" i="1"/>
  <c r="D46" i="3"/>
  <c r="O33" i="3"/>
  <c r="O16" i="3"/>
  <c r="O21" i="3"/>
  <c r="O17" i="3" s="1"/>
  <c r="P184" i="1"/>
  <c r="P176" i="1"/>
  <c r="P168" i="1"/>
  <c r="P117" i="1"/>
  <c r="P112" i="1"/>
  <c r="O36" i="3"/>
  <c r="O34" i="3" s="1"/>
  <c r="P73" i="1"/>
  <c r="P14" i="1"/>
  <c r="O97" i="3"/>
  <c r="O95" i="3" s="1"/>
  <c r="D111" i="3"/>
  <c r="O68" i="3"/>
  <c r="D122" i="3"/>
  <c r="D70" i="3"/>
  <c r="O112" i="3"/>
  <c r="O130" i="3"/>
  <c r="O128" i="3" s="1"/>
  <c r="O123" i="3"/>
  <c r="O88" i="3"/>
  <c r="O74" i="3"/>
  <c r="O73" i="3"/>
  <c r="O69" i="3"/>
  <c r="O51" i="3"/>
  <c r="O78" i="3"/>
  <c r="O75" i="3" s="1"/>
  <c r="O72" i="3"/>
  <c r="O113" i="3"/>
  <c r="O49" i="3"/>
  <c r="O59" i="3"/>
  <c r="L153" i="1"/>
  <c r="L193" i="1" s="1"/>
  <c r="L197" i="1" s="1"/>
  <c r="E198" i="1" l="1"/>
  <c r="P194" i="1"/>
  <c r="O142" i="3"/>
  <c r="D91" i="3"/>
  <c r="D141" i="3" s="1"/>
  <c r="E197" i="1" s="1"/>
  <c r="O122" i="3"/>
  <c r="O111" i="3"/>
  <c r="O91" i="3" s="1"/>
  <c r="O70" i="3"/>
  <c r="P157" i="1"/>
  <c r="P154" i="1" s="1"/>
  <c r="J153" i="1"/>
  <c r="P198" i="1" l="1"/>
  <c r="O89" i="3"/>
  <c r="O82" i="3" s="1"/>
  <c r="O92" i="1" l="1"/>
  <c r="K92" i="1"/>
  <c r="K90" i="1" s="1"/>
  <c r="J47" i="3" l="1"/>
  <c r="J46" i="3" s="1"/>
  <c r="J141" i="3" s="1"/>
  <c r="K89" i="1"/>
  <c r="K193" i="1" s="1"/>
  <c r="N47" i="3"/>
  <c r="O90" i="1"/>
  <c r="O89" i="1" s="1"/>
  <c r="O193" i="1" s="1"/>
  <c r="N46" i="3"/>
  <c r="N141" i="3" s="1"/>
  <c r="J92" i="1"/>
  <c r="O197" i="1" l="1"/>
  <c r="K197" i="1"/>
  <c r="I47" i="3"/>
  <c r="I46" i="3" s="1"/>
  <c r="I141" i="3" s="1"/>
  <c r="J90" i="1"/>
  <c r="P92" i="1"/>
  <c r="P13" i="1"/>
  <c r="P167" i="1"/>
  <c r="P183" i="1"/>
  <c r="O47" i="3" l="1"/>
  <c r="P90" i="1"/>
  <c r="P89" i="1" s="1"/>
  <c r="O46" i="3"/>
  <c r="O141" i="3" s="1"/>
  <c r="J89" i="1"/>
  <c r="J193" i="1" s="1"/>
  <c r="J197" i="1" s="1"/>
  <c r="P175" i="1"/>
  <c r="P153" i="1"/>
  <c r="P126" i="1"/>
  <c r="P116" i="1"/>
  <c r="P111" i="1"/>
  <c r="P193" i="1" l="1"/>
  <c r="P197" i="1" s="1"/>
  <c r="C41" i="1" l="1"/>
  <c r="C187" i="1" l="1"/>
  <c r="D187" i="1"/>
  <c r="B187" i="1"/>
  <c r="C146" i="1"/>
  <c r="D146" i="1"/>
  <c r="B146" i="1"/>
  <c r="C95" i="1" l="1"/>
  <c r="D95" i="1"/>
  <c r="B95" i="1"/>
  <c r="C24" i="1"/>
  <c r="D24" i="1"/>
  <c r="B24" i="1"/>
  <c r="C64" i="1"/>
  <c r="D64" i="1"/>
  <c r="B64" i="1"/>
  <c r="B82" i="1"/>
  <c r="C82" i="1"/>
  <c r="D82" i="1"/>
  <c r="D83" i="1"/>
  <c r="B101" i="1"/>
  <c r="C101" i="1"/>
  <c r="D101" i="1"/>
  <c r="B102" i="1"/>
  <c r="C102" i="1"/>
  <c r="D102" i="1"/>
  <c r="C98" i="1"/>
  <c r="D98" i="1"/>
  <c r="B98" i="1"/>
  <c r="C171" i="1"/>
  <c r="B171" i="1"/>
  <c r="C170" i="1"/>
  <c r="D170" i="1"/>
  <c r="B170" i="1"/>
  <c r="D85" i="1"/>
  <c r="C85" i="1"/>
  <c r="B85" i="1"/>
  <c r="C84" i="1"/>
  <c r="D84" i="1"/>
  <c r="B84" i="1"/>
  <c r="C38" i="1"/>
  <c r="B38" i="1"/>
  <c r="C110" i="1"/>
  <c r="B110" i="1"/>
  <c r="C108" i="1"/>
  <c r="D108" i="1"/>
  <c r="C109" i="1"/>
  <c r="D109" i="1"/>
  <c r="B109" i="1"/>
  <c r="B108" i="1"/>
  <c r="C107" i="1"/>
  <c r="D107" i="1"/>
  <c r="B107" i="1"/>
  <c r="C106" i="1"/>
  <c r="D106" i="1"/>
  <c r="B106" i="1"/>
  <c r="C105" i="1"/>
  <c r="D105" i="1"/>
  <c r="B105" i="1"/>
  <c r="C104" i="1"/>
  <c r="D104" i="1"/>
  <c r="B104" i="1"/>
  <c r="C103" i="1"/>
  <c r="D103" i="1"/>
  <c r="B103" i="1"/>
  <c r="C100" i="1"/>
  <c r="D100" i="1"/>
  <c r="B100" i="1"/>
  <c r="C99" i="1"/>
  <c r="D99" i="1"/>
  <c r="B99" i="1"/>
  <c r="C97" i="1"/>
  <c r="D97" i="1"/>
  <c r="B97" i="1"/>
  <c r="C96" i="1"/>
  <c r="D96" i="1"/>
  <c r="B96" i="1"/>
  <c r="C94" i="1"/>
  <c r="D94" i="1"/>
  <c r="B94" i="1"/>
  <c r="C93" i="1"/>
  <c r="B93" i="1"/>
  <c r="C92" i="1"/>
  <c r="D92" i="1"/>
  <c r="B92" i="1"/>
  <c r="C87" i="1"/>
  <c r="D87" i="1"/>
  <c r="B87" i="1"/>
  <c r="C81" i="1"/>
  <c r="D81" i="1"/>
  <c r="B81" i="1"/>
  <c r="C79" i="1"/>
  <c r="D79" i="1"/>
  <c r="B79" i="1"/>
  <c r="C77" i="1"/>
  <c r="D77" i="1"/>
  <c r="B77" i="1"/>
  <c r="C75" i="1"/>
  <c r="D75" i="1"/>
  <c r="B75" i="1"/>
  <c r="C69" i="1"/>
  <c r="D69" i="1"/>
  <c r="B69" i="1"/>
  <c r="C68" i="1"/>
  <c r="D68" i="1"/>
  <c r="B68" i="1"/>
  <c r="C65" i="1"/>
  <c r="D65" i="1"/>
  <c r="B65" i="1"/>
  <c r="D63" i="1"/>
  <c r="C63" i="1"/>
  <c r="B63" i="1"/>
  <c r="C59" i="1"/>
  <c r="C60" i="1"/>
  <c r="D60" i="1"/>
  <c r="B60" i="1"/>
  <c r="B59" i="1"/>
  <c r="C58" i="1"/>
  <c r="D58" i="1"/>
  <c r="B58" i="1"/>
  <c r="C56" i="1"/>
  <c r="D56" i="1"/>
  <c r="B56" i="1"/>
  <c r="C55" i="1"/>
  <c r="D55" i="1"/>
  <c r="B55" i="1"/>
  <c r="C53" i="1"/>
  <c r="D53" i="1"/>
  <c r="B53" i="1"/>
  <c r="C51" i="1"/>
  <c r="D51" i="1"/>
  <c r="B51" i="1"/>
  <c r="C49" i="1"/>
  <c r="D49" i="1"/>
  <c r="B49" i="1"/>
  <c r="C44" i="1"/>
  <c r="D44" i="1"/>
  <c r="B44" i="1"/>
  <c r="C43" i="1"/>
  <c r="D43" i="1"/>
  <c r="B43" i="1"/>
  <c r="C42" i="1"/>
  <c r="D42" i="1"/>
  <c r="B42" i="1"/>
  <c r="D41" i="1"/>
  <c r="B41" i="1"/>
  <c r="C40" i="1"/>
  <c r="D40" i="1"/>
  <c r="B40" i="1"/>
  <c r="C39" i="1"/>
  <c r="D39" i="1"/>
  <c r="B39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15" i="1"/>
  <c r="C115" i="1"/>
  <c r="B115" i="1"/>
  <c r="C119" i="1"/>
  <c r="D119" i="1"/>
  <c r="B119" i="1"/>
  <c r="C120" i="1"/>
  <c r="D120" i="1"/>
  <c r="B120" i="1"/>
  <c r="C122" i="1"/>
  <c r="D122" i="1"/>
  <c r="C123" i="1"/>
  <c r="D123" i="1"/>
  <c r="B123" i="1"/>
  <c r="B122" i="1"/>
  <c r="C124" i="1"/>
  <c r="D124" i="1"/>
  <c r="B124" i="1"/>
  <c r="C130" i="1"/>
  <c r="D130" i="1"/>
  <c r="B130" i="1"/>
  <c r="C134" i="1"/>
  <c r="D134" i="1"/>
  <c r="B134" i="1"/>
  <c r="C133" i="1"/>
  <c r="D133" i="1"/>
  <c r="B133" i="1"/>
  <c r="C132" i="1"/>
  <c r="D132" i="1"/>
  <c r="B132" i="1"/>
  <c r="C131" i="1"/>
  <c r="D131" i="1"/>
  <c r="B131" i="1"/>
  <c r="C135" i="1"/>
  <c r="D135" i="1"/>
  <c r="B135" i="1"/>
  <c r="C136" i="1"/>
  <c r="D136" i="1"/>
  <c r="B136" i="1"/>
  <c r="C137" i="1"/>
  <c r="D137" i="1"/>
  <c r="B137" i="1"/>
  <c r="C138" i="1"/>
  <c r="D138" i="1"/>
  <c r="B138" i="1"/>
  <c r="C139" i="1"/>
  <c r="D139" i="1"/>
  <c r="B139" i="1"/>
  <c r="C141" i="1"/>
  <c r="D141" i="1"/>
  <c r="B141" i="1"/>
  <c r="C145" i="1"/>
  <c r="D145" i="1"/>
  <c r="B145" i="1"/>
  <c r="C148" i="1"/>
  <c r="D148" i="1"/>
  <c r="B148" i="1"/>
  <c r="C149" i="1"/>
  <c r="B149" i="1"/>
  <c r="C156" i="1"/>
  <c r="D156" i="1"/>
  <c r="B156" i="1"/>
  <c r="C157" i="1"/>
  <c r="D157" i="1"/>
  <c r="B157" i="1"/>
  <c r="C158" i="1"/>
  <c r="D158" i="1"/>
  <c r="B158" i="1"/>
  <c r="C160" i="1"/>
  <c r="D160" i="1"/>
  <c r="B160" i="1"/>
  <c r="C159" i="1"/>
  <c r="D159" i="1"/>
  <c r="B159" i="1"/>
  <c r="C162" i="1"/>
  <c r="D162" i="1"/>
  <c r="B162" i="1"/>
  <c r="C165" i="1"/>
  <c r="D165" i="1"/>
  <c r="B165" i="1"/>
  <c r="C178" i="1"/>
  <c r="D178" i="1"/>
  <c r="B178" i="1"/>
  <c r="C179" i="1"/>
  <c r="D179" i="1"/>
  <c r="B179" i="1"/>
  <c r="C180" i="1"/>
  <c r="D180" i="1"/>
  <c r="B180" i="1"/>
  <c r="C181" i="1"/>
  <c r="D181" i="1"/>
  <c r="B181" i="1"/>
  <c r="C182" i="1"/>
  <c r="D182" i="1"/>
  <c r="B182" i="1"/>
  <c r="C186" i="1"/>
  <c r="D186" i="1"/>
  <c r="B186" i="1"/>
  <c r="C189" i="1"/>
  <c r="D189" i="1"/>
  <c r="B189" i="1"/>
  <c r="C190" i="1"/>
  <c r="D190" i="1"/>
  <c r="B190" i="1"/>
  <c r="C191" i="1"/>
  <c r="D191" i="1"/>
  <c r="B191" i="1"/>
  <c r="C192" i="1"/>
  <c r="D192" i="1"/>
  <c r="B192" i="1"/>
  <c r="C185" i="1"/>
  <c r="B185" i="1"/>
  <c r="C177" i="1"/>
  <c r="B177" i="1"/>
  <c r="C174" i="1"/>
  <c r="B174" i="1"/>
  <c r="C169" i="1"/>
  <c r="B169" i="1"/>
  <c r="C155" i="1"/>
  <c r="B155" i="1"/>
  <c r="C152" i="1"/>
  <c r="B152" i="1"/>
  <c r="C129" i="1"/>
  <c r="B129" i="1"/>
  <c r="C118" i="1"/>
  <c r="B118" i="1"/>
  <c r="C113" i="1"/>
  <c r="B113" i="1"/>
  <c r="C91" i="1"/>
  <c r="B91" i="1"/>
  <c r="C74" i="1"/>
  <c r="B74" i="1"/>
  <c r="C48" i="1"/>
  <c r="B48" i="1"/>
  <c r="C15" i="1"/>
  <c r="B15" i="1"/>
  <c r="D185" i="1"/>
  <c r="D177" i="1"/>
  <c r="D174" i="1"/>
  <c r="D169" i="1"/>
  <c r="D155" i="1"/>
  <c r="D152" i="1"/>
  <c r="D129" i="1"/>
  <c r="D118" i="1"/>
  <c r="D113" i="1"/>
  <c r="D91" i="1"/>
  <c r="D74" i="1"/>
  <c r="D48" i="1"/>
  <c r="D15" i="1"/>
</calcChain>
</file>

<file path=xl/sharedStrings.xml><?xml version="1.0" encoding="utf-8"?>
<sst xmlns="http://schemas.openxmlformats.org/spreadsheetml/2006/main" count="593" uniqueCount="457">
  <si>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</si>
  <si>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</si>
  <si>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</si>
  <si>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</si>
  <si>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</si>
  <si>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</si>
  <si>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</si>
  <si>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</si>
  <si>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</si>
  <si>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</si>
  <si>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</si>
  <si>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</si>
  <si>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</si>
  <si>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</si>
  <si>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</si>
  <si>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</si>
  <si>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</si>
  <si>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</si>
  <si>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</si>
  <si>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</si>
  <si>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</si>
  <si>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</si>
  <si>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</si>
  <si>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</si>
  <si>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</si>
  <si>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</si>
  <si>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</si>
  <si>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</si>
  <si>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</si>
  <si>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</si>
  <si>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</si>
  <si>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</si>
  <si>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</si>
  <si>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</si>
  <si>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</si>
  <si>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</si>
  <si>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</si>
  <si>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</si>
  <si>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</si>
  <si>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</si>
  <si>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</si>
  <si>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</si>
  <si>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</si>
  <si>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</si>
  <si>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</si>
  <si>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</si>
  <si>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</si>
  <si>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</si>
  <si>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</si>
  <si>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</si>
  <si>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</si>
  <si>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</si>
  <si>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</si>
  <si>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</si>
  <si>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</si>
  <si>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</si>
  <si>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</si>
  <si>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</si>
  <si>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</si>
  <si>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</si>
  <si>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</si>
  <si>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</si>
  <si>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</si>
  <si>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</si>
  <si>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</si>
  <si>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</si>
  <si>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</si>
  <si>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</si>
  <si>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</si>
  <si>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</si>
  <si>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</si>
  <si>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</si>
  <si>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</si>
  <si>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</si>
  <si>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</si>
  <si>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</si>
  <si>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</si>
  <si>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</si>
  <si>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</si>
  <si>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</si>
  <si>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</si>
  <si>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</si>
  <si>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</si>
  <si>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</si>
  <si>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</si>
  <si>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</si>
  <si>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</si>
  <si>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</si>
  <si>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</si>
  <si>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</si>
  <si>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</si>
  <si>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</si>
  <si>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</si>
  <si>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</si>
  <si>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</si>
  <si>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</si>
  <si>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</si>
  <si>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</si>
  <si>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</si>
  <si>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</si>
  <si>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</si>
  <si>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</si>
  <si>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</si>
  <si>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</si>
  <si>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</si>
  <si>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</si>
  <si>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</si>
  <si>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</si>
  <si>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</si>
  <si>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</si>
  <si>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</si>
  <si>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</si>
  <si>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</si>
  <si>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</si>
  <si>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</si>
  <si>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</si>
  <si>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</si>
  <si>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</si>
  <si>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</si>
  <si>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</si>
  <si>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</si>
  <si>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</si>
  <si>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</si>
  <si>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</si>
  <si>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</si>
  <si>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</si>
  <si>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</si>
  <si>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</si>
  <si>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</si>
  <si>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</si>
  <si>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</si>
  <si>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</si>
  <si>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</si>
  <si>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</si>
  <si>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</si>
  <si>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</si>
  <si>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</si>
  <si>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</si>
  <si>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</si>
  <si>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</si>
  <si>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</si>
  <si>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</si>
  <si>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</si>
  <si>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</si>
  <si>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</si>
  <si>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</si>
  <si>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</si>
  <si>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</si>
  <si>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</si>
  <si>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</si>
  <si>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</si>
  <si>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</si>
  <si>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</si>
  <si>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</si>
  <si>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</si>
  <si>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</si>
  <si>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</si>
  <si>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</si>
  <si>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</si>
  <si>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</si>
  <si>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</si>
  <si>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</si>
  <si>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</si>
  <si>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</si>
  <si>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</si>
  <si>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</si>
  <si>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</si>
  <si>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</si>
  <si>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</si>
  <si>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</si>
  <si>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</si>
  <si>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</si>
  <si>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</si>
  <si>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</si>
  <si>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</si>
  <si>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</si>
  <si>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</si>
  <si>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</si>
  <si>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</si>
  <si>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</si>
  <si>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</si>
  <si>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</si>
  <si>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</si>
  <si>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</si>
  <si>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</si>
  <si>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</si>
  <si>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</si>
  <si>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</si>
  <si>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</si>
  <si>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</si>
  <si>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</si>
  <si>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</si>
  <si>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</si>
  <si>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</si>
  <si>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</si>
  <si>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</si>
  <si>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</si>
  <si>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</si>
  <si>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</si>
  <si>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</si>
  <si>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</si>
  <si>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</si>
  <si>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</si>
  <si>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</si>
  <si>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</si>
  <si>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</si>
  <si>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</si>
  <si>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</si>
  <si>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</si>
  <si>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</si>
  <si>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</si>
  <si>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</si>
  <si>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</si>
  <si>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</si>
  <si>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</si>
  <si>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</si>
  <si>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</si>
  <si>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</si>
  <si>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</si>
  <si>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</si>
  <si>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</si>
  <si>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</si>
  <si>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</si>
  <si>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</si>
  <si>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</si>
  <si>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</si>
  <si>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</si>
  <si>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</si>
  <si>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</si>
  <si>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</si>
  <si>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</si>
  <si>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</si>
  <si>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</si>
  <si>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</si>
  <si>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</si>
  <si>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</si>
  <si>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</si>
  <si>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</si>
  <si>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</si>
  <si>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</si>
  <si>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</si>
  <si>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</si>
  <si>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</si>
  <si>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</si>
  <si>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</si>
  <si>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</si>
  <si>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</si>
  <si>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</si>
  <si>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</si>
  <si>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</si>
  <si>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</si>
  <si>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</si>
  <si>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</si>
  <si>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</si>
  <si>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</si>
  <si>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</si>
  <si>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</si>
  <si>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</si>
  <si>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</si>
  <si>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</si>
  <si>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</si>
  <si>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</si>
  <si>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</si>
  <si>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</si>
  <si>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</si>
  <si>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</si>
  <si>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</si>
  <si>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</si>
  <si>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</si>
  <si>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</si>
  <si>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</si>
  <si>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</si>
  <si>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</si>
  <si>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</si>
  <si>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</si>
  <si>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</si>
  <si>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</si>
  <si>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</si>
  <si>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</si>
  <si>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</si>
  <si>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</si>
  <si>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</si>
  <si>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</si>
  <si>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</si>
  <si>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</si>
  <si>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</si>
  <si>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</si>
  <si>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</si>
  <si>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</si>
  <si>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</si>
  <si>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</si>
  <si>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</si>
  <si>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</si>
  <si>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</si>
  <si>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</si>
  <si>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</si>
  <si>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</si>
  <si>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</si>
  <si>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</si>
  <si>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</si>
  <si>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</si>
  <si>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</si>
  <si>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</si>
  <si>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</si>
  <si>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</si>
  <si>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</si>
  <si>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</si>
  <si>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</si>
  <si>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у т.ч. за рахунок субвенцій з держбюджету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</si>
  <si>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</si>
  <si>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</si>
  <si>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</si>
  <si>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</si>
  <si>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</si>
  <si>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</si>
  <si>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</si>
  <si>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</si>
  <si>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</si>
  <si>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</si>
  <si>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</si>
  <si>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</si>
  <si>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</si>
  <si>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</si>
  <si>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</si>
  <si>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</si>
  <si>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</si>
  <si>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</si>
  <si>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</si>
  <si>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</si>
  <si>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</si>
  <si>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</si>
  <si>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</si>
  <si>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</si>
  <si>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</si>
  <si>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</si>
  <si>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</si>
  <si>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</si>
  <si>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</si>
  <si>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</si>
  <si>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</si>
  <si>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</si>
  <si>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</si>
  <si>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</si>
  <si>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</si>
  <si>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</si>
  <si>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</si>
  <si>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</si>
  <si>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</si>
  <si>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</si>
  <si>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</si>
  <si>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</si>
  <si>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</si>
  <si>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</si>
  <si>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</si>
  <si>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</si>
  <si>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</si>
  <si>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</si>
  <si>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</si>
  <si>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</si>
  <si>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</si>
  <si>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</si>
  <si>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</si>
  <si>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</si>
  <si>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</si>
  <si>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</si>
  <si>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</si>
  <si>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</si>
  <si>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</si>
  <si>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</si>
  <si>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</si>
  <si>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</si>
  <si>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</si>
  <si>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</si>
  <si>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</si>
  <si>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</si>
  <si>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</si>
  <si>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</si>
  <si>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</si>
  <si>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</si>
  <si>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</si>
  <si>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</si>
  <si>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</si>
  <si>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</si>
  <si>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</si>
  <si>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</si>
  <si>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</si>
  <si>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</si>
  <si>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</si>
  <si>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</si>
  <si>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</si>
  <si>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</si>
  <si>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</si>
  <si>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</si>
  <si>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</si>
  <si>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</si>
  <si>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</si>
  <si>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</si>
  <si>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</si>
  <si>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</si>
  <si>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</si>
  <si>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</si>
  <si>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</si>
  <si>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</si>
  <si>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</si>
  <si>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</si>
  <si>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</si>
  <si>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</si>
  <si>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</si>
  <si>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</si>
  <si>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</si>
  <si>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</si>
  <si>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</si>
  <si>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</si>
  <si>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</si>
  <si>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</si>
  <si>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</si>
  <si>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</si>
  <si>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</si>
  <si>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</si>
  <si>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</si>
  <si>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</si>
  <si>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</si>
  <si>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</si>
  <si>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</si>
  <si>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</si>
  <si>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</si>
  <si>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</si>
  <si>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</si>
  <si>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</si>
  <si>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</si>
  <si>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</si>
  <si>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</si>
  <si>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</si>
  <si>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</si>
  <si>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</si>
  <si>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</si>
  <si>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</si>
  <si>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</si>
  <si>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</si>
  <si>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</si>
  <si>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</si>
  <si>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</si>
  <si>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</si>
  <si>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</si>
  <si>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</si>
  <si>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</si>
  <si>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код бюджету</t>
  </si>
  <si>
    <t>1217361</t>
  </si>
  <si>
    <t>1517361</t>
  </si>
  <si>
    <t xml:space="preserve">                   Додаток 3</t>
  </si>
  <si>
    <t>до рішення виконавчого комітету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</si>
  <si>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</si>
  <si>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</si>
  <si>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Л.І. Співакова</t>
  </si>
  <si>
    <t xml:space="preserve">                   Додаток 4</t>
  </si>
  <si>
    <t>В.о. директора департаменту фінансів, економіки та інвестицій</t>
  </si>
  <si>
    <t>від 17.03.2020 №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</si>
</sst>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8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5" fillId="24" borderId="0" applyNumberFormat="0" applyBorder="0" applyAlignment="0" applyProtection="0"/>
    <xf numFmtId="0" fontId="35" fillId="30" borderId="0" applyNumberFormat="0" applyBorder="0" applyAlignment="0" applyProtection="0"/>
    <xf numFmtId="0" fontId="36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31" borderId="0" applyNumberFormat="0" applyBorder="0" applyAlignment="0" applyProtection="0"/>
    <xf numFmtId="0" fontId="36" fillId="37" borderId="0" applyNumberFormat="0" applyBorder="0" applyAlignment="0" applyProtection="0"/>
    <xf numFmtId="0" fontId="35" fillId="26" borderId="0" applyNumberFormat="0" applyBorder="0" applyAlignment="0" applyProtection="0"/>
    <xf numFmtId="0" fontId="35" fillId="32" borderId="0" applyNumberFormat="0" applyBorder="0" applyAlignment="0" applyProtection="0"/>
    <xf numFmtId="0" fontId="36" fillId="38" borderId="0" applyNumberFormat="0" applyBorder="0" applyAlignment="0" applyProtection="0"/>
    <xf numFmtId="0" fontId="35" fillId="27" borderId="0" applyNumberFormat="0" applyBorder="0" applyAlignment="0" applyProtection="0"/>
    <xf numFmtId="0" fontId="35" fillId="33" borderId="0" applyNumberFormat="0" applyBorder="0" applyAlignment="0" applyProtection="0"/>
    <xf numFmtId="0" fontId="36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34" borderId="0" applyNumberFormat="0" applyBorder="0" applyAlignment="0" applyProtection="0"/>
    <xf numFmtId="0" fontId="36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35" borderId="0" applyNumberFormat="0" applyBorder="0" applyAlignment="0" applyProtection="0"/>
    <xf numFmtId="0" fontId="36" fillId="41" borderId="0" applyNumberFormat="0" applyBorder="0" applyAlignment="0" applyProtection="0"/>
  </cellStyleXfs>
  <cellXfs count="157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3" fontId="39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7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/>
    </xf>
    <xf numFmtId="0" fontId="40" fillId="0" borderId="0" xfId="0" applyNumberFormat="1" applyFont="1" applyFill="1" applyAlignment="1" applyProtection="1">
      <alignment horizontal="left" vertical="center"/>
    </xf>
    <xf numFmtId="3" fontId="40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49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1" fontId="21" fillId="0" borderId="0" xfId="0" applyNumberFormat="1" applyFont="1" applyFill="1" applyAlignment="1">
      <alignment vertical="center" textRotation="180"/>
    </xf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4" fillId="0" borderId="0" xfId="0" applyNumberFormat="1" applyFont="1" applyFill="1" applyBorder="1" applyAlignment="1" applyProtection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/>
    <xf numFmtId="2" fontId="33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 applyProtection="1">
      <alignment horizontal="center"/>
    </xf>
    <xf numFmtId="49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" fontId="39" fillId="0" borderId="0" xfId="0" applyNumberFormat="1" applyFont="1" applyFill="1" applyAlignment="1" applyProtection="1">
      <alignment horizontal="center" vertical="center"/>
    </xf>
    <xf numFmtId="4" fontId="23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/>
    <xf numFmtId="3" fontId="40" fillId="0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vertical="center" textRotation="180"/>
    </xf>
    <xf numFmtId="1" fontId="28" fillId="0" borderId="0" xfId="0" applyNumberFormat="1" applyFont="1" applyFill="1" applyBorder="1" applyAlignment="1">
      <alignment horizontal="center" vertical="center" textRotation="180"/>
    </xf>
    <xf numFmtId="0" fontId="47" fillId="0" borderId="0" xfId="0" applyFont="1" applyFill="1" applyAlignment="1">
      <alignment vertical="center"/>
    </xf>
    <xf numFmtId="1" fontId="28" fillId="0" borderId="10" xfId="0" applyNumberFormat="1" applyFont="1" applyFill="1" applyBorder="1" applyAlignment="1">
      <alignment horizontal="center" vertical="center" textRotation="180" wrapText="1"/>
    </xf>
    <xf numFmtId="1" fontId="28" fillId="0" borderId="0" xfId="0" applyNumberFormat="1" applyFont="1" applyFill="1" applyBorder="1" applyAlignment="1">
      <alignment horizontal="center" textRotation="180"/>
    </xf>
    <xf numFmtId="3" fontId="28" fillId="0" borderId="0" xfId="0" applyNumberFormat="1" applyFont="1" applyFill="1" applyBorder="1" applyAlignment="1">
      <alignment horizontal="center" vertical="center" textRotation="180"/>
    </xf>
    <xf numFmtId="1" fontId="28" fillId="0" borderId="10" xfId="0" applyNumberFormat="1" applyFont="1" applyFill="1" applyBorder="1" applyAlignment="1">
      <alignment horizontal="center" vertical="center" textRotation="180"/>
    </xf>
    <xf numFmtId="3" fontId="40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0" fontId="45" fillId="0" borderId="0" xfId="0" applyNumberFormat="1" applyFont="1" applyFill="1" applyAlignment="1" applyProtection="1">
      <alignment horizontal="center" vertical="top"/>
    </xf>
    <xf numFmtId="49" fontId="44" fillId="0" borderId="0" xfId="0" applyNumberFormat="1" applyFont="1" applyFill="1" applyAlignment="1" applyProtection="1">
      <alignment horizontal="center" vertical="center"/>
    </xf>
    <xf numFmtId="0" fontId="47" fillId="0" borderId="0" xfId="0" applyFont="1" applyFill="1" applyAlignment="1">
      <alignment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textRotation="180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J693"/>
  <sheetViews>
    <sheetView showGridLines="0" showZeros="0" view="pageBreakPreview" zoomScale="77" zoomScaleNormal="71" zoomScaleSheetLayoutView="77" workbookViewId="0">
      <selection activeCell="K4" sqref="K4"/>
    </sheetView>
  </sheetViews>
  <sheetFormatPr defaultColWidth="9.1640625" defaultRowHeight="15" x14ac:dyDescent="0.25"/>
  <cols>
    <col min="1" max="1" width="16.6640625" style="92" customWidth="1"/>
    <col min="2" max="2" width="17.5" style="18" customWidth="1"/>
    <col min="3" max="3" width="18" style="18" customWidth="1"/>
    <col min="4" max="4" width="62" style="29" customWidth="1"/>
    <col min="5" max="5" width="21.33203125" style="59" customWidth="1"/>
    <col min="6" max="6" width="20.83203125" style="59" customWidth="1"/>
    <col min="7" max="7" width="21" style="59" customWidth="1"/>
    <col min="8" max="8" width="18.33203125" style="59" customWidth="1"/>
    <col min="9" max="9" width="18" style="59" customWidth="1"/>
    <col min="10" max="10" width="20.6640625" style="59" customWidth="1"/>
    <col min="11" max="11" width="20" style="59" customWidth="1"/>
    <col min="12" max="12" width="20.1640625" style="59" customWidth="1"/>
    <col min="13" max="13" width="18.33203125" style="59" customWidth="1"/>
    <col min="14" max="14" width="19.83203125" style="59" customWidth="1"/>
    <col min="15" max="15" width="18.83203125" style="59" customWidth="1"/>
    <col min="16" max="16" width="21.5" style="81" customWidth="1"/>
    <col min="17" max="17" width="9.1640625" style="141"/>
    <col min="18" max="530" width="9.1640625" style="34"/>
    <col min="531" max="16384" width="9.1640625" style="20"/>
  </cols>
  <sheetData>
    <row r="1" spans="1:530" ht="26.25" customHeight="1" x14ac:dyDescent="0.25">
      <c r="K1" s="142" t="s">
        <v>449</v>
      </c>
      <c r="L1" s="142"/>
      <c r="M1" s="142"/>
      <c r="N1" s="142"/>
      <c r="O1" s="122"/>
      <c r="P1" s="108"/>
      <c r="Q1" s="145">
        <v>13</v>
      </c>
    </row>
    <row r="2" spans="1:530" ht="26.25" customHeight="1" x14ac:dyDescent="0.25">
      <c r="K2" s="142" t="s">
        <v>450</v>
      </c>
      <c r="L2" s="142"/>
      <c r="M2" s="142"/>
      <c r="N2" s="142"/>
      <c r="O2" s="97"/>
      <c r="P2" s="108"/>
      <c r="Q2" s="145"/>
    </row>
    <row r="3" spans="1:530" ht="23.25" customHeight="1" x14ac:dyDescent="0.25">
      <c r="K3" s="152" t="s">
        <v>456</v>
      </c>
      <c r="L3" s="152"/>
      <c r="M3" s="152"/>
      <c r="N3" s="152"/>
      <c r="O3" s="131"/>
      <c r="P3" s="131"/>
      <c r="Q3" s="145"/>
    </row>
    <row r="4" spans="1:530" ht="26.25" customHeight="1" x14ac:dyDescent="0.25">
      <c r="K4" s="122"/>
      <c r="L4" s="122"/>
      <c r="M4" s="122"/>
      <c r="N4" s="122"/>
      <c r="O4" s="122"/>
      <c r="P4" s="122"/>
      <c r="Q4" s="145"/>
      <c r="R4" s="122"/>
    </row>
    <row r="5" spans="1:530" x14ac:dyDescent="0.25">
      <c r="P5" s="60"/>
      <c r="Q5" s="145"/>
    </row>
    <row r="6" spans="1:530" s="56" customFormat="1" ht="59.25" customHeight="1" x14ac:dyDescent="0.3">
      <c r="A6" s="149" t="s">
        <v>418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</row>
    <row r="7" spans="1:530" s="56" customFormat="1" ht="42" customHeight="1" x14ac:dyDescent="0.3">
      <c r="A7" s="151" t="s">
        <v>424</v>
      </c>
      <c r="B7" s="151"/>
      <c r="C7" s="100"/>
      <c r="D7" s="100"/>
      <c r="E7" s="127"/>
      <c r="F7" s="127"/>
      <c r="G7" s="127"/>
      <c r="H7" s="127"/>
      <c r="I7" s="127"/>
      <c r="J7" s="127"/>
      <c r="K7" s="100"/>
      <c r="L7" s="100"/>
      <c r="M7" s="100"/>
      <c r="N7" s="100"/>
      <c r="O7" s="100"/>
      <c r="P7" s="100"/>
      <c r="Q7" s="14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</row>
    <row r="8" spans="1:530" s="56" customFormat="1" ht="46.5" customHeight="1" x14ac:dyDescent="0.3">
      <c r="A8" s="150" t="s">
        <v>446</v>
      </c>
      <c r="B8" s="150"/>
      <c r="C8" s="100"/>
      <c r="D8" s="100"/>
      <c r="E8" s="127"/>
      <c r="F8" s="127"/>
      <c r="G8" s="127"/>
      <c r="H8" s="127"/>
      <c r="I8" s="127"/>
      <c r="J8" s="127"/>
      <c r="K8" s="100"/>
      <c r="L8" s="100"/>
      <c r="M8" s="100"/>
      <c r="N8" s="100"/>
      <c r="O8" s="100"/>
      <c r="P8" s="100"/>
      <c r="Q8" s="14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</row>
    <row r="9" spans="1:530" s="58" customFormat="1" ht="14.25" customHeight="1" x14ac:dyDescent="0.3">
      <c r="A9" s="86"/>
      <c r="B9" s="63"/>
      <c r="C9" s="63"/>
      <c r="D9" s="19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129" t="s">
        <v>420</v>
      </c>
      <c r="Q9" s="145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</row>
    <row r="10" spans="1:530" s="21" customFormat="1" ht="34.5" customHeight="1" x14ac:dyDescent="0.2">
      <c r="A10" s="153" t="s">
        <v>397</v>
      </c>
      <c r="B10" s="148" t="s">
        <v>398</v>
      </c>
      <c r="C10" s="148" t="s">
        <v>384</v>
      </c>
      <c r="D10" s="148" t="s">
        <v>399</v>
      </c>
      <c r="E10" s="148" t="s">
        <v>265</v>
      </c>
      <c r="F10" s="148"/>
      <c r="G10" s="148"/>
      <c r="H10" s="148"/>
      <c r="I10" s="148"/>
      <c r="J10" s="148" t="s">
        <v>266</v>
      </c>
      <c r="K10" s="148"/>
      <c r="L10" s="148"/>
      <c r="M10" s="148"/>
      <c r="N10" s="148"/>
      <c r="O10" s="148"/>
      <c r="P10" s="148" t="s">
        <v>267</v>
      </c>
      <c r="Q10" s="14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</row>
    <row r="11" spans="1:530" s="21" customFormat="1" ht="19.5" customHeight="1" x14ac:dyDescent="0.2">
      <c r="A11" s="153"/>
      <c r="B11" s="148"/>
      <c r="C11" s="148"/>
      <c r="D11" s="148"/>
      <c r="E11" s="148" t="s">
        <v>385</v>
      </c>
      <c r="F11" s="148" t="s">
        <v>268</v>
      </c>
      <c r="G11" s="148" t="s">
        <v>269</v>
      </c>
      <c r="H11" s="148"/>
      <c r="I11" s="148" t="s">
        <v>270</v>
      </c>
      <c r="J11" s="148" t="s">
        <v>385</v>
      </c>
      <c r="K11" s="148" t="s">
        <v>386</v>
      </c>
      <c r="L11" s="148" t="s">
        <v>268</v>
      </c>
      <c r="M11" s="148" t="s">
        <v>269</v>
      </c>
      <c r="N11" s="148"/>
      <c r="O11" s="148" t="s">
        <v>270</v>
      </c>
      <c r="P11" s="148"/>
      <c r="Q11" s="14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</row>
    <row r="12" spans="1:530" s="21" customFormat="1" ht="54" customHeight="1" x14ac:dyDescent="0.2">
      <c r="A12" s="153"/>
      <c r="B12" s="148"/>
      <c r="C12" s="148"/>
      <c r="D12" s="148"/>
      <c r="E12" s="148"/>
      <c r="F12" s="148"/>
      <c r="G12" s="128" t="s">
        <v>271</v>
      </c>
      <c r="H12" s="128" t="s">
        <v>272</v>
      </c>
      <c r="I12" s="148"/>
      <c r="J12" s="148"/>
      <c r="K12" s="148"/>
      <c r="L12" s="148"/>
      <c r="M12" s="79" t="s">
        <v>271</v>
      </c>
      <c r="N12" s="79" t="s">
        <v>272</v>
      </c>
      <c r="O12" s="148"/>
      <c r="P12" s="148"/>
      <c r="Q12" s="14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</row>
    <row r="13" spans="1:530" s="31" customFormat="1" ht="19.5" customHeight="1" x14ac:dyDescent="0.2">
      <c r="A13" s="87" t="s">
        <v>180</v>
      </c>
      <c r="B13" s="65"/>
      <c r="C13" s="65"/>
      <c r="D13" s="32" t="s">
        <v>48</v>
      </c>
      <c r="E13" s="66">
        <f>E14</f>
        <v>182361503</v>
      </c>
      <c r="F13" s="66">
        <f t="shared" ref="F13:J13" si="0">F14</f>
        <v>172361503</v>
      </c>
      <c r="G13" s="66">
        <f t="shared" si="0"/>
        <v>93458455</v>
      </c>
      <c r="H13" s="66">
        <f t="shared" si="0"/>
        <v>5289300</v>
      </c>
      <c r="I13" s="66">
        <f t="shared" si="0"/>
        <v>10000000</v>
      </c>
      <c r="J13" s="66">
        <f t="shared" si="0"/>
        <v>34271143.200000003</v>
      </c>
      <c r="K13" s="66">
        <f t="shared" ref="K13" si="1">K14</f>
        <v>33754300</v>
      </c>
      <c r="L13" s="66">
        <f t="shared" ref="L13" si="2">L14</f>
        <v>516843.2</v>
      </c>
      <c r="M13" s="66">
        <f t="shared" ref="M13" si="3">M14</f>
        <v>91105</v>
      </c>
      <c r="N13" s="66">
        <f t="shared" ref="N13" si="4">N14</f>
        <v>52450</v>
      </c>
      <c r="O13" s="66">
        <f t="shared" ref="O13:P13" si="5">O14</f>
        <v>33754300</v>
      </c>
      <c r="P13" s="66">
        <f t="shared" si="5"/>
        <v>216632646.19999999</v>
      </c>
      <c r="Q13" s="145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</row>
    <row r="14" spans="1:530" s="40" customFormat="1" ht="19.5" customHeight="1" x14ac:dyDescent="0.25">
      <c r="A14" s="77" t="s">
        <v>181</v>
      </c>
      <c r="B14" s="67"/>
      <c r="C14" s="67"/>
      <c r="D14" s="33" t="s">
        <v>48</v>
      </c>
      <c r="E14" s="68">
        <f>E15+E16+E17+E18+E19+E20+E21+E22+E23+E24+E25+E26+E27+E28+E29+E30+E31+E32+E33+E34+E35+E36+E37+E38+E39+E40+E41+E42+E43+E44</f>
        <v>182361503</v>
      </c>
      <c r="F14" s="68">
        <f t="shared" ref="F14:P14" si="6">F15+F16+F17+F18+F19+F20+F21+F22+F23+F24+F25+F26+F27+F28+F29+F30+F31+F32+F33+F34+F35+F36+F37+F38+F39+F40+F41+F42+F43+F44</f>
        <v>172361503</v>
      </c>
      <c r="G14" s="68">
        <f t="shared" si="6"/>
        <v>93458455</v>
      </c>
      <c r="H14" s="68">
        <f t="shared" si="6"/>
        <v>5289300</v>
      </c>
      <c r="I14" s="68">
        <f t="shared" si="6"/>
        <v>10000000</v>
      </c>
      <c r="J14" s="68">
        <f t="shared" si="6"/>
        <v>34271143.200000003</v>
      </c>
      <c r="K14" s="68">
        <f>K15+K16+K17+K18+K19+K20+K21+K22+K23+K24+K25+K26+K27+K28+K29+K30+K31+K32+K33+K34+K35+K36+K37+K38+K39+K40+K41+K42+K43+K44</f>
        <v>33754300</v>
      </c>
      <c r="L14" s="68">
        <f t="shared" si="6"/>
        <v>516843.2</v>
      </c>
      <c r="M14" s="68">
        <f t="shared" si="6"/>
        <v>91105</v>
      </c>
      <c r="N14" s="68">
        <f t="shared" si="6"/>
        <v>52450</v>
      </c>
      <c r="O14" s="68">
        <f t="shared" si="6"/>
        <v>33754300</v>
      </c>
      <c r="P14" s="68">
        <f t="shared" si="6"/>
        <v>216632646.19999999</v>
      </c>
      <c r="Q14" s="145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</row>
    <row r="15" spans="1:530" s="23" customFormat="1" ht="46.5" customHeight="1" x14ac:dyDescent="0.25">
      <c r="A15" s="43" t="s">
        <v>182</v>
      </c>
      <c r="B15" s="44" t="str">
        <f>'дод 4'!A14</f>
        <v>0160</v>
      </c>
      <c r="C15" s="44" t="str">
        <f>'дод 4'!B14</f>
        <v>0111</v>
      </c>
      <c r="D15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5" s="69">
        <f t="shared" ref="E15:E44" si="7">F15+I15</f>
        <v>100282882</v>
      </c>
      <c r="F15" s="69">
        <f>105070300+350000+405400-4697800+243482-1103300+14800</f>
        <v>100282882</v>
      </c>
      <c r="G15" s="69">
        <f>77144000-3850700+199575</f>
        <v>73492875</v>
      </c>
      <c r="H15" s="69">
        <v>2750400</v>
      </c>
      <c r="I15" s="69"/>
      <c r="J15" s="69">
        <f>L15+O15</f>
        <v>1230200</v>
      </c>
      <c r="K15" s="69">
        <v>1230200</v>
      </c>
      <c r="L15" s="69"/>
      <c r="M15" s="69"/>
      <c r="N15" s="69"/>
      <c r="O15" s="69">
        <v>1230200</v>
      </c>
      <c r="P15" s="69">
        <f t="shared" ref="P15:P44" si="8">E15+J15</f>
        <v>101513082</v>
      </c>
      <c r="Q15" s="14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</row>
    <row r="16" spans="1:530" s="23" customFormat="1" ht="21.75" customHeight="1" x14ac:dyDescent="0.25">
      <c r="A16" s="43" t="s">
        <v>283</v>
      </c>
      <c r="B16" s="44" t="str">
        <f>'дод 4'!A15</f>
        <v>0180</v>
      </c>
      <c r="C16" s="44" t="str">
        <f>'дод 4'!B15</f>
        <v>0133</v>
      </c>
      <c r="D16" s="24" t="str">
        <f>'дод 4'!C15</f>
        <v>Інша діяльність у сфері державного управління</v>
      </c>
      <c r="E16" s="69">
        <f t="shared" si="7"/>
        <v>310000</v>
      </c>
      <c r="F16" s="69">
        <v>310000</v>
      </c>
      <c r="G16" s="69"/>
      <c r="H16" s="69"/>
      <c r="I16" s="69"/>
      <c r="J16" s="69">
        <f t="shared" ref="J16:J44" si="9">L16+O16</f>
        <v>0</v>
      </c>
      <c r="K16" s="69"/>
      <c r="L16" s="69"/>
      <c r="M16" s="69"/>
      <c r="N16" s="69"/>
      <c r="O16" s="69"/>
      <c r="P16" s="69">
        <f t="shared" si="8"/>
        <v>310000</v>
      </c>
      <c r="Q16" s="14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</row>
    <row r="17" spans="1:530" s="23" customFormat="1" ht="43.5" customHeight="1" x14ac:dyDescent="0.25">
      <c r="A17" s="43" t="s">
        <v>299</v>
      </c>
      <c r="B17" s="44" t="str">
        <f>'дод 4'!A49</f>
        <v>3033</v>
      </c>
      <c r="C17" s="44" t="str">
        <f>'дод 4'!B49</f>
        <v>1070</v>
      </c>
      <c r="D17" s="24" t="str">
        <f>'дод 4'!C49</f>
        <v>Компенсаційні виплати на пільговий проїзд автомобільним транспортом окремим категоріям громадян</v>
      </c>
      <c r="E17" s="69">
        <f t="shared" si="7"/>
        <v>124200</v>
      </c>
      <c r="F17" s="69">
        <v>124200</v>
      </c>
      <c r="G17" s="69"/>
      <c r="H17" s="69"/>
      <c r="I17" s="69"/>
      <c r="J17" s="69">
        <f t="shared" si="9"/>
        <v>0</v>
      </c>
      <c r="K17" s="69"/>
      <c r="L17" s="69"/>
      <c r="M17" s="69"/>
      <c r="N17" s="69"/>
      <c r="O17" s="69"/>
      <c r="P17" s="69">
        <f t="shared" si="8"/>
        <v>124200</v>
      </c>
      <c r="Q17" s="14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</row>
    <row r="18" spans="1:530" s="23" customFormat="1" ht="36.75" customHeight="1" x14ac:dyDescent="0.25">
      <c r="A18" s="43" t="s">
        <v>183</v>
      </c>
      <c r="B18" s="44" t="str">
        <f>'дод 4'!A51</f>
        <v>3036</v>
      </c>
      <c r="C18" s="44" t="str">
        <f>'дод 4'!B51</f>
        <v>1070</v>
      </c>
      <c r="D18" s="24" t="str">
        <f>'дод 4'!C51</f>
        <v>Компенсаційні виплати на пільговий проїзд електротранспортом окремим категоріям громадян</v>
      </c>
      <c r="E18" s="69">
        <f t="shared" si="7"/>
        <v>270325</v>
      </c>
      <c r="F18" s="69">
        <v>270325</v>
      </c>
      <c r="G18" s="69"/>
      <c r="H18" s="69"/>
      <c r="I18" s="69"/>
      <c r="J18" s="69">
        <f t="shared" si="9"/>
        <v>0</v>
      </c>
      <c r="K18" s="69"/>
      <c r="L18" s="69"/>
      <c r="M18" s="69"/>
      <c r="N18" s="69"/>
      <c r="O18" s="69"/>
      <c r="P18" s="69">
        <f t="shared" si="8"/>
        <v>270325</v>
      </c>
      <c r="Q18" s="14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</row>
    <row r="19" spans="1:530" s="23" customFormat="1" ht="36" customHeight="1" x14ac:dyDescent="0.25">
      <c r="A19" s="43" t="s">
        <v>184</v>
      </c>
      <c r="B19" s="44" t="str">
        <f>'дод 4'!A57</f>
        <v>3121</v>
      </c>
      <c r="C19" s="44" t="str">
        <f>'дод 4'!B57</f>
        <v>1040</v>
      </c>
      <c r="D19" s="24" t="str">
        <f>'дод 4'!C57</f>
        <v>Утримання та забезпечення діяльності центрів соціальних служб для сім’ї, дітей та молоді</v>
      </c>
      <c r="E19" s="69">
        <f t="shared" si="7"/>
        <v>2529735</v>
      </c>
      <c r="F19" s="69">
        <f>2487735+42000</f>
        <v>2529735</v>
      </c>
      <c r="G19" s="69">
        <v>1883250</v>
      </c>
      <c r="H19" s="69">
        <v>50170</v>
      </c>
      <c r="I19" s="69"/>
      <c r="J19" s="69">
        <f t="shared" si="9"/>
        <v>0</v>
      </c>
      <c r="K19" s="69"/>
      <c r="L19" s="69"/>
      <c r="M19" s="69"/>
      <c r="N19" s="69"/>
      <c r="O19" s="69"/>
      <c r="P19" s="69">
        <f t="shared" si="8"/>
        <v>2529735</v>
      </c>
      <c r="Q19" s="14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</row>
    <row r="20" spans="1:530" s="23" customFormat="1" ht="48.75" customHeight="1" x14ac:dyDescent="0.25">
      <c r="A20" s="43" t="s">
        <v>185</v>
      </c>
      <c r="B20" s="44" t="str">
        <f>'дод 4'!A58</f>
        <v>3131</v>
      </c>
      <c r="C20" s="44" t="str">
        <f>'дод 4'!B58</f>
        <v>1040</v>
      </c>
      <c r="D20" s="24" t="str">
        <f>'дод 4'!C58</f>
        <v>Здійснення заходів та реалізація проектів на виконання Державної цільової соціальної програми "Молодь України"</v>
      </c>
      <c r="E20" s="69">
        <f t="shared" si="7"/>
        <v>850000</v>
      </c>
      <c r="F20" s="69">
        <v>850000</v>
      </c>
      <c r="G20" s="69"/>
      <c r="H20" s="69"/>
      <c r="I20" s="69"/>
      <c r="J20" s="69">
        <f t="shared" si="9"/>
        <v>0</v>
      </c>
      <c r="K20" s="69"/>
      <c r="L20" s="69"/>
      <c r="M20" s="69"/>
      <c r="N20" s="69"/>
      <c r="O20" s="69"/>
      <c r="P20" s="69">
        <f t="shared" si="8"/>
        <v>850000</v>
      </c>
      <c r="Q20" s="14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</row>
    <row r="21" spans="1:530" s="23" customFormat="1" ht="60" customHeight="1" x14ac:dyDescent="0.25">
      <c r="A21" s="43" t="s">
        <v>186</v>
      </c>
      <c r="B21" s="44" t="str">
        <f>'дод 4'!A59</f>
        <v>3140</v>
      </c>
      <c r="C21" s="44" t="str">
        <f>'дод 4'!B59</f>
        <v>1040</v>
      </c>
      <c r="D21" s="24" t="str">
        <f>'дод 4'!C59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69">
        <f t="shared" si="7"/>
        <v>560000</v>
      </c>
      <c r="F21" s="69">
        <v>560000</v>
      </c>
      <c r="G21" s="69"/>
      <c r="H21" s="69"/>
      <c r="I21" s="69"/>
      <c r="J21" s="69">
        <f t="shared" si="9"/>
        <v>0</v>
      </c>
      <c r="K21" s="69"/>
      <c r="L21" s="69"/>
      <c r="M21" s="69"/>
      <c r="N21" s="69"/>
      <c r="O21" s="69"/>
      <c r="P21" s="69">
        <f t="shared" si="8"/>
        <v>560000</v>
      </c>
      <c r="Q21" s="14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</row>
    <row r="22" spans="1:530" s="23" customFormat="1" ht="37.5" customHeight="1" x14ac:dyDescent="0.25">
      <c r="A22" s="43" t="s">
        <v>355</v>
      </c>
      <c r="B22" s="44" t="str">
        <f>'дод 4'!A68</f>
        <v>3241</v>
      </c>
      <c r="C22" s="44" t="str">
        <f>'дод 4'!B68</f>
        <v>1090</v>
      </c>
      <c r="D22" s="24" t="str">
        <f>'дод 4'!C68</f>
        <v>Забезпечення діяльності інших закладів у сфері соціального захисту і соціального забезпечення</v>
      </c>
      <c r="E22" s="69">
        <f t="shared" si="7"/>
        <v>1198395</v>
      </c>
      <c r="F22" s="69">
        <v>1198395</v>
      </c>
      <c r="G22" s="69">
        <v>852910</v>
      </c>
      <c r="H22" s="69">
        <v>114300</v>
      </c>
      <c r="I22" s="69"/>
      <c r="J22" s="69">
        <f t="shared" si="9"/>
        <v>0</v>
      </c>
      <c r="K22" s="69"/>
      <c r="L22" s="69"/>
      <c r="M22" s="69"/>
      <c r="N22" s="69"/>
      <c r="O22" s="69"/>
      <c r="P22" s="69">
        <f t="shared" si="8"/>
        <v>1198395</v>
      </c>
      <c r="Q22" s="14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</row>
    <row r="23" spans="1:530" s="23" customFormat="1" ht="33.75" customHeight="1" x14ac:dyDescent="0.25">
      <c r="A23" s="43" t="s">
        <v>356</v>
      </c>
      <c r="B23" s="44" t="str">
        <f>'дод 4'!A69</f>
        <v>3242</v>
      </c>
      <c r="C23" s="44" t="str">
        <f>'дод 4'!B69</f>
        <v>1090</v>
      </c>
      <c r="D23" s="24" t="str">
        <f>'дод 4'!C69</f>
        <v>Інші заходи у сфері соціального захисту і соціального забезпечення</v>
      </c>
      <c r="E23" s="69">
        <f t="shared" si="7"/>
        <v>218310</v>
      </c>
      <c r="F23" s="69">
        <v>218310</v>
      </c>
      <c r="G23" s="69"/>
      <c r="H23" s="69"/>
      <c r="I23" s="69"/>
      <c r="J23" s="69">
        <f t="shared" si="9"/>
        <v>0</v>
      </c>
      <c r="K23" s="69"/>
      <c r="L23" s="69"/>
      <c r="M23" s="69"/>
      <c r="N23" s="69"/>
      <c r="O23" s="69"/>
      <c r="P23" s="69">
        <f t="shared" si="8"/>
        <v>218310</v>
      </c>
      <c r="Q23" s="14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</row>
    <row r="24" spans="1:530" s="23" customFormat="1" ht="33.75" customHeight="1" x14ac:dyDescent="0.25">
      <c r="A24" s="43" t="s">
        <v>375</v>
      </c>
      <c r="B24" s="44" t="str">
        <f>'дод 4'!A72</f>
        <v>4060</v>
      </c>
      <c r="C24" s="44" t="str">
        <f>'дод 4'!B72</f>
        <v>0828</v>
      </c>
      <c r="D24" s="24" t="str">
        <f>'дод 4'!C72</f>
        <v>Забезпечення діяльності палаців i будинків культури, клубів, центрів дозвілля та iнших клубних закладів</v>
      </c>
      <c r="E24" s="69">
        <f t="shared" si="7"/>
        <v>4595000</v>
      </c>
      <c r="F24" s="70">
        <f>4745000-150000</f>
        <v>4595000</v>
      </c>
      <c r="G24" s="69">
        <v>2098000</v>
      </c>
      <c r="H24" s="69">
        <v>727600</v>
      </c>
      <c r="I24" s="69"/>
      <c r="J24" s="69">
        <f t="shared" si="9"/>
        <v>25500</v>
      </c>
      <c r="K24" s="69">
        <v>25500</v>
      </c>
      <c r="L24" s="69"/>
      <c r="M24" s="69"/>
      <c r="N24" s="69"/>
      <c r="O24" s="69">
        <v>25500</v>
      </c>
      <c r="P24" s="69">
        <f t="shared" si="8"/>
        <v>4620500</v>
      </c>
      <c r="Q24" s="14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</row>
    <row r="25" spans="1:530" s="23" customFormat="1" ht="30.75" customHeight="1" x14ac:dyDescent="0.25">
      <c r="A25" s="43" t="s">
        <v>353</v>
      </c>
      <c r="B25" s="44" t="str">
        <f>'дод 4'!A73</f>
        <v>4081</v>
      </c>
      <c r="C25" s="44" t="str">
        <f>'дод 4'!B73</f>
        <v>0829</v>
      </c>
      <c r="D25" s="24" t="str">
        <f>'дод 4'!C73</f>
        <v>Забезпечення діяльності інших закладів в галузі культури і мистецтва</v>
      </c>
      <c r="E25" s="69">
        <f t="shared" si="7"/>
        <v>3100900</v>
      </c>
      <c r="F25" s="69">
        <f>2374900+300000+276000+150000</f>
        <v>3100900</v>
      </c>
      <c r="G25" s="69">
        <v>1389000</v>
      </c>
      <c r="H25" s="69">
        <v>91200</v>
      </c>
      <c r="I25" s="69"/>
      <c r="J25" s="69">
        <f t="shared" si="9"/>
        <v>224000</v>
      </c>
      <c r="K25" s="69">
        <v>224000</v>
      </c>
      <c r="L25" s="69"/>
      <c r="M25" s="69"/>
      <c r="N25" s="69"/>
      <c r="O25" s="69">
        <v>224000</v>
      </c>
      <c r="P25" s="69">
        <f t="shared" si="8"/>
        <v>3324900</v>
      </c>
      <c r="Q25" s="14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</row>
    <row r="26" spans="1:530" s="23" customFormat="1" ht="25.5" customHeight="1" x14ac:dyDescent="0.25">
      <c r="A26" s="43" t="s">
        <v>354</v>
      </c>
      <c r="B26" s="44" t="str">
        <f>'дод 4'!A74</f>
        <v>4082</v>
      </c>
      <c r="C26" s="44" t="str">
        <f>'дод 4'!B74</f>
        <v>0829</v>
      </c>
      <c r="D26" s="24" t="str">
        <f>'дод 4'!C74</f>
        <v>Інші заходи в галузі культури і мистецтва</v>
      </c>
      <c r="E26" s="69">
        <f t="shared" si="7"/>
        <v>465000</v>
      </c>
      <c r="F26" s="69">
        <v>465000</v>
      </c>
      <c r="G26" s="69"/>
      <c r="H26" s="69"/>
      <c r="I26" s="69"/>
      <c r="J26" s="69">
        <f t="shared" si="9"/>
        <v>0</v>
      </c>
      <c r="K26" s="69"/>
      <c r="L26" s="69"/>
      <c r="M26" s="69"/>
      <c r="N26" s="69"/>
      <c r="O26" s="69"/>
      <c r="P26" s="69">
        <f t="shared" si="8"/>
        <v>465000</v>
      </c>
      <c r="Q26" s="14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</row>
    <row r="27" spans="1:530" s="23" customFormat="1" ht="36.75" customHeight="1" x14ac:dyDescent="0.25">
      <c r="A27" s="52" t="s">
        <v>187</v>
      </c>
      <c r="B27" s="45" t="str">
        <f>'дод 4'!A76</f>
        <v>5011</v>
      </c>
      <c r="C27" s="45" t="str">
        <f>'дод 4'!B76</f>
        <v>0810</v>
      </c>
      <c r="D27" s="22" t="str">
        <f>'дод 4'!C76</f>
        <v>Проведення навчально-тренувальних зборів і змагань з олімпійських видів спорту</v>
      </c>
      <c r="E27" s="69">
        <f t="shared" si="7"/>
        <v>1750000</v>
      </c>
      <c r="F27" s="69">
        <f>750000+1000000</f>
        <v>1750000</v>
      </c>
      <c r="G27" s="69"/>
      <c r="H27" s="69"/>
      <c r="I27" s="69"/>
      <c r="J27" s="69">
        <f t="shared" si="9"/>
        <v>0</v>
      </c>
      <c r="K27" s="69"/>
      <c r="L27" s="69"/>
      <c r="M27" s="69"/>
      <c r="N27" s="69"/>
      <c r="O27" s="69"/>
      <c r="P27" s="69">
        <f t="shared" si="8"/>
        <v>1750000</v>
      </c>
      <c r="Q27" s="14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</row>
    <row r="28" spans="1:530" s="23" customFormat="1" ht="34.5" customHeight="1" x14ac:dyDescent="0.25">
      <c r="A28" s="52" t="s">
        <v>188</v>
      </c>
      <c r="B28" s="45" t="str">
        <f>'дод 4'!A77</f>
        <v>5012</v>
      </c>
      <c r="C28" s="45" t="str">
        <f>'дод 4'!B77</f>
        <v>0810</v>
      </c>
      <c r="D28" s="22" t="str">
        <f>'дод 4'!C77</f>
        <v>Проведення навчально-тренувальних зборів і змагань з неолімпійських видів спорту</v>
      </c>
      <c r="E28" s="69">
        <f t="shared" si="7"/>
        <v>2177000</v>
      </c>
      <c r="F28" s="69">
        <f>750000+1300000+127000</f>
        <v>2177000</v>
      </c>
      <c r="G28" s="69"/>
      <c r="H28" s="69"/>
      <c r="I28" s="69"/>
      <c r="J28" s="69">
        <f t="shared" si="9"/>
        <v>0</v>
      </c>
      <c r="K28" s="69"/>
      <c r="L28" s="69"/>
      <c r="M28" s="69"/>
      <c r="N28" s="69"/>
      <c r="O28" s="69"/>
      <c r="P28" s="69">
        <f t="shared" si="8"/>
        <v>2177000</v>
      </c>
      <c r="Q28" s="14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</row>
    <row r="29" spans="1:530" s="23" customFormat="1" ht="39" customHeight="1" x14ac:dyDescent="0.25">
      <c r="A29" s="52" t="s">
        <v>189</v>
      </c>
      <c r="B29" s="45" t="str">
        <f>'дод 4'!A78</f>
        <v>5031</v>
      </c>
      <c r="C29" s="45" t="str">
        <f>'дод 4'!B78</f>
        <v>0810</v>
      </c>
      <c r="D29" s="22" t="str">
        <f>'дод 4'!C78</f>
        <v>Утримання та навчально-тренувальна робота комунальних дитячо-юнацьких спортивних шкіл</v>
      </c>
      <c r="E29" s="69">
        <f t="shared" si="7"/>
        <v>13143830</v>
      </c>
      <c r="F29" s="69">
        <f>13106830+37000</f>
        <v>13143830</v>
      </c>
      <c r="G29" s="69">
        <v>9753300</v>
      </c>
      <c r="H29" s="69">
        <v>819990</v>
      </c>
      <c r="I29" s="69">
        <v>0</v>
      </c>
      <c r="J29" s="69">
        <f t="shared" si="9"/>
        <v>500000</v>
      </c>
      <c r="K29" s="69">
        <v>500000</v>
      </c>
      <c r="L29" s="69"/>
      <c r="M29" s="69"/>
      <c r="N29" s="69"/>
      <c r="O29" s="69">
        <v>500000</v>
      </c>
      <c r="P29" s="69">
        <f t="shared" si="8"/>
        <v>13643830</v>
      </c>
      <c r="Q29" s="1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</row>
    <row r="30" spans="1:530" s="23" customFormat="1" ht="33.75" customHeight="1" x14ac:dyDescent="0.25">
      <c r="A30" s="52" t="s">
        <v>419</v>
      </c>
      <c r="B30" s="45" t="str">
        <f>'дод 4'!A79</f>
        <v>5032</v>
      </c>
      <c r="C30" s="45" t="str">
        <f>'дод 4'!B79</f>
        <v>0810</v>
      </c>
      <c r="D30" s="22" t="str">
        <f>'дод 4'!C79</f>
        <v>Фінансова підтримка дитячо-юнацьких спортивних шкіл фізкультурно-спортивних товариств</v>
      </c>
      <c r="E30" s="69">
        <f t="shared" si="7"/>
        <v>11163630</v>
      </c>
      <c r="F30" s="69">
        <f>11143630+20000</f>
        <v>11163630</v>
      </c>
      <c r="G30" s="69"/>
      <c r="H30" s="69"/>
      <c r="I30" s="69"/>
      <c r="J30" s="69">
        <f t="shared" si="9"/>
        <v>93000</v>
      </c>
      <c r="K30" s="69">
        <v>93000</v>
      </c>
      <c r="L30" s="69"/>
      <c r="M30" s="69"/>
      <c r="N30" s="69"/>
      <c r="O30" s="69">
        <v>93000</v>
      </c>
      <c r="P30" s="69">
        <f t="shared" si="8"/>
        <v>11256630</v>
      </c>
      <c r="Q30" s="1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</row>
    <row r="31" spans="1:530" s="23" customFormat="1" ht="48" customHeight="1" x14ac:dyDescent="0.25">
      <c r="A31" s="52" t="s">
        <v>190</v>
      </c>
      <c r="B31" s="45" t="str">
        <f>'дод 4'!A80</f>
        <v>5061</v>
      </c>
      <c r="C31" s="45" t="str">
        <f>'дод 4'!B80</f>
        <v>0810</v>
      </c>
      <c r="D31" s="22" t="str">
        <f>'дод 4'!C80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69">
        <f t="shared" si="7"/>
        <v>3943120</v>
      </c>
      <c r="F31" s="69">
        <f>3728120+165000+50000</f>
        <v>3943120</v>
      </c>
      <c r="G31" s="69">
        <v>2446900</v>
      </c>
      <c r="H31" s="69">
        <v>370100</v>
      </c>
      <c r="I31" s="69"/>
      <c r="J31" s="69">
        <f t="shared" si="9"/>
        <v>1079120</v>
      </c>
      <c r="K31" s="69">
        <v>900000</v>
      </c>
      <c r="L31" s="69">
        <v>179120</v>
      </c>
      <c r="M31" s="69">
        <v>91105</v>
      </c>
      <c r="N31" s="69">
        <v>51050</v>
      </c>
      <c r="O31" s="69">
        <v>900000</v>
      </c>
      <c r="P31" s="69">
        <f t="shared" si="8"/>
        <v>5022240</v>
      </c>
      <c r="Q31" s="1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</row>
    <row r="32" spans="1:530" s="23" customFormat="1" ht="39" customHeight="1" x14ac:dyDescent="0.25">
      <c r="A32" s="52" t="s">
        <v>410</v>
      </c>
      <c r="B32" s="45" t="str">
        <f>'дод 4'!A81</f>
        <v>5062</v>
      </c>
      <c r="C32" s="45" t="str">
        <f>'дод 4'!B81</f>
        <v>0810</v>
      </c>
      <c r="D32" s="22" t="str">
        <f>'дод 4'!C81</f>
        <v>Підтримка спорту вищих досягнень та організацій, які здійснюють фізкультурно-спортивну діяльність в регіоні</v>
      </c>
      <c r="E32" s="69">
        <f t="shared" si="7"/>
        <v>6808390</v>
      </c>
      <c r="F32" s="69">
        <f>6608390+200000</f>
        <v>6808390</v>
      </c>
      <c r="G32" s="69"/>
      <c r="H32" s="69"/>
      <c r="I32" s="69"/>
      <c r="J32" s="69">
        <f t="shared" si="9"/>
        <v>0</v>
      </c>
      <c r="K32" s="69"/>
      <c r="L32" s="69"/>
      <c r="M32" s="69"/>
      <c r="N32" s="69"/>
      <c r="O32" s="69"/>
      <c r="P32" s="69">
        <f t="shared" si="8"/>
        <v>6808390</v>
      </c>
      <c r="Q32" s="1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</row>
    <row r="33" spans="1:530" s="23" customFormat="1" ht="24" customHeight="1" x14ac:dyDescent="0.25">
      <c r="A33" s="52" t="s">
        <v>191</v>
      </c>
      <c r="B33" s="45" t="str">
        <f>'дод 4'!A108</f>
        <v>7412</v>
      </c>
      <c r="C33" s="45" t="str">
        <f>'дод 4'!B108</f>
        <v>0451</v>
      </c>
      <c r="D33" s="22" t="str">
        <f>'дод 4'!C108</f>
        <v>Регулювання цін на послуги місцевого автотранспорту</v>
      </c>
      <c r="E33" s="69">
        <f t="shared" si="7"/>
        <v>10000000</v>
      </c>
      <c r="F33" s="69"/>
      <c r="G33" s="69"/>
      <c r="H33" s="69"/>
      <c r="I33" s="69">
        <v>10000000</v>
      </c>
      <c r="J33" s="69">
        <f t="shared" si="9"/>
        <v>0</v>
      </c>
      <c r="K33" s="69"/>
      <c r="L33" s="69"/>
      <c r="M33" s="69"/>
      <c r="N33" s="69"/>
      <c r="O33" s="69"/>
      <c r="P33" s="69">
        <f t="shared" si="8"/>
        <v>10000000</v>
      </c>
      <c r="Q33" s="1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</row>
    <row r="34" spans="1:530" s="23" customFormat="1" ht="31.5" customHeight="1" x14ac:dyDescent="0.25">
      <c r="A34" s="52" t="s">
        <v>275</v>
      </c>
      <c r="B34" s="45" t="str">
        <f>'дод 4'!A110</f>
        <v>7530</v>
      </c>
      <c r="C34" s="45" t="str">
        <f>'дод 4'!B110</f>
        <v>0460</v>
      </c>
      <c r="D34" s="22" t="str">
        <f>'дод 4'!C110</f>
        <v>Інші заходи у сфері зв'язку, телекомунікації та інформатики</v>
      </c>
      <c r="E34" s="69">
        <f t="shared" si="7"/>
        <v>13450000</v>
      </c>
      <c r="F34" s="69">
        <f>10000000+3450000</f>
        <v>13450000</v>
      </c>
      <c r="G34" s="69"/>
      <c r="H34" s="69"/>
      <c r="I34" s="69"/>
      <c r="J34" s="69">
        <f t="shared" si="9"/>
        <v>6050000</v>
      </c>
      <c r="K34" s="69">
        <f>5000000+1050000</f>
        <v>6050000</v>
      </c>
      <c r="L34" s="69"/>
      <c r="M34" s="69"/>
      <c r="N34" s="69"/>
      <c r="O34" s="69">
        <f>5000000+1050000</f>
        <v>6050000</v>
      </c>
      <c r="P34" s="69">
        <f t="shared" si="8"/>
        <v>19500000</v>
      </c>
      <c r="Q34" s="1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</row>
    <row r="35" spans="1:530" s="23" customFormat="1" ht="20.25" customHeight="1" x14ac:dyDescent="0.25">
      <c r="A35" s="52" t="s">
        <v>192</v>
      </c>
      <c r="B35" s="45" t="str">
        <f>'дод 4'!A112</f>
        <v>7610</v>
      </c>
      <c r="C35" s="45" t="str">
        <f>'дод 4'!B112</f>
        <v>0411</v>
      </c>
      <c r="D35" s="22" t="str">
        <f>'дод 4'!C112</f>
        <v>Сприяння розвитку малого та середнього підприємництва</v>
      </c>
      <c r="E35" s="69">
        <f t="shared" si="7"/>
        <v>215000</v>
      </c>
      <c r="F35" s="69">
        <f>115000+100000</f>
        <v>215000</v>
      </c>
      <c r="G35" s="69"/>
      <c r="H35" s="69"/>
      <c r="I35" s="69"/>
      <c r="J35" s="69">
        <f t="shared" si="9"/>
        <v>0</v>
      </c>
      <c r="K35" s="69"/>
      <c r="L35" s="69"/>
      <c r="M35" s="69"/>
      <c r="N35" s="69"/>
      <c r="O35" s="69"/>
      <c r="P35" s="69">
        <f t="shared" si="8"/>
        <v>215000</v>
      </c>
      <c r="Q35" s="146">
        <v>14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</row>
    <row r="36" spans="1:530" s="23" customFormat="1" ht="23.25" customHeight="1" x14ac:dyDescent="0.25">
      <c r="A36" s="52" t="s">
        <v>193</v>
      </c>
      <c r="B36" s="45" t="str">
        <f>'дод 4'!A116</f>
        <v>7670</v>
      </c>
      <c r="C36" s="45" t="str">
        <f>'дод 4'!B116</f>
        <v>0490</v>
      </c>
      <c r="D36" s="22" t="str">
        <f>'дод 4'!C116</f>
        <v>Внески до статутного капіталу суб’єктів господарювання</v>
      </c>
      <c r="E36" s="69">
        <f t="shared" si="7"/>
        <v>0</v>
      </c>
      <c r="F36" s="69"/>
      <c r="G36" s="69"/>
      <c r="H36" s="69"/>
      <c r="I36" s="69"/>
      <c r="J36" s="69">
        <f t="shared" si="9"/>
        <v>22572000</v>
      </c>
      <c r="K36" s="69">
        <f>22572000</f>
        <v>22572000</v>
      </c>
      <c r="L36" s="69"/>
      <c r="M36" s="69"/>
      <c r="N36" s="69"/>
      <c r="O36" s="69">
        <f>22572000</f>
        <v>22572000</v>
      </c>
      <c r="P36" s="69">
        <f t="shared" si="8"/>
        <v>22572000</v>
      </c>
      <c r="Q36" s="1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</row>
    <row r="37" spans="1:530" s="23" customFormat="1" ht="36.75" customHeight="1" x14ac:dyDescent="0.25">
      <c r="A37" s="52" t="s">
        <v>289</v>
      </c>
      <c r="B37" s="45" t="str">
        <f>'дод 4'!A117</f>
        <v>7680</v>
      </c>
      <c r="C37" s="45" t="str">
        <f>'дод 4'!B117</f>
        <v>0490</v>
      </c>
      <c r="D37" s="22" t="str">
        <f>'дод 4'!C117</f>
        <v>Членські внески до асоціацій органів місцевого самоврядування</v>
      </c>
      <c r="E37" s="69">
        <f t="shared" si="7"/>
        <v>240069</v>
      </c>
      <c r="F37" s="69">
        <f>158069+82000</f>
        <v>240069</v>
      </c>
      <c r="G37" s="69"/>
      <c r="H37" s="69"/>
      <c r="I37" s="69"/>
      <c r="J37" s="69">
        <f t="shared" si="9"/>
        <v>0</v>
      </c>
      <c r="K37" s="69"/>
      <c r="L37" s="69"/>
      <c r="M37" s="69"/>
      <c r="N37" s="69"/>
      <c r="O37" s="69"/>
      <c r="P37" s="69">
        <f t="shared" si="8"/>
        <v>240069</v>
      </c>
      <c r="Q37" s="14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</row>
    <row r="38" spans="1:530" s="23" customFormat="1" ht="90" customHeight="1" x14ac:dyDescent="0.25">
      <c r="A38" s="52" t="s">
        <v>351</v>
      </c>
      <c r="B38" s="45" t="str">
        <f>'дод 4'!A118</f>
        <v>7691</v>
      </c>
      <c r="C38" s="45" t="str">
        <f>'дод 4'!B118</f>
        <v>0490</v>
      </c>
      <c r="D38" s="22" t="str">
        <f>'дод 4'!C118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8" s="69">
        <f t="shared" si="7"/>
        <v>0</v>
      </c>
      <c r="F38" s="69"/>
      <c r="G38" s="69"/>
      <c r="H38" s="69"/>
      <c r="I38" s="69"/>
      <c r="J38" s="69">
        <f t="shared" si="9"/>
        <v>68223.199999999997</v>
      </c>
      <c r="K38" s="69"/>
      <c r="L38" s="69">
        <f>64711+3512.2</f>
        <v>68223.199999999997</v>
      </c>
      <c r="M38" s="69"/>
      <c r="N38" s="69"/>
      <c r="O38" s="69"/>
      <c r="P38" s="69">
        <f t="shared" si="8"/>
        <v>68223.199999999997</v>
      </c>
      <c r="Q38" s="14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</row>
    <row r="39" spans="1:530" s="23" customFormat="1" ht="23.25" customHeight="1" x14ac:dyDescent="0.25">
      <c r="A39" s="52" t="s">
        <v>282</v>
      </c>
      <c r="B39" s="45" t="str">
        <f>'дод 4'!A119</f>
        <v>7693</v>
      </c>
      <c r="C39" s="45" t="str">
        <f>'дод 4'!B119</f>
        <v>0490</v>
      </c>
      <c r="D39" s="22" t="str">
        <f>'дод 4'!C119</f>
        <v>Інші заходи, пов'язані з економічною діяльністю</v>
      </c>
      <c r="E39" s="69">
        <f t="shared" si="7"/>
        <v>1867587</v>
      </c>
      <c r="F39" s="69">
        <f>1617587+250000</f>
        <v>1867587</v>
      </c>
      <c r="G39" s="69"/>
      <c r="H39" s="69"/>
      <c r="I39" s="69"/>
      <c r="J39" s="69">
        <f t="shared" si="9"/>
        <v>0</v>
      </c>
      <c r="K39" s="69"/>
      <c r="L39" s="69"/>
      <c r="M39" s="69"/>
      <c r="N39" s="69"/>
      <c r="O39" s="69"/>
      <c r="P39" s="69">
        <f t="shared" si="8"/>
        <v>1867587</v>
      </c>
      <c r="Q39" s="14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</row>
    <row r="40" spans="1:530" s="23" customFormat="1" ht="34.5" customHeight="1" x14ac:dyDescent="0.25">
      <c r="A40" s="52" t="s">
        <v>194</v>
      </c>
      <c r="B40" s="45" t="str">
        <f>'дод 4'!A124</f>
        <v>8110</v>
      </c>
      <c r="C40" s="45" t="str">
        <f>'дод 4'!B124</f>
        <v>0320</v>
      </c>
      <c r="D40" s="22" t="str">
        <f>'дод 4'!C124</f>
        <v>Заходи із запобігання та ліквідації надзвичайних ситуацій та наслідків стихійного лиха</v>
      </c>
      <c r="E40" s="69">
        <f t="shared" si="7"/>
        <v>284500</v>
      </c>
      <c r="F40" s="69">
        <v>284500</v>
      </c>
      <c r="G40" s="69"/>
      <c r="H40" s="69">
        <v>7500</v>
      </c>
      <c r="I40" s="69"/>
      <c r="J40" s="69">
        <f t="shared" si="9"/>
        <v>2159600</v>
      </c>
      <c r="K40" s="69">
        <v>2159600</v>
      </c>
      <c r="L40" s="69"/>
      <c r="M40" s="69"/>
      <c r="N40" s="69"/>
      <c r="O40" s="69">
        <v>2159600</v>
      </c>
      <c r="P40" s="69">
        <f t="shared" si="8"/>
        <v>2444100</v>
      </c>
      <c r="Q40" s="14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</row>
    <row r="41" spans="1:530" s="23" customFormat="1" ht="19.5" customHeight="1" x14ac:dyDescent="0.25">
      <c r="A41" s="52" t="s">
        <v>264</v>
      </c>
      <c r="B41" s="45" t="str">
        <f>'дод 4'!A125</f>
        <v>8120</v>
      </c>
      <c r="C41" s="45" t="str">
        <f>'дод 4'!B125</f>
        <v>0320</v>
      </c>
      <c r="D41" s="22" t="str">
        <f>'дод 4'!C125</f>
        <v>Заходи з організації рятування на водах</v>
      </c>
      <c r="E41" s="69">
        <f t="shared" si="7"/>
        <v>2030270</v>
      </c>
      <c r="F41" s="69">
        <f>1892080+19210+32020+78970+7990</f>
        <v>2030270</v>
      </c>
      <c r="G41" s="69">
        <v>1542220</v>
      </c>
      <c r="H41" s="69">
        <v>79880</v>
      </c>
      <c r="I41" s="69"/>
      <c r="J41" s="69">
        <f t="shared" si="9"/>
        <v>5500</v>
      </c>
      <c r="K41" s="69"/>
      <c r="L41" s="69">
        <v>5500</v>
      </c>
      <c r="M41" s="69"/>
      <c r="N41" s="69">
        <v>1400</v>
      </c>
      <c r="O41" s="69"/>
      <c r="P41" s="69">
        <f t="shared" si="8"/>
        <v>2035770</v>
      </c>
      <c r="Q41" s="14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</row>
    <row r="42" spans="1:530" s="23" customFormat="1" ht="21.75" customHeight="1" x14ac:dyDescent="0.25">
      <c r="A42" s="52" t="s">
        <v>285</v>
      </c>
      <c r="B42" s="45" t="str">
        <f>'дод 4'!A127</f>
        <v>8230</v>
      </c>
      <c r="C42" s="45" t="str">
        <f>'дод 4'!B127</f>
        <v>0380</v>
      </c>
      <c r="D42" s="22" t="str">
        <f>'дод 4'!C127</f>
        <v>Інші заходи громадського порядку та безпеки</v>
      </c>
      <c r="E42" s="69">
        <f t="shared" si="7"/>
        <v>683360</v>
      </c>
      <c r="F42" s="69">
        <v>683360</v>
      </c>
      <c r="G42" s="69"/>
      <c r="H42" s="69">
        <v>278160</v>
      </c>
      <c r="I42" s="69"/>
      <c r="J42" s="69">
        <f t="shared" si="9"/>
        <v>0</v>
      </c>
      <c r="K42" s="69"/>
      <c r="L42" s="69"/>
      <c r="M42" s="69"/>
      <c r="N42" s="69"/>
      <c r="O42" s="69"/>
      <c r="P42" s="69">
        <f t="shared" si="8"/>
        <v>683360</v>
      </c>
      <c r="Q42" s="14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</row>
    <row r="43" spans="1:530" s="23" customFormat="1" ht="23.25" customHeight="1" x14ac:dyDescent="0.25">
      <c r="A43" s="43" t="s">
        <v>195</v>
      </c>
      <c r="B43" s="44" t="str">
        <f>'дод 4'!A130</f>
        <v>8340</v>
      </c>
      <c r="C43" s="44" t="str">
        <f>'дод 4'!B130</f>
        <v>0540</v>
      </c>
      <c r="D43" s="24" t="str">
        <f>'дод 4'!C130</f>
        <v>Природоохоронні заходи за рахунок цільових фондів</v>
      </c>
      <c r="E43" s="69">
        <f t="shared" si="7"/>
        <v>0</v>
      </c>
      <c r="F43" s="69"/>
      <c r="G43" s="69"/>
      <c r="H43" s="69"/>
      <c r="I43" s="69"/>
      <c r="J43" s="69">
        <f t="shared" si="9"/>
        <v>264000</v>
      </c>
      <c r="K43" s="69"/>
      <c r="L43" s="69">
        <v>264000</v>
      </c>
      <c r="M43" s="69"/>
      <c r="N43" s="69"/>
      <c r="O43" s="69"/>
      <c r="P43" s="69">
        <f t="shared" si="8"/>
        <v>264000</v>
      </c>
      <c r="Q43" s="14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</row>
    <row r="44" spans="1:530" s="23" customFormat="1" ht="26.25" customHeight="1" x14ac:dyDescent="0.25">
      <c r="A44" s="52" t="s">
        <v>296</v>
      </c>
      <c r="B44" s="45" t="str">
        <f>'дод 4'!A132</f>
        <v>8420</v>
      </c>
      <c r="C44" s="45" t="str">
        <f>'дод 4'!B132</f>
        <v>0830</v>
      </c>
      <c r="D44" s="22" t="str">
        <f>'дод 4'!C132</f>
        <v>Інші заходи у сфері засобів масової інформації</v>
      </c>
      <c r="E44" s="69">
        <f t="shared" si="7"/>
        <v>100000</v>
      </c>
      <c r="F44" s="69">
        <v>100000</v>
      </c>
      <c r="G44" s="69"/>
      <c r="H44" s="69"/>
      <c r="I44" s="69"/>
      <c r="J44" s="69">
        <f t="shared" si="9"/>
        <v>0</v>
      </c>
      <c r="K44" s="69"/>
      <c r="L44" s="69"/>
      <c r="M44" s="69"/>
      <c r="N44" s="69"/>
      <c r="O44" s="69"/>
      <c r="P44" s="69">
        <f t="shared" si="8"/>
        <v>100000</v>
      </c>
      <c r="Q44" s="14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</row>
    <row r="45" spans="1:530" s="31" customFormat="1" ht="23.25" customHeight="1" x14ac:dyDescent="0.2">
      <c r="A45" s="88" t="s">
        <v>196</v>
      </c>
      <c r="B45" s="72"/>
      <c r="C45" s="72"/>
      <c r="D45" s="30" t="s">
        <v>34</v>
      </c>
      <c r="E45" s="66">
        <f>E46</f>
        <v>973943140</v>
      </c>
      <c r="F45" s="66">
        <f t="shared" ref="F45:J45" si="10">F46</f>
        <v>973943140</v>
      </c>
      <c r="G45" s="66">
        <f t="shared" si="10"/>
        <v>651281957</v>
      </c>
      <c r="H45" s="66">
        <f t="shared" si="10"/>
        <v>83561807</v>
      </c>
      <c r="I45" s="66">
        <f t="shared" si="10"/>
        <v>0</v>
      </c>
      <c r="J45" s="66">
        <f t="shared" si="10"/>
        <v>85832720.549999997</v>
      </c>
      <c r="K45" s="66">
        <f t="shared" ref="K45" si="11">K46</f>
        <v>32116212.550000001</v>
      </c>
      <c r="L45" s="66">
        <f t="shared" ref="L45" si="12">L46</f>
        <v>53527508</v>
      </c>
      <c r="M45" s="66">
        <f t="shared" ref="M45" si="13">M46</f>
        <v>4208876</v>
      </c>
      <c r="N45" s="66">
        <f t="shared" ref="N45" si="14">N46</f>
        <v>3124191</v>
      </c>
      <c r="O45" s="66">
        <f t="shared" ref="O45:P45" si="15">O46</f>
        <v>32305212.550000001</v>
      </c>
      <c r="P45" s="66">
        <f t="shared" si="15"/>
        <v>1059775860.55</v>
      </c>
      <c r="Q45" s="146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  <c r="NW45" s="38"/>
      <c r="NX45" s="38"/>
      <c r="NY45" s="38"/>
      <c r="NZ45" s="38"/>
      <c r="OA45" s="38"/>
      <c r="OB45" s="38"/>
      <c r="OC45" s="38"/>
      <c r="OD45" s="38"/>
      <c r="OE45" s="38"/>
      <c r="OF45" s="38"/>
      <c r="OG45" s="38"/>
      <c r="OH45" s="38"/>
      <c r="OI45" s="38"/>
      <c r="OJ45" s="38"/>
      <c r="OK45" s="38"/>
      <c r="OL45" s="38"/>
      <c r="OM45" s="38"/>
      <c r="ON45" s="38"/>
      <c r="OO45" s="38"/>
      <c r="OP45" s="38"/>
      <c r="OQ45" s="38"/>
      <c r="OR45" s="38"/>
      <c r="OS45" s="38"/>
      <c r="OT45" s="38"/>
      <c r="OU45" s="38"/>
      <c r="OV45" s="38"/>
      <c r="OW45" s="38"/>
      <c r="OX45" s="38"/>
      <c r="OY45" s="38"/>
      <c r="OZ45" s="38"/>
      <c r="PA45" s="38"/>
      <c r="PB45" s="38"/>
      <c r="PC45" s="38"/>
      <c r="PD45" s="38"/>
      <c r="PE45" s="38"/>
      <c r="PF45" s="38"/>
      <c r="PG45" s="38"/>
      <c r="PH45" s="38"/>
      <c r="PI45" s="38"/>
      <c r="PJ45" s="38"/>
      <c r="PK45" s="38"/>
      <c r="PL45" s="38"/>
      <c r="PM45" s="38"/>
      <c r="PN45" s="38"/>
      <c r="PO45" s="38"/>
      <c r="PP45" s="38"/>
      <c r="PQ45" s="38"/>
      <c r="PR45" s="38"/>
      <c r="PS45" s="38"/>
      <c r="PT45" s="38"/>
      <c r="PU45" s="38"/>
      <c r="PV45" s="38"/>
      <c r="PW45" s="38"/>
      <c r="PX45" s="38"/>
      <c r="PY45" s="38"/>
      <c r="PZ45" s="38"/>
      <c r="QA45" s="38"/>
      <c r="QB45" s="38"/>
      <c r="QC45" s="38"/>
      <c r="QD45" s="38"/>
      <c r="QE45" s="38"/>
      <c r="QF45" s="38"/>
      <c r="QG45" s="38"/>
      <c r="QH45" s="38"/>
      <c r="QI45" s="38"/>
      <c r="QJ45" s="38"/>
      <c r="QK45" s="38"/>
      <c r="QL45" s="38"/>
      <c r="QM45" s="38"/>
      <c r="QN45" s="38"/>
      <c r="QO45" s="38"/>
      <c r="QP45" s="38"/>
      <c r="QQ45" s="38"/>
      <c r="QR45" s="38"/>
      <c r="QS45" s="38"/>
      <c r="QT45" s="38"/>
      <c r="QU45" s="38"/>
      <c r="QV45" s="38"/>
      <c r="QW45" s="38"/>
      <c r="QX45" s="38"/>
      <c r="QY45" s="38"/>
      <c r="QZ45" s="38"/>
      <c r="RA45" s="38"/>
      <c r="RB45" s="38"/>
      <c r="RC45" s="38"/>
      <c r="RD45" s="38"/>
      <c r="RE45" s="38"/>
      <c r="RF45" s="38"/>
      <c r="RG45" s="38"/>
      <c r="RH45" s="38"/>
      <c r="RI45" s="38"/>
      <c r="RJ45" s="38"/>
      <c r="RK45" s="38"/>
      <c r="RL45" s="38"/>
      <c r="RM45" s="38"/>
      <c r="RN45" s="38"/>
      <c r="RO45" s="38"/>
      <c r="RP45" s="38"/>
      <c r="RQ45" s="38"/>
      <c r="RR45" s="38"/>
      <c r="RS45" s="38"/>
      <c r="RT45" s="38"/>
      <c r="RU45" s="38"/>
      <c r="RV45" s="38"/>
      <c r="RW45" s="38"/>
      <c r="RX45" s="38"/>
      <c r="RY45" s="38"/>
      <c r="RZ45" s="38"/>
      <c r="SA45" s="38"/>
      <c r="SB45" s="38"/>
      <c r="SC45" s="38"/>
      <c r="SD45" s="38"/>
      <c r="SE45" s="38"/>
      <c r="SF45" s="38"/>
      <c r="SG45" s="38"/>
      <c r="SH45" s="38"/>
      <c r="SI45" s="38"/>
      <c r="SJ45" s="38"/>
      <c r="SK45" s="38"/>
      <c r="SL45" s="38"/>
      <c r="SM45" s="38"/>
      <c r="SN45" s="38"/>
      <c r="SO45" s="38"/>
      <c r="SP45" s="38"/>
      <c r="SQ45" s="38"/>
      <c r="SR45" s="38"/>
      <c r="SS45" s="38"/>
      <c r="ST45" s="38"/>
      <c r="SU45" s="38"/>
      <c r="SV45" s="38"/>
      <c r="SW45" s="38"/>
      <c r="SX45" s="38"/>
      <c r="SY45" s="38"/>
      <c r="SZ45" s="38"/>
      <c r="TA45" s="38"/>
      <c r="TB45" s="38"/>
      <c r="TC45" s="38"/>
      <c r="TD45" s="38"/>
      <c r="TE45" s="38"/>
      <c r="TF45" s="38"/>
      <c r="TG45" s="38"/>
      <c r="TH45" s="38"/>
      <c r="TI45" s="38"/>
      <c r="TJ45" s="38"/>
    </row>
    <row r="46" spans="1:530" s="40" customFormat="1" ht="26.25" customHeight="1" x14ac:dyDescent="0.25">
      <c r="A46" s="89" t="s">
        <v>197</v>
      </c>
      <c r="B46" s="73"/>
      <c r="C46" s="73"/>
      <c r="D46" s="33" t="s">
        <v>34</v>
      </c>
      <c r="E46" s="68">
        <f>E48+E49+E51+E53+E55+E56+E58+E59+E60+E61+E63+E64+E65+E66+E68+E69+E70</f>
        <v>973943140</v>
      </c>
      <c r="F46" s="68">
        <f t="shared" ref="F46:P46" si="16">F48+F49+F51+F53+F55+F56+F58+F59+F60+F61+F63+F64+F65+F66+F68+F69+F70</f>
        <v>973943140</v>
      </c>
      <c r="G46" s="68">
        <f t="shared" si="16"/>
        <v>651281957</v>
      </c>
      <c r="H46" s="68">
        <f t="shared" si="16"/>
        <v>83561807</v>
      </c>
      <c r="I46" s="68">
        <f t="shared" si="16"/>
        <v>0</v>
      </c>
      <c r="J46" s="68">
        <f t="shared" si="16"/>
        <v>85832720.549999997</v>
      </c>
      <c r="K46" s="68">
        <f>K48+K49+K51+K53+K55+K56+K58+K59+K60+K61+K63+K64+K65+K66+K68+K69+K70</f>
        <v>32116212.550000001</v>
      </c>
      <c r="L46" s="68">
        <f t="shared" si="16"/>
        <v>53527508</v>
      </c>
      <c r="M46" s="68">
        <f t="shared" si="16"/>
        <v>4208876</v>
      </c>
      <c r="N46" s="68">
        <f t="shared" si="16"/>
        <v>3124191</v>
      </c>
      <c r="O46" s="68">
        <f t="shared" si="16"/>
        <v>32305212.550000001</v>
      </c>
      <c r="P46" s="68">
        <f t="shared" si="16"/>
        <v>1059775860.55</v>
      </c>
      <c r="Q46" s="146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</row>
    <row r="47" spans="1:530" s="40" customFormat="1" ht="18.75" customHeight="1" x14ac:dyDescent="0.25">
      <c r="A47" s="89"/>
      <c r="B47" s="73"/>
      <c r="C47" s="73"/>
      <c r="D47" s="33" t="s">
        <v>308</v>
      </c>
      <c r="E47" s="68">
        <f>E52++E54+E57+E50+E62+E67</f>
        <v>376064654</v>
      </c>
      <c r="F47" s="68">
        <f t="shared" ref="F47:P47" si="17">F52++F54+F57+F50+F62+F67</f>
        <v>376064654</v>
      </c>
      <c r="G47" s="68">
        <f t="shared" si="17"/>
        <v>307031030</v>
      </c>
      <c r="H47" s="68">
        <f t="shared" si="17"/>
        <v>0</v>
      </c>
      <c r="I47" s="68">
        <f t="shared" si="17"/>
        <v>0</v>
      </c>
      <c r="J47" s="68">
        <f>J52++J54+J57+J50+J62+J67</f>
        <v>1078086.55</v>
      </c>
      <c r="K47" s="68">
        <f t="shared" si="17"/>
        <v>1078086.55</v>
      </c>
      <c r="L47" s="68">
        <f t="shared" si="17"/>
        <v>0</v>
      </c>
      <c r="M47" s="68">
        <f t="shared" si="17"/>
        <v>0</v>
      </c>
      <c r="N47" s="68">
        <f t="shared" si="17"/>
        <v>0</v>
      </c>
      <c r="O47" s="68">
        <f t="shared" si="17"/>
        <v>1078086.55</v>
      </c>
      <c r="P47" s="68">
        <f t="shared" si="17"/>
        <v>377142740.55000001</v>
      </c>
      <c r="Q47" s="146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</row>
    <row r="48" spans="1:530" s="23" customFormat="1" ht="46.5" customHeight="1" x14ac:dyDescent="0.25">
      <c r="A48" s="43" t="s">
        <v>198</v>
      </c>
      <c r="B48" s="44" t="str">
        <f>'дод 4'!A14</f>
        <v>0160</v>
      </c>
      <c r="C48" s="44" t="str">
        <f>'дод 4'!B14</f>
        <v>0111</v>
      </c>
      <c r="D48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48" s="69">
        <f t="shared" ref="E48:E70" si="18">F48+I48</f>
        <v>3554900</v>
      </c>
      <c r="F48" s="69">
        <f>3470000+3900-161800+242800</f>
        <v>3554900</v>
      </c>
      <c r="G48" s="69">
        <f>2711100-132600</f>
        <v>2578500</v>
      </c>
      <c r="H48" s="69">
        <v>48700</v>
      </c>
      <c r="I48" s="69"/>
      <c r="J48" s="69">
        <f>L48+O48</f>
        <v>0</v>
      </c>
      <c r="K48" s="69"/>
      <c r="L48" s="69"/>
      <c r="M48" s="69"/>
      <c r="N48" s="69"/>
      <c r="O48" s="69"/>
      <c r="P48" s="69">
        <f t="shared" ref="P48:P70" si="19">E48+J48</f>
        <v>3554900</v>
      </c>
      <c r="Q48" s="14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</row>
    <row r="49" spans="1:530" s="23" customFormat="1" ht="21.75" customHeight="1" x14ac:dyDescent="0.25">
      <c r="A49" s="43" t="s">
        <v>199</v>
      </c>
      <c r="B49" s="44" t="str">
        <f>'дод 4'!A18</f>
        <v>1010</v>
      </c>
      <c r="C49" s="44" t="str">
        <f>'дод 4'!B18</f>
        <v>0910</v>
      </c>
      <c r="D49" s="24" t="str">
        <f>'дод 4'!C18</f>
        <v>Надання дошкільної освіти</v>
      </c>
      <c r="E49" s="69">
        <f t="shared" si="18"/>
        <v>245838383</v>
      </c>
      <c r="F49" s="69">
        <f>244339090+176336+1322957</f>
        <v>245838383</v>
      </c>
      <c r="G49" s="69">
        <f>159350000+144540</f>
        <v>159494540</v>
      </c>
      <c r="H49" s="69">
        <v>26923940</v>
      </c>
      <c r="I49" s="69"/>
      <c r="J49" s="69">
        <f>L49+O49</f>
        <v>22576835</v>
      </c>
      <c r="K49" s="69">
        <f>4200000+500000+88136+760000+703043</f>
        <v>6251179</v>
      </c>
      <c r="L49" s="69">
        <v>16325656</v>
      </c>
      <c r="M49" s="69"/>
      <c r="N49" s="69"/>
      <c r="O49" s="69">
        <f>4200000+500000+88136+760000+703043</f>
        <v>6251179</v>
      </c>
      <c r="P49" s="69">
        <f t="shared" si="19"/>
        <v>268415218</v>
      </c>
      <c r="Q49" s="14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</row>
    <row r="50" spans="1:530" s="23" customFormat="1" ht="21.75" customHeight="1" x14ac:dyDescent="0.25">
      <c r="A50" s="43"/>
      <c r="B50" s="44"/>
      <c r="C50" s="44"/>
      <c r="D50" s="22" t="s">
        <v>308</v>
      </c>
      <c r="E50" s="69">
        <f t="shared" si="18"/>
        <v>176336</v>
      </c>
      <c r="F50" s="69">
        <v>176336</v>
      </c>
      <c r="G50" s="69">
        <v>144540</v>
      </c>
      <c r="H50" s="69"/>
      <c r="I50" s="69"/>
      <c r="J50" s="69">
        <f>L50+O50</f>
        <v>88136</v>
      </c>
      <c r="K50" s="69">
        <v>88136</v>
      </c>
      <c r="L50" s="69"/>
      <c r="M50" s="69"/>
      <c r="N50" s="69"/>
      <c r="O50" s="69">
        <v>88136</v>
      </c>
      <c r="P50" s="69">
        <f t="shared" si="19"/>
        <v>264472</v>
      </c>
      <c r="Q50" s="14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</row>
    <row r="51" spans="1:530" s="23" customFormat="1" ht="54" customHeight="1" x14ac:dyDescent="0.25">
      <c r="A51" s="43" t="s">
        <v>200</v>
      </c>
      <c r="B51" s="44" t="str">
        <f>'дод 4'!A20</f>
        <v>1020</v>
      </c>
      <c r="C51" s="44" t="str">
        <f>'дод 4'!B20</f>
        <v>0921</v>
      </c>
      <c r="D51" s="24" t="str">
        <f>'дод 4'!C20</f>
        <v>Надання загальної середньої освіти закладами загальної середньої освіти (у тому числі з дошкільними підрозділами (відділеннями, групами))</v>
      </c>
      <c r="E51" s="69">
        <f t="shared" si="18"/>
        <v>542550722</v>
      </c>
      <c r="F51" s="69">
        <f>533365430-2738900+2738900-50000+2067000+1396248+800+1533444+15313000-11301200+106000+50000+70000</f>
        <v>542550722</v>
      </c>
      <c r="G51" s="69">
        <f>373446500+1144470+657+12572250-9278430</f>
        <v>377885447</v>
      </c>
      <c r="H51" s="69">
        <v>40458440</v>
      </c>
      <c r="I51" s="69"/>
      <c r="J51" s="69">
        <f t="shared" ref="J51:J70" si="20">L51+O51</f>
        <v>50003999.640000001</v>
      </c>
      <c r="K51" s="69">
        <f>11599400+2199897+739872+3050000+2916586+700000-106000-7502.36</f>
        <v>21092252.640000001</v>
      </c>
      <c r="L51" s="69">
        <v>28911747</v>
      </c>
      <c r="M51" s="69">
        <v>1713303</v>
      </c>
      <c r="N51" s="69">
        <v>147329</v>
      </c>
      <c r="O51" s="69">
        <f>11599400+2199897+739872+3050000+2916586+700000-106000-7502.36</f>
        <v>21092252.640000001</v>
      </c>
      <c r="P51" s="69">
        <f t="shared" si="19"/>
        <v>592554721.63999999</v>
      </c>
      <c r="Q51" s="14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</row>
    <row r="52" spans="1:530" s="23" customFormat="1" x14ac:dyDescent="0.25">
      <c r="A52" s="43"/>
      <c r="B52" s="44"/>
      <c r="C52" s="44"/>
      <c r="D52" s="22" t="s">
        <v>308</v>
      </c>
      <c r="E52" s="69">
        <f t="shared" si="18"/>
        <v>350612648</v>
      </c>
      <c r="F52" s="69">
        <f>331836400+2067000+1396248+15313000</f>
        <v>350612648</v>
      </c>
      <c r="G52" s="69">
        <f>272443700+1144470+12572250</f>
        <v>286160420</v>
      </c>
      <c r="H52" s="69"/>
      <c r="I52" s="69"/>
      <c r="J52" s="69">
        <f t="shared" si="20"/>
        <v>739872</v>
      </c>
      <c r="K52" s="69">
        <f>739872</f>
        <v>739872</v>
      </c>
      <c r="L52" s="69"/>
      <c r="M52" s="69"/>
      <c r="N52" s="69"/>
      <c r="O52" s="69">
        <v>739872</v>
      </c>
      <c r="P52" s="69">
        <f t="shared" si="19"/>
        <v>351352520</v>
      </c>
      <c r="Q52" s="14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</row>
    <row r="53" spans="1:530" s="23" customFormat="1" ht="63.75" customHeight="1" x14ac:dyDescent="0.25">
      <c r="A53" s="43" t="s">
        <v>431</v>
      </c>
      <c r="B53" s="44">
        <f>'дод 4'!A22</f>
        <v>1030</v>
      </c>
      <c r="C53" s="44" t="str">
        <f>'дод 4'!B22</f>
        <v>0922</v>
      </c>
      <c r="D53" s="24" t="str">
        <f>'дод 4'!C22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v>
      </c>
      <c r="E53" s="69">
        <f t="shared" si="18"/>
        <v>9312880</v>
      </c>
      <c r="F53" s="69">
        <f>9152880+50000+110000</f>
        <v>9312880</v>
      </c>
      <c r="G53" s="69">
        <v>6532300</v>
      </c>
      <c r="H53" s="69">
        <v>709270</v>
      </c>
      <c r="I53" s="69">
        <v>0</v>
      </c>
      <c r="J53" s="69">
        <f t="shared" si="20"/>
        <v>172000</v>
      </c>
      <c r="K53" s="69">
        <f>150000+22000</f>
        <v>172000</v>
      </c>
      <c r="L53" s="69"/>
      <c r="M53" s="69"/>
      <c r="N53" s="69"/>
      <c r="O53" s="69">
        <f>150000+22000</f>
        <v>172000</v>
      </c>
      <c r="P53" s="69">
        <f t="shared" si="19"/>
        <v>9484880</v>
      </c>
      <c r="Q53" s="14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</row>
    <row r="54" spans="1:530" s="23" customFormat="1" ht="17.25" customHeight="1" x14ac:dyDescent="0.25">
      <c r="A54" s="43"/>
      <c r="B54" s="44"/>
      <c r="C54" s="44"/>
      <c r="D54" s="22" t="s">
        <v>308</v>
      </c>
      <c r="E54" s="69">
        <f t="shared" si="18"/>
        <v>6214300</v>
      </c>
      <c r="F54" s="69">
        <v>6214300</v>
      </c>
      <c r="G54" s="69">
        <v>5102000</v>
      </c>
      <c r="H54" s="69">
        <v>0</v>
      </c>
      <c r="I54" s="69">
        <v>0</v>
      </c>
      <c r="J54" s="69">
        <f t="shared" si="20"/>
        <v>0</v>
      </c>
      <c r="K54" s="69"/>
      <c r="L54" s="69"/>
      <c r="M54" s="69"/>
      <c r="N54" s="69"/>
      <c r="O54" s="69"/>
      <c r="P54" s="69">
        <f t="shared" si="19"/>
        <v>6214300</v>
      </c>
      <c r="Q54" s="14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  <c r="TJ54" s="26"/>
    </row>
    <row r="55" spans="1:530" s="23" customFormat="1" ht="32.25" customHeight="1" x14ac:dyDescent="0.25">
      <c r="A55" s="43" t="s">
        <v>263</v>
      </c>
      <c r="B55" s="44" t="str">
        <f>'дод 4'!A24</f>
        <v>1090</v>
      </c>
      <c r="C55" s="44" t="str">
        <f>'дод 4'!B24</f>
        <v>0960</v>
      </c>
      <c r="D55" s="24" t="str">
        <f>'дод 4'!C24</f>
        <v>Надання позашкільної освіти закладами позашкільної освіти, заходи із позашкільної роботи з дітьми</v>
      </c>
      <c r="E55" s="69">
        <f t="shared" si="18"/>
        <v>28023440</v>
      </c>
      <c r="F55" s="69">
        <f>27792840+230600</f>
        <v>28023440</v>
      </c>
      <c r="G55" s="69">
        <v>19715700</v>
      </c>
      <c r="H55" s="69">
        <v>3358190</v>
      </c>
      <c r="I55" s="69">
        <v>0</v>
      </c>
      <c r="J55" s="69">
        <f t="shared" si="20"/>
        <v>300000</v>
      </c>
      <c r="K55" s="69">
        <v>300000</v>
      </c>
      <c r="L55" s="69"/>
      <c r="M55" s="69"/>
      <c r="N55" s="69"/>
      <c r="O55" s="69">
        <v>300000</v>
      </c>
      <c r="P55" s="69">
        <f t="shared" si="19"/>
        <v>28323440</v>
      </c>
      <c r="Q55" s="14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</row>
    <row r="56" spans="1:530" s="23" customFormat="1" ht="33.75" customHeight="1" x14ac:dyDescent="0.25">
      <c r="A56" s="43" t="s">
        <v>262</v>
      </c>
      <c r="B56" s="44" t="str">
        <f>'дод 4'!A26</f>
        <v>1110</v>
      </c>
      <c r="C56" s="44" t="str">
        <f>'дод 4'!B26</f>
        <v>0930</v>
      </c>
      <c r="D56" s="24" t="str">
        <f>'дод 4'!C26</f>
        <v>Підготовка кадрів закладами професійної (професійно-технічної) освіти та іншими закладами освіти</v>
      </c>
      <c r="E56" s="69">
        <f t="shared" si="18"/>
        <v>116186900</v>
      </c>
      <c r="F56" s="69">
        <f>116310900-341000+217000</f>
        <v>116186900</v>
      </c>
      <c r="G56" s="69">
        <v>69744500</v>
      </c>
      <c r="H56" s="69">
        <f>11348217-341000</f>
        <v>11007217</v>
      </c>
      <c r="I56" s="69"/>
      <c r="J56" s="69">
        <f t="shared" si="20"/>
        <v>8079105</v>
      </c>
      <c r="K56" s="69"/>
      <c r="L56" s="69">
        <v>7974105</v>
      </c>
      <c r="M56" s="69">
        <v>2495573</v>
      </c>
      <c r="N56" s="69">
        <v>2976862</v>
      </c>
      <c r="O56" s="69">
        <v>105000</v>
      </c>
      <c r="P56" s="69">
        <f t="shared" si="19"/>
        <v>124266005</v>
      </c>
      <c r="Q56" s="1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</row>
    <row r="57" spans="1:530" s="23" customFormat="1" ht="15.75" customHeight="1" x14ac:dyDescent="0.25">
      <c r="A57" s="43"/>
      <c r="B57" s="44"/>
      <c r="C57" s="44"/>
      <c r="D57" s="22" t="s">
        <v>308</v>
      </c>
      <c r="E57" s="69">
        <f t="shared" si="18"/>
        <v>17825000</v>
      </c>
      <c r="F57" s="69">
        <v>17825000</v>
      </c>
      <c r="G57" s="69">
        <v>14610650</v>
      </c>
      <c r="H57" s="69"/>
      <c r="I57" s="69"/>
      <c r="J57" s="69">
        <f t="shared" si="20"/>
        <v>0</v>
      </c>
      <c r="K57" s="69"/>
      <c r="L57" s="69"/>
      <c r="M57" s="69"/>
      <c r="N57" s="69"/>
      <c r="O57" s="69"/>
      <c r="P57" s="69">
        <f t="shared" si="19"/>
        <v>17825000</v>
      </c>
      <c r="Q57" s="14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</row>
    <row r="58" spans="1:530" s="23" customFormat="1" ht="21.75" customHeight="1" x14ac:dyDescent="0.25">
      <c r="A58" s="43" t="s">
        <v>201</v>
      </c>
      <c r="B58" s="44" t="str">
        <f>'дод 4'!A28</f>
        <v>1150</v>
      </c>
      <c r="C58" s="44" t="str">
        <f>'дод 4'!B28</f>
        <v>0990</v>
      </c>
      <c r="D58" s="24" t="str">
        <f>'дод 4'!C28</f>
        <v>Методичне забезпечення діяльності закладів освіти</v>
      </c>
      <c r="E58" s="69">
        <f t="shared" si="18"/>
        <v>2893730</v>
      </c>
      <c r="F58" s="69">
        <v>2893730</v>
      </c>
      <c r="G58" s="69">
        <v>2237500</v>
      </c>
      <c r="H58" s="69">
        <v>120380</v>
      </c>
      <c r="I58" s="69"/>
      <c r="J58" s="69">
        <f t="shared" si="20"/>
        <v>0</v>
      </c>
      <c r="K58" s="69"/>
      <c r="L58" s="69"/>
      <c r="M58" s="69"/>
      <c r="N58" s="69"/>
      <c r="O58" s="69"/>
      <c r="P58" s="69">
        <f t="shared" si="19"/>
        <v>2893730</v>
      </c>
      <c r="Q58" s="14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</row>
    <row r="59" spans="1:530" s="23" customFormat="1" ht="16.5" customHeight="1" x14ac:dyDescent="0.25">
      <c r="A59" s="43" t="s">
        <v>357</v>
      </c>
      <c r="B59" s="44" t="str">
        <f>'дод 4'!A29</f>
        <v>1161</v>
      </c>
      <c r="C59" s="44" t="str">
        <f>'дод 4'!B29</f>
        <v>0990</v>
      </c>
      <c r="D59" s="24" t="str">
        <f>'дод 4'!C29</f>
        <v>Забезпечення діяльності інших закладів у сфері освіти</v>
      </c>
      <c r="E59" s="69">
        <f t="shared" si="18"/>
        <v>9345170</v>
      </c>
      <c r="F59" s="69">
        <f>9333170+12000</f>
        <v>9345170</v>
      </c>
      <c r="G59" s="69">
        <v>6782550</v>
      </c>
      <c r="H59" s="69">
        <v>613500</v>
      </c>
      <c r="I59" s="69"/>
      <c r="J59" s="69">
        <f t="shared" si="20"/>
        <v>300000</v>
      </c>
      <c r="K59" s="69">
        <f>100000+200000</f>
        <v>300000</v>
      </c>
      <c r="L59" s="69"/>
      <c r="M59" s="69"/>
      <c r="N59" s="69"/>
      <c r="O59" s="69">
        <f>100000+200000</f>
        <v>300000</v>
      </c>
      <c r="P59" s="69">
        <f t="shared" si="19"/>
        <v>9645170</v>
      </c>
      <c r="Q59" s="14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</row>
    <row r="60" spans="1:530" s="23" customFormat="1" ht="20.25" customHeight="1" x14ac:dyDescent="0.25">
      <c r="A60" s="43" t="s">
        <v>358</v>
      </c>
      <c r="B60" s="44" t="str">
        <f>'дод 4'!A30</f>
        <v>1162</v>
      </c>
      <c r="C60" s="44" t="str">
        <f>'дод 4'!B30</f>
        <v>0990</v>
      </c>
      <c r="D60" s="24" t="str">
        <f>'дод 4'!C30</f>
        <v>Інші програми та заходи у сфері освіти</v>
      </c>
      <c r="E60" s="69">
        <f t="shared" si="18"/>
        <v>107400</v>
      </c>
      <c r="F60" s="69">
        <v>107400</v>
      </c>
      <c r="G60" s="69"/>
      <c r="H60" s="69"/>
      <c r="I60" s="69"/>
      <c r="J60" s="69">
        <f t="shared" si="20"/>
        <v>0</v>
      </c>
      <c r="K60" s="69"/>
      <c r="L60" s="69"/>
      <c r="M60" s="69"/>
      <c r="N60" s="69"/>
      <c r="O60" s="69"/>
      <c r="P60" s="69">
        <f t="shared" si="19"/>
        <v>107400</v>
      </c>
      <c r="Q60" s="14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</row>
    <row r="61" spans="1:530" s="23" customFormat="1" x14ac:dyDescent="0.25">
      <c r="A61" s="43" t="s">
        <v>395</v>
      </c>
      <c r="B61" s="44">
        <v>1170</v>
      </c>
      <c r="C61" s="44" t="s">
        <v>75</v>
      </c>
      <c r="D61" s="22" t="str">
        <f>'дод 4'!C31</f>
        <v>Забезпечення діяльності інклюзивно-ресурсних центрів</v>
      </c>
      <c r="E61" s="69">
        <f t="shared" si="18"/>
        <v>1627940</v>
      </c>
      <c r="F61" s="69">
        <v>1627940</v>
      </c>
      <c r="G61" s="69">
        <v>1224320</v>
      </c>
      <c r="H61" s="69">
        <v>81470</v>
      </c>
      <c r="I61" s="69"/>
      <c r="J61" s="69">
        <f t="shared" si="20"/>
        <v>0</v>
      </c>
      <c r="K61" s="69"/>
      <c r="L61" s="69"/>
      <c r="M61" s="69"/>
      <c r="N61" s="69"/>
      <c r="O61" s="69"/>
      <c r="P61" s="69">
        <f t="shared" si="19"/>
        <v>1627940</v>
      </c>
      <c r="Q61" s="14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</row>
    <row r="62" spans="1:530" s="23" customFormat="1" x14ac:dyDescent="0.25">
      <c r="A62" s="43"/>
      <c r="B62" s="44"/>
      <c r="C62" s="44"/>
      <c r="D62" s="22" t="s">
        <v>308</v>
      </c>
      <c r="E62" s="69">
        <f t="shared" si="18"/>
        <v>1236370</v>
      </c>
      <c r="F62" s="69">
        <v>1236370</v>
      </c>
      <c r="G62" s="69">
        <v>1013420</v>
      </c>
      <c r="H62" s="69"/>
      <c r="I62" s="69"/>
      <c r="J62" s="69"/>
      <c r="K62" s="69"/>
      <c r="L62" s="69"/>
      <c r="M62" s="69"/>
      <c r="N62" s="69"/>
      <c r="O62" s="69"/>
      <c r="P62" s="69">
        <f t="shared" si="19"/>
        <v>1236370</v>
      </c>
      <c r="Q62" s="14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</row>
    <row r="63" spans="1:530" s="23" customFormat="1" ht="64.5" customHeight="1" x14ac:dyDescent="0.25">
      <c r="A63" s="43" t="s">
        <v>202</v>
      </c>
      <c r="B63" s="44" t="str">
        <f>'дод 4'!A59</f>
        <v>3140</v>
      </c>
      <c r="C63" s="44" t="str">
        <f>'дод 4'!B59</f>
        <v>1040</v>
      </c>
      <c r="D63" s="24" t="str">
        <f>'дод 4'!C59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3" s="69">
        <f t="shared" si="18"/>
        <v>7000000</v>
      </c>
      <c r="F63" s="69">
        <v>7000000</v>
      </c>
      <c r="G63" s="69"/>
      <c r="H63" s="69"/>
      <c r="I63" s="69"/>
      <c r="J63" s="69">
        <f t="shared" si="20"/>
        <v>0</v>
      </c>
      <c r="K63" s="69"/>
      <c r="L63" s="69"/>
      <c r="M63" s="69"/>
      <c r="N63" s="69"/>
      <c r="O63" s="69"/>
      <c r="P63" s="69">
        <f t="shared" si="19"/>
        <v>7000000</v>
      </c>
      <c r="Q63" s="1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</row>
    <row r="64" spans="1:530" s="23" customFormat="1" ht="31.5" customHeight="1" x14ac:dyDescent="0.25">
      <c r="A64" s="43" t="s">
        <v>374</v>
      </c>
      <c r="B64" s="44" t="str">
        <f>'дод 4'!A69</f>
        <v>3242</v>
      </c>
      <c r="C64" s="44" t="str">
        <f>'дод 4'!B69</f>
        <v>1090</v>
      </c>
      <c r="D64" s="24" t="str">
        <f>'дод 4'!C69</f>
        <v>Інші заходи у сфері соціального захисту і соціального забезпечення</v>
      </c>
      <c r="E64" s="69">
        <f t="shared" si="18"/>
        <v>52490</v>
      </c>
      <c r="F64" s="69">
        <v>52490</v>
      </c>
      <c r="G64" s="69"/>
      <c r="H64" s="69"/>
      <c r="I64" s="69"/>
      <c r="J64" s="69">
        <f t="shared" si="20"/>
        <v>0</v>
      </c>
      <c r="K64" s="69"/>
      <c r="L64" s="69"/>
      <c r="M64" s="69"/>
      <c r="N64" s="69"/>
      <c r="O64" s="69"/>
      <c r="P64" s="69">
        <f t="shared" si="19"/>
        <v>52490</v>
      </c>
      <c r="Q64" s="14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</row>
    <row r="65" spans="1:530" s="23" customFormat="1" ht="33" customHeight="1" x14ac:dyDescent="0.25">
      <c r="A65" s="43" t="s">
        <v>203</v>
      </c>
      <c r="B65" s="44" t="str">
        <f>'дод 4'!A78</f>
        <v>5031</v>
      </c>
      <c r="C65" s="44" t="str">
        <f>'дод 4'!B78</f>
        <v>0810</v>
      </c>
      <c r="D65" s="24" t="str">
        <f>'дод 4'!C78</f>
        <v>Утримання та навчально-тренувальна робота комунальних дитячо-юнацьких спортивних шкіл</v>
      </c>
      <c r="E65" s="69">
        <f t="shared" si="18"/>
        <v>6785500</v>
      </c>
      <c r="F65" s="69">
        <f>6725500+60000</f>
        <v>6785500</v>
      </c>
      <c r="G65" s="69">
        <v>5086600</v>
      </c>
      <c r="H65" s="69">
        <v>240700</v>
      </c>
      <c r="I65" s="69"/>
      <c r="J65" s="69">
        <f t="shared" si="20"/>
        <v>750000</v>
      </c>
      <c r="K65" s="69">
        <f>550000+200000</f>
        <v>750000</v>
      </c>
      <c r="L65" s="69"/>
      <c r="M65" s="69"/>
      <c r="N65" s="69"/>
      <c r="O65" s="69">
        <f>550000+200000</f>
        <v>750000</v>
      </c>
      <c r="P65" s="69">
        <f t="shared" si="19"/>
        <v>7535500</v>
      </c>
      <c r="Q65" s="14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</row>
    <row r="66" spans="1:530" s="23" customFormat="1" ht="45.75" customHeight="1" x14ac:dyDescent="0.25">
      <c r="A66" s="43" t="s">
        <v>439</v>
      </c>
      <c r="B66" s="44">
        <v>7363</v>
      </c>
      <c r="C66" s="124" t="s">
        <v>102</v>
      </c>
      <c r="D66" s="125" t="s">
        <v>438</v>
      </c>
      <c r="E66" s="69">
        <f t="shared" si="18"/>
        <v>0</v>
      </c>
      <c r="F66" s="69"/>
      <c r="G66" s="69"/>
      <c r="H66" s="69"/>
      <c r="I66" s="69"/>
      <c r="J66" s="69">
        <f t="shared" si="20"/>
        <v>257580.90999999997</v>
      </c>
      <c r="K66" s="69">
        <f>7502.36+250078.55</f>
        <v>257580.90999999997</v>
      </c>
      <c r="L66" s="69"/>
      <c r="M66" s="69"/>
      <c r="N66" s="69"/>
      <c r="O66" s="69">
        <f>7502.36+250078.55</f>
        <v>257580.90999999997</v>
      </c>
      <c r="P66" s="69">
        <f t="shared" si="19"/>
        <v>257580.90999999997</v>
      </c>
      <c r="Q66" s="14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</row>
    <row r="67" spans="1:530" s="23" customFormat="1" x14ac:dyDescent="0.25">
      <c r="A67" s="43"/>
      <c r="B67" s="44"/>
      <c r="C67" s="44"/>
      <c r="D67" s="22" t="s">
        <v>308</v>
      </c>
      <c r="E67" s="69">
        <f t="shared" ref="E67" si="21">F67+I67</f>
        <v>0</v>
      </c>
      <c r="F67" s="69"/>
      <c r="G67" s="69"/>
      <c r="H67" s="69"/>
      <c r="I67" s="69"/>
      <c r="J67" s="69">
        <f t="shared" ref="J67" si="22">L67+O67</f>
        <v>250078.55</v>
      </c>
      <c r="K67" s="69">
        <v>250078.55</v>
      </c>
      <c r="L67" s="69"/>
      <c r="M67" s="69"/>
      <c r="N67" s="69"/>
      <c r="O67" s="69">
        <v>250078.55</v>
      </c>
      <c r="P67" s="69">
        <f t="shared" si="19"/>
        <v>250078.55</v>
      </c>
      <c r="Q67" s="14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</row>
    <row r="68" spans="1:530" s="23" customFormat="1" ht="25.5" customHeight="1" x14ac:dyDescent="0.25">
      <c r="A68" s="43" t="s">
        <v>204</v>
      </c>
      <c r="B68" s="44" t="str">
        <f>'дод 4'!A113</f>
        <v>7640</v>
      </c>
      <c r="C68" s="44" t="str">
        <f>'дод 4'!B113</f>
        <v>0470</v>
      </c>
      <c r="D68" s="24" t="str">
        <f>'дод 4'!C113</f>
        <v>Заходи з енергозбереження</v>
      </c>
      <c r="E68" s="69">
        <f t="shared" si="18"/>
        <v>578800</v>
      </c>
      <c r="F68" s="69">
        <v>578800</v>
      </c>
      <c r="G68" s="69"/>
      <c r="H68" s="69"/>
      <c r="I68" s="69"/>
      <c r="J68" s="69">
        <f t="shared" si="20"/>
        <v>2993200</v>
      </c>
      <c r="K68" s="69">
        <v>2993200</v>
      </c>
      <c r="L68" s="69"/>
      <c r="M68" s="69"/>
      <c r="N68" s="69"/>
      <c r="O68" s="69">
        <v>2993200</v>
      </c>
      <c r="P68" s="69">
        <f t="shared" si="19"/>
        <v>3572000</v>
      </c>
      <c r="Q68" s="14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</row>
    <row r="69" spans="1:530" s="23" customFormat="1" ht="27" customHeight="1" x14ac:dyDescent="0.25">
      <c r="A69" s="43" t="s">
        <v>205</v>
      </c>
      <c r="B69" s="44" t="str">
        <f>'дод 4'!A130</f>
        <v>8340</v>
      </c>
      <c r="C69" s="44" t="str">
        <f>'дод 4'!B130</f>
        <v>0540</v>
      </c>
      <c r="D69" s="24" t="str">
        <f>'дод 4'!C130</f>
        <v>Природоохоронні заходи за рахунок цільових фондів</v>
      </c>
      <c r="E69" s="69">
        <f t="shared" si="18"/>
        <v>0</v>
      </c>
      <c r="F69" s="69"/>
      <c r="G69" s="69"/>
      <c r="H69" s="69"/>
      <c r="I69" s="69"/>
      <c r="J69" s="69">
        <f t="shared" si="20"/>
        <v>400000</v>
      </c>
      <c r="K69" s="69"/>
      <c r="L69" s="69">
        <f>306000+10000</f>
        <v>316000</v>
      </c>
      <c r="M69" s="69"/>
      <c r="N69" s="69"/>
      <c r="O69" s="69">
        <v>84000</v>
      </c>
      <c r="P69" s="69">
        <f t="shared" si="19"/>
        <v>400000</v>
      </c>
      <c r="Q69" s="14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</row>
    <row r="70" spans="1:530" s="23" customFormat="1" ht="48.75" customHeight="1" x14ac:dyDescent="0.25">
      <c r="A70" s="43" t="s">
        <v>440</v>
      </c>
      <c r="B70" s="44">
        <v>9800</v>
      </c>
      <c r="C70" s="45" t="s">
        <v>59</v>
      </c>
      <c r="D70" s="126" t="s">
        <v>441</v>
      </c>
      <c r="E70" s="69">
        <f t="shared" si="18"/>
        <v>84885</v>
      </c>
      <c r="F70" s="69">
        <v>84885</v>
      </c>
      <c r="G70" s="69"/>
      <c r="H70" s="69"/>
      <c r="I70" s="69"/>
      <c r="J70" s="69">
        <f t="shared" si="20"/>
        <v>0</v>
      </c>
      <c r="K70" s="69"/>
      <c r="L70" s="69"/>
      <c r="M70" s="69"/>
      <c r="N70" s="69"/>
      <c r="O70" s="69"/>
      <c r="P70" s="69">
        <f t="shared" si="19"/>
        <v>84885</v>
      </c>
      <c r="Q70" s="146">
        <v>15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</row>
    <row r="71" spans="1:530" s="31" customFormat="1" ht="21" customHeight="1" x14ac:dyDescent="0.2">
      <c r="A71" s="76" t="s">
        <v>206</v>
      </c>
      <c r="B71" s="74"/>
      <c r="C71" s="74"/>
      <c r="D71" s="30" t="s">
        <v>36</v>
      </c>
      <c r="E71" s="66">
        <f>E72</f>
        <v>170533211</v>
      </c>
      <c r="F71" s="66">
        <f t="shared" ref="F71:P71" si="23">F72</f>
        <v>170334211</v>
      </c>
      <c r="G71" s="66">
        <f t="shared" si="23"/>
        <v>1641400</v>
      </c>
      <c r="H71" s="66">
        <f t="shared" si="23"/>
        <v>35400</v>
      </c>
      <c r="I71" s="66">
        <f t="shared" si="23"/>
        <v>199000</v>
      </c>
      <c r="J71" s="66">
        <f t="shared" si="23"/>
        <v>73176074</v>
      </c>
      <c r="K71" s="66">
        <f t="shared" si="23"/>
        <v>72291074</v>
      </c>
      <c r="L71" s="66">
        <f t="shared" si="23"/>
        <v>0</v>
      </c>
      <c r="M71" s="66">
        <f t="shared" si="23"/>
        <v>0</v>
      </c>
      <c r="N71" s="66">
        <f t="shared" si="23"/>
        <v>0</v>
      </c>
      <c r="O71" s="66">
        <f t="shared" si="23"/>
        <v>73176074</v>
      </c>
      <c r="P71" s="66">
        <f t="shared" si="23"/>
        <v>243709285</v>
      </c>
      <c r="Q71" s="146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  <c r="KX71" s="38"/>
      <c r="KY71" s="38"/>
      <c r="KZ71" s="38"/>
      <c r="LA71" s="38"/>
      <c r="LB71" s="38"/>
      <c r="LC71" s="38"/>
      <c r="LD71" s="38"/>
      <c r="LE71" s="38"/>
      <c r="LF71" s="38"/>
      <c r="LG71" s="38"/>
      <c r="LH71" s="38"/>
      <c r="LI71" s="38"/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</row>
    <row r="72" spans="1:530" s="40" customFormat="1" ht="18.75" customHeight="1" x14ac:dyDescent="0.25">
      <c r="A72" s="77" t="s">
        <v>207</v>
      </c>
      <c r="B72" s="75"/>
      <c r="C72" s="75"/>
      <c r="D72" s="33" t="s">
        <v>36</v>
      </c>
      <c r="E72" s="68">
        <f>E74+E75+E77+E79+E81+E82+E84+E85+E86+E87+E88</f>
        <v>170533211</v>
      </c>
      <c r="F72" s="68">
        <f t="shared" ref="F72:P72" si="24">F74+F75+F77+F79+F81+F82+F84+F85+F86+F87+F88</f>
        <v>170334211</v>
      </c>
      <c r="G72" s="68">
        <f t="shared" si="24"/>
        <v>1641400</v>
      </c>
      <c r="H72" s="68">
        <f t="shared" si="24"/>
        <v>35400</v>
      </c>
      <c r="I72" s="68">
        <f t="shared" si="24"/>
        <v>199000</v>
      </c>
      <c r="J72" s="68">
        <f t="shared" si="24"/>
        <v>73176074</v>
      </c>
      <c r="K72" s="68">
        <f t="shared" si="24"/>
        <v>72291074</v>
      </c>
      <c r="L72" s="68">
        <f t="shared" si="24"/>
        <v>0</v>
      </c>
      <c r="M72" s="68">
        <f t="shared" si="24"/>
        <v>0</v>
      </c>
      <c r="N72" s="68">
        <f t="shared" si="24"/>
        <v>0</v>
      </c>
      <c r="O72" s="68">
        <f t="shared" si="24"/>
        <v>73176074</v>
      </c>
      <c r="P72" s="68">
        <f t="shared" si="24"/>
        <v>243709285</v>
      </c>
      <c r="Q72" s="146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</row>
    <row r="73" spans="1:530" s="40" customFormat="1" ht="18.75" customHeight="1" x14ac:dyDescent="0.25">
      <c r="A73" s="77"/>
      <c r="B73" s="75"/>
      <c r="C73" s="75"/>
      <c r="D73" s="33" t="s">
        <v>308</v>
      </c>
      <c r="E73" s="68">
        <f>E76+E78+E80+E83</f>
        <v>57157811</v>
      </c>
      <c r="F73" s="68">
        <f t="shared" ref="F73:P73" si="25">F76+F78+F80+F83</f>
        <v>57157811</v>
      </c>
      <c r="G73" s="68">
        <f t="shared" si="25"/>
        <v>0</v>
      </c>
      <c r="H73" s="68">
        <f t="shared" si="25"/>
        <v>0</v>
      </c>
      <c r="I73" s="68">
        <f t="shared" si="25"/>
        <v>0</v>
      </c>
      <c r="J73" s="68">
        <f t="shared" si="25"/>
        <v>0</v>
      </c>
      <c r="K73" s="68">
        <f t="shared" si="25"/>
        <v>0</v>
      </c>
      <c r="L73" s="68">
        <f t="shared" si="25"/>
        <v>0</v>
      </c>
      <c r="M73" s="68">
        <f t="shared" si="25"/>
        <v>0</v>
      </c>
      <c r="N73" s="68">
        <f t="shared" si="25"/>
        <v>0</v>
      </c>
      <c r="O73" s="68">
        <f t="shared" si="25"/>
        <v>0</v>
      </c>
      <c r="P73" s="68">
        <f t="shared" si="25"/>
        <v>57157811</v>
      </c>
      <c r="Q73" s="146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</row>
    <row r="74" spans="1:530" s="23" customFormat="1" ht="50.25" customHeight="1" x14ac:dyDescent="0.25">
      <c r="A74" s="43" t="s">
        <v>208</v>
      </c>
      <c r="B74" s="44" t="str">
        <f>'дод 4'!A14</f>
        <v>0160</v>
      </c>
      <c r="C74" s="44" t="str">
        <f>'дод 4'!B14</f>
        <v>0111</v>
      </c>
      <c r="D74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74" s="69">
        <f t="shared" ref="E74:E88" si="26">F74+I74</f>
        <v>2351000</v>
      </c>
      <c r="F74" s="69">
        <f>2218500+30000+3500-97800+196800</f>
        <v>2351000</v>
      </c>
      <c r="G74" s="69">
        <f>1721600-80200</f>
        <v>1641400</v>
      </c>
      <c r="H74" s="69">
        <v>35400</v>
      </c>
      <c r="I74" s="69"/>
      <c r="J74" s="69">
        <f>L74+O74</f>
        <v>0</v>
      </c>
      <c r="K74" s="69"/>
      <c r="L74" s="69"/>
      <c r="M74" s="69"/>
      <c r="N74" s="69"/>
      <c r="O74" s="69"/>
      <c r="P74" s="69">
        <f t="shared" ref="P74:P88" si="27">E74+J74</f>
        <v>2351000</v>
      </c>
      <c r="Q74" s="14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</row>
    <row r="75" spans="1:530" s="23" customFormat="1" ht="14.25" customHeight="1" x14ac:dyDescent="0.25">
      <c r="A75" s="43" t="s">
        <v>209</v>
      </c>
      <c r="B75" s="44" t="str">
        <f>'дод 4'!A35</f>
        <v>2010</v>
      </c>
      <c r="C75" s="44" t="str">
        <f>'дод 4'!B35</f>
        <v>0731</v>
      </c>
      <c r="D75" s="24" t="str">
        <f>'дод 4'!C35</f>
        <v>Багатопрофільна стаціонарна медична допомога населенню</v>
      </c>
      <c r="E75" s="69">
        <f t="shared" si="26"/>
        <v>119324491</v>
      </c>
      <c r="F75" s="69">
        <f>118457491+150000+717000</f>
        <v>119324491</v>
      </c>
      <c r="G75" s="69"/>
      <c r="H75" s="69"/>
      <c r="I75" s="71"/>
      <c r="J75" s="69">
        <f t="shared" ref="J75:J88" si="28">L75+O75</f>
        <v>28736500</v>
      </c>
      <c r="K75" s="69">
        <f>27530000+1100000+1606500-3000000+1500000</f>
        <v>28736500</v>
      </c>
      <c r="L75" s="69"/>
      <c r="M75" s="69"/>
      <c r="N75" s="69"/>
      <c r="O75" s="69">
        <f>27530000+1100000+1606500-3000000+1500000</f>
        <v>28736500</v>
      </c>
      <c r="P75" s="69">
        <f t="shared" si="27"/>
        <v>148060991</v>
      </c>
      <c r="Q75" s="14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</row>
    <row r="76" spans="1:530" s="23" customFormat="1" ht="17.25" customHeight="1" x14ac:dyDescent="0.25">
      <c r="A76" s="43"/>
      <c r="B76" s="44"/>
      <c r="C76" s="44"/>
      <c r="D76" s="22" t="s">
        <v>308</v>
      </c>
      <c r="E76" s="69">
        <f t="shared" si="26"/>
        <v>48187871</v>
      </c>
      <c r="F76" s="69">
        <f>45209900+2680300+147671+150000</f>
        <v>48187871</v>
      </c>
      <c r="G76" s="69"/>
      <c r="H76" s="69"/>
      <c r="I76" s="71"/>
      <c r="J76" s="69">
        <f t="shared" si="28"/>
        <v>0</v>
      </c>
      <c r="K76" s="69"/>
      <c r="L76" s="69"/>
      <c r="M76" s="69"/>
      <c r="N76" s="69"/>
      <c r="O76" s="69"/>
      <c r="P76" s="69">
        <f t="shared" si="27"/>
        <v>48187871</v>
      </c>
      <c r="Q76" s="14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</row>
    <row r="77" spans="1:530" s="23" customFormat="1" ht="36.75" customHeight="1" x14ac:dyDescent="0.25">
      <c r="A77" s="43" t="s">
        <v>214</v>
      </c>
      <c r="B77" s="44" t="str">
        <f>'дод 4'!A37</f>
        <v>2030</v>
      </c>
      <c r="C77" s="44" t="str">
        <f>'дод 4'!B37</f>
        <v>0733</v>
      </c>
      <c r="D77" s="24" t="str">
        <f>'дод 4'!C37</f>
        <v>Лікарсько-акушерська допомога вагітним, породіллям та новонародженим</v>
      </c>
      <c r="E77" s="69">
        <f t="shared" si="26"/>
        <v>15325473</v>
      </c>
      <c r="F77" s="69">
        <f>15275473+50000</f>
        <v>15325473</v>
      </c>
      <c r="G77" s="71"/>
      <c r="H77" s="71"/>
      <c r="I77" s="71"/>
      <c r="J77" s="69">
        <f t="shared" si="28"/>
        <v>15040600</v>
      </c>
      <c r="K77" s="69">
        <v>15040600</v>
      </c>
      <c r="L77" s="69"/>
      <c r="M77" s="69"/>
      <c r="N77" s="69"/>
      <c r="O77" s="69">
        <v>15040600</v>
      </c>
      <c r="P77" s="69">
        <f t="shared" si="27"/>
        <v>30366073</v>
      </c>
      <c r="Q77" s="1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</row>
    <row r="78" spans="1:530" s="23" customFormat="1" ht="16.5" customHeight="1" x14ac:dyDescent="0.25">
      <c r="A78" s="43"/>
      <c r="B78" s="44"/>
      <c r="C78" s="44"/>
      <c r="D78" s="22" t="s">
        <v>308</v>
      </c>
      <c r="E78" s="69">
        <f t="shared" si="26"/>
        <v>6347600</v>
      </c>
      <c r="F78" s="69">
        <v>6347600</v>
      </c>
      <c r="G78" s="71"/>
      <c r="H78" s="71"/>
      <c r="I78" s="71"/>
      <c r="J78" s="69">
        <f t="shared" si="28"/>
        <v>0</v>
      </c>
      <c r="K78" s="69"/>
      <c r="L78" s="69"/>
      <c r="M78" s="69"/>
      <c r="N78" s="69"/>
      <c r="O78" s="69"/>
      <c r="P78" s="69">
        <f t="shared" si="27"/>
        <v>6347600</v>
      </c>
      <c r="Q78" s="14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</row>
    <row r="79" spans="1:530" s="23" customFormat="1" ht="24" customHeight="1" x14ac:dyDescent="0.25">
      <c r="A79" s="43" t="s">
        <v>213</v>
      </c>
      <c r="B79" s="44" t="str">
        <f>'дод 4'!A39</f>
        <v>2100</v>
      </c>
      <c r="C79" s="44" t="str">
        <f>'дод 4'!B39</f>
        <v>0722</v>
      </c>
      <c r="D79" s="24" t="str">
        <f>'дод 4'!C39</f>
        <v>Стоматологічна допомога населенню</v>
      </c>
      <c r="E79" s="69">
        <f t="shared" si="26"/>
        <v>6663426</v>
      </c>
      <c r="F79" s="69">
        <v>6663426</v>
      </c>
      <c r="G79" s="71"/>
      <c r="H79" s="71"/>
      <c r="I79" s="71"/>
      <c r="J79" s="69">
        <f t="shared" si="28"/>
        <v>1130000</v>
      </c>
      <c r="K79" s="69">
        <f>1210600-80600</f>
        <v>1130000</v>
      </c>
      <c r="L79" s="69"/>
      <c r="M79" s="69"/>
      <c r="N79" s="69"/>
      <c r="O79" s="69">
        <f>1210600-80600</f>
        <v>1130000</v>
      </c>
      <c r="P79" s="69">
        <f t="shared" si="27"/>
        <v>7793426</v>
      </c>
      <c r="Q79" s="14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</row>
    <row r="80" spans="1:530" s="23" customFormat="1" ht="15" customHeight="1" x14ac:dyDescent="0.25">
      <c r="A80" s="43"/>
      <c r="B80" s="44"/>
      <c r="C80" s="44"/>
      <c r="D80" s="22" t="s">
        <v>308</v>
      </c>
      <c r="E80" s="69">
        <f t="shared" si="26"/>
        <v>1132200</v>
      </c>
      <c r="F80" s="69">
        <v>1132200</v>
      </c>
      <c r="G80" s="71"/>
      <c r="H80" s="71"/>
      <c r="I80" s="71"/>
      <c r="J80" s="69">
        <f t="shared" si="28"/>
        <v>0</v>
      </c>
      <c r="K80" s="69"/>
      <c r="L80" s="69"/>
      <c r="M80" s="69"/>
      <c r="N80" s="69"/>
      <c r="O80" s="69"/>
      <c r="P80" s="69">
        <f t="shared" si="27"/>
        <v>1132200</v>
      </c>
      <c r="Q80" s="14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  <c r="TJ80" s="26"/>
    </row>
    <row r="81" spans="1:530" s="23" customFormat="1" ht="40.5" customHeight="1" x14ac:dyDescent="0.25">
      <c r="A81" s="43" t="s">
        <v>212</v>
      </c>
      <c r="B81" s="44" t="str">
        <f>'дод 4'!A41</f>
        <v>2111</v>
      </c>
      <c r="C81" s="44" t="str">
        <f>'дод 4'!B41</f>
        <v>0726</v>
      </c>
      <c r="D81" s="24" t="str">
        <f>'дод 4'!C41</f>
        <v>Первинна медична допомога населенню, що надається центрами первинної медичної (медико-санітарної) допомоги</v>
      </c>
      <c r="E81" s="69">
        <f t="shared" si="26"/>
        <v>1870468</v>
      </c>
      <c r="F81" s="69">
        <f>1672468+173000+25000</f>
        <v>1870468</v>
      </c>
      <c r="G81" s="71"/>
      <c r="H81" s="71"/>
      <c r="I81" s="71"/>
      <c r="J81" s="69">
        <f t="shared" si="28"/>
        <v>0</v>
      </c>
      <c r="K81" s="69"/>
      <c r="L81" s="69"/>
      <c r="M81" s="69"/>
      <c r="N81" s="69"/>
      <c r="O81" s="69"/>
      <c r="P81" s="69">
        <f t="shared" si="27"/>
        <v>1870468</v>
      </c>
      <c r="Q81" s="14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</row>
    <row r="82" spans="1:530" s="23" customFormat="1" ht="32.25" customHeight="1" x14ac:dyDescent="0.25">
      <c r="A82" s="43" t="s">
        <v>211</v>
      </c>
      <c r="B82" s="44">
        <f>'дод 4'!A42</f>
        <v>2144</v>
      </c>
      <c r="C82" s="44" t="str">
        <f>'дод 4'!B42</f>
        <v>0763</v>
      </c>
      <c r="D82" s="25" t="str">
        <f>'дод 4'!C42</f>
        <v>Централізовані заходи з лікування хворих на цукровий та нецукровий діабет</v>
      </c>
      <c r="E82" s="69">
        <f t="shared" si="26"/>
        <v>3090140</v>
      </c>
      <c r="F82" s="69">
        <f>2090140+1000000</f>
        <v>3090140</v>
      </c>
      <c r="G82" s="71"/>
      <c r="H82" s="71"/>
      <c r="I82" s="71"/>
      <c r="J82" s="69">
        <f t="shared" si="28"/>
        <v>0</v>
      </c>
      <c r="K82" s="69"/>
      <c r="L82" s="69"/>
      <c r="M82" s="69"/>
      <c r="N82" s="69"/>
      <c r="O82" s="69"/>
      <c r="P82" s="69">
        <f t="shared" si="27"/>
        <v>3090140</v>
      </c>
      <c r="Q82" s="14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</row>
    <row r="83" spans="1:530" s="23" customFormat="1" ht="18.75" customHeight="1" x14ac:dyDescent="0.25">
      <c r="A83" s="43"/>
      <c r="B83" s="44"/>
      <c r="C83" s="44"/>
      <c r="D83" s="25" t="str">
        <f>'дод 4'!C43</f>
        <v>у т.ч. за рахунок субвенцій з держбюджету</v>
      </c>
      <c r="E83" s="69">
        <f t="shared" si="26"/>
        <v>1490140</v>
      </c>
      <c r="F83" s="69">
        <v>1490140</v>
      </c>
      <c r="G83" s="71"/>
      <c r="H83" s="71"/>
      <c r="I83" s="71"/>
      <c r="J83" s="69">
        <f t="shared" si="28"/>
        <v>0</v>
      </c>
      <c r="K83" s="69"/>
      <c r="L83" s="69"/>
      <c r="M83" s="69"/>
      <c r="N83" s="69"/>
      <c r="O83" s="69"/>
      <c r="P83" s="69">
        <f t="shared" si="27"/>
        <v>1490140</v>
      </c>
      <c r="Q83" s="14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</row>
    <row r="84" spans="1:530" s="23" customFormat="1" ht="30" customHeight="1" x14ac:dyDescent="0.25">
      <c r="A84" s="43" t="s">
        <v>382</v>
      </c>
      <c r="B84" s="45" t="str">
        <f>'дод 4'!A44</f>
        <v>2151</v>
      </c>
      <c r="C84" s="45" t="str">
        <f>'дод 4'!B44</f>
        <v>0763</v>
      </c>
      <c r="D84" s="24" t="str">
        <f>'дод 4'!C44</f>
        <v>Забезпечення діяльності інших закладів у сфері охорони здоров’я</v>
      </c>
      <c r="E84" s="69">
        <f t="shared" si="26"/>
        <v>2894213</v>
      </c>
      <c r="F84" s="69">
        <v>2894213</v>
      </c>
      <c r="G84" s="71"/>
      <c r="H84" s="71"/>
      <c r="I84" s="71"/>
      <c r="J84" s="69">
        <f t="shared" si="28"/>
        <v>0</v>
      </c>
      <c r="K84" s="69"/>
      <c r="L84" s="69"/>
      <c r="M84" s="69"/>
      <c r="N84" s="69"/>
      <c r="O84" s="69"/>
      <c r="P84" s="69">
        <f t="shared" si="27"/>
        <v>2894213</v>
      </c>
      <c r="Q84" s="1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</row>
    <row r="85" spans="1:530" s="23" customFormat="1" ht="24.75" customHeight="1" x14ac:dyDescent="0.25">
      <c r="A85" s="43" t="s">
        <v>383</v>
      </c>
      <c r="B85" s="45" t="str">
        <f>'дод 4'!A45</f>
        <v>2152</v>
      </c>
      <c r="C85" s="45" t="str">
        <f>'дод 4'!B45</f>
        <v>0763</v>
      </c>
      <c r="D85" s="22" t="str">
        <f>'дод 4'!C45</f>
        <v>Інші програми та заходи у сфері охорони здоров’я</v>
      </c>
      <c r="E85" s="69">
        <f t="shared" si="26"/>
        <v>18815000</v>
      </c>
      <c r="F85" s="69">
        <v>18815000</v>
      </c>
      <c r="G85" s="69"/>
      <c r="H85" s="69"/>
      <c r="I85" s="69"/>
      <c r="J85" s="69">
        <f t="shared" si="28"/>
        <v>0</v>
      </c>
      <c r="K85" s="69"/>
      <c r="L85" s="69"/>
      <c r="M85" s="69"/>
      <c r="N85" s="69"/>
      <c r="O85" s="69"/>
      <c r="P85" s="69">
        <f t="shared" si="27"/>
        <v>18815000</v>
      </c>
      <c r="Q85" s="14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  <c r="TJ85" s="26"/>
    </row>
    <row r="86" spans="1:530" s="23" customFormat="1" ht="44.25" customHeight="1" x14ac:dyDescent="0.25">
      <c r="A86" s="43" t="s">
        <v>452</v>
      </c>
      <c r="B86" s="45">
        <f>'дод 4'!A103</f>
        <v>7361</v>
      </c>
      <c r="C86" s="45" t="str">
        <f>'дод 4'!B103</f>
        <v>0490</v>
      </c>
      <c r="D86" s="22" t="str">
        <f>'дод 4'!C103</f>
        <v>Співфінансування інвестиційних проектів, що реалізуються за рахунок коштів державного фонду регіонального розвитку</v>
      </c>
      <c r="E86" s="69">
        <f t="shared" si="26"/>
        <v>0</v>
      </c>
      <c r="F86" s="69"/>
      <c r="G86" s="69"/>
      <c r="H86" s="69"/>
      <c r="I86" s="69"/>
      <c r="J86" s="69">
        <f t="shared" si="28"/>
        <v>3000000</v>
      </c>
      <c r="K86" s="69">
        <v>3000000</v>
      </c>
      <c r="L86" s="69"/>
      <c r="M86" s="69"/>
      <c r="N86" s="69"/>
      <c r="O86" s="69">
        <v>3000000</v>
      </c>
      <c r="P86" s="69">
        <f t="shared" si="27"/>
        <v>3000000</v>
      </c>
      <c r="Q86" s="14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  <c r="TJ86" s="26"/>
    </row>
    <row r="87" spans="1:530" s="23" customFormat="1" ht="18.75" customHeight="1" x14ac:dyDescent="0.25">
      <c r="A87" s="43" t="s">
        <v>210</v>
      </c>
      <c r="B87" s="44" t="str">
        <f>'дод 4'!A113</f>
        <v>7640</v>
      </c>
      <c r="C87" s="44" t="str">
        <f>'дод 4'!B113</f>
        <v>0470</v>
      </c>
      <c r="D87" s="24" t="str">
        <f>'дод 4'!C113</f>
        <v>Заходи з енергозбереження</v>
      </c>
      <c r="E87" s="69">
        <f t="shared" si="26"/>
        <v>199000</v>
      </c>
      <c r="F87" s="69"/>
      <c r="G87" s="69"/>
      <c r="H87" s="69"/>
      <c r="I87" s="69">
        <v>199000</v>
      </c>
      <c r="J87" s="69">
        <f t="shared" si="28"/>
        <v>24383974</v>
      </c>
      <c r="K87" s="69">
        <f>17559604+14714700-6500000+1200000-1100000+9670-1500000</f>
        <v>24383974</v>
      </c>
      <c r="L87" s="69"/>
      <c r="M87" s="69"/>
      <c r="N87" s="69"/>
      <c r="O87" s="69">
        <f>17559604+14714700-6500000+1200000-1100000+9670-1500000</f>
        <v>24383974</v>
      </c>
      <c r="P87" s="69">
        <f t="shared" si="27"/>
        <v>24582974</v>
      </c>
      <c r="Q87" s="14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  <c r="TJ87" s="26"/>
    </row>
    <row r="88" spans="1:530" s="23" customFormat="1" ht="45" customHeight="1" x14ac:dyDescent="0.25">
      <c r="A88" s="43" t="s">
        <v>425</v>
      </c>
      <c r="B88" s="44">
        <v>7700</v>
      </c>
      <c r="C88" s="43" t="s">
        <v>113</v>
      </c>
      <c r="D88" s="24" t="s">
        <v>426</v>
      </c>
      <c r="E88" s="69">
        <f t="shared" si="26"/>
        <v>0</v>
      </c>
      <c r="F88" s="69"/>
      <c r="G88" s="69"/>
      <c r="H88" s="69"/>
      <c r="I88" s="69"/>
      <c r="J88" s="69">
        <f t="shared" si="28"/>
        <v>885000</v>
      </c>
      <c r="K88" s="69"/>
      <c r="L88" s="69"/>
      <c r="M88" s="69"/>
      <c r="N88" s="69"/>
      <c r="O88" s="69">
        <v>885000</v>
      </c>
      <c r="P88" s="69">
        <f t="shared" si="27"/>
        <v>885000</v>
      </c>
      <c r="Q88" s="14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  <c r="TJ88" s="26"/>
    </row>
    <row r="89" spans="1:530" s="31" customFormat="1" ht="36" customHeight="1" x14ac:dyDescent="0.2">
      <c r="A89" s="76" t="s">
        <v>215</v>
      </c>
      <c r="B89" s="74"/>
      <c r="C89" s="74"/>
      <c r="D89" s="30" t="s">
        <v>51</v>
      </c>
      <c r="E89" s="66">
        <f>E90</f>
        <v>186481665.11000001</v>
      </c>
      <c r="F89" s="66">
        <f t="shared" ref="F89:J89" si="29">F90</f>
        <v>186481665.11000001</v>
      </c>
      <c r="G89" s="66">
        <f t="shared" si="29"/>
        <v>55579225</v>
      </c>
      <c r="H89" s="66">
        <f t="shared" si="29"/>
        <v>1615490</v>
      </c>
      <c r="I89" s="66">
        <f t="shared" si="29"/>
        <v>0</v>
      </c>
      <c r="J89" s="66">
        <f t="shared" si="29"/>
        <v>1226640</v>
      </c>
      <c r="K89" s="66">
        <f t="shared" ref="K89" si="30">K90</f>
        <v>1118540</v>
      </c>
      <c r="L89" s="66">
        <f t="shared" ref="L89" si="31">L90</f>
        <v>108100</v>
      </c>
      <c r="M89" s="66">
        <f t="shared" ref="M89" si="32">M90</f>
        <v>85100</v>
      </c>
      <c r="N89" s="66">
        <f t="shared" ref="N89" si="33">N90</f>
        <v>0</v>
      </c>
      <c r="O89" s="66">
        <f t="shared" ref="O89:P89" si="34">O90</f>
        <v>1118540</v>
      </c>
      <c r="P89" s="66">
        <f t="shared" si="34"/>
        <v>187708305.11000001</v>
      </c>
      <c r="Q89" s="146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38"/>
      <c r="JL89" s="38"/>
      <c r="JM89" s="38"/>
      <c r="JN89" s="38"/>
      <c r="JO89" s="38"/>
      <c r="JP89" s="38"/>
      <c r="JQ89" s="38"/>
      <c r="JR89" s="38"/>
      <c r="JS89" s="38"/>
      <c r="JT89" s="38"/>
      <c r="JU89" s="38"/>
      <c r="JV89" s="38"/>
      <c r="JW89" s="38"/>
      <c r="JX89" s="38"/>
      <c r="JY89" s="38"/>
      <c r="JZ89" s="38"/>
      <c r="KA89" s="38"/>
      <c r="KB89" s="38"/>
      <c r="KC89" s="38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  <c r="MI89" s="38"/>
      <c r="MJ89" s="38"/>
      <c r="MK89" s="38"/>
      <c r="ML89" s="38"/>
      <c r="MM89" s="38"/>
      <c r="MN89" s="38"/>
      <c r="MO89" s="38"/>
      <c r="MP89" s="38"/>
      <c r="MQ89" s="38"/>
      <c r="MR89" s="38"/>
      <c r="MS89" s="38"/>
      <c r="MT89" s="38"/>
      <c r="MU89" s="38"/>
      <c r="MV89" s="38"/>
      <c r="MW89" s="38"/>
      <c r="MX89" s="38"/>
      <c r="MY89" s="38"/>
      <c r="MZ89" s="38"/>
      <c r="NA89" s="38"/>
      <c r="NB89" s="38"/>
      <c r="NC89" s="38"/>
      <c r="ND89" s="38"/>
      <c r="NE89" s="38"/>
      <c r="NF89" s="38"/>
      <c r="NG89" s="38"/>
      <c r="NH89" s="3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38"/>
      <c r="OI89" s="38"/>
      <c r="OJ89" s="38"/>
      <c r="OK89" s="38"/>
      <c r="OL89" s="38"/>
      <c r="OM89" s="38"/>
      <c r="ON89" s="38"/>
      <c r="OO89" s="38"/>
      <c r="OP89" s="38"/>
      <c r="OQ89" s="38"/>
      <c r="OR89" s="38"/>
      <c r="OS89" s="38"/>
      <c r="OT89" s="38"/>
      <c r="OU89" s="38"/>
      <c r="OV89" s="38"/>
      <c r="OW89" s="38"/>
      <c r="OX89" s="38"/>
      <c r="OY89" s="38"/>
      <c r="OZ89" s="38"/>
      <c r="PA89" s="38"/>
      <c r="PB89" s="38"/>
      <c r="PC89" s="38"/>
      <c r="PD89" s="38"/>
      <c r="PE89" s="38"/>
      <c r="PF89" s="38"/>
      <c r="PG89" s="38"/>
      <c r="PH89" s="38"/>
      <c r="PI89" s="38"/>
      <c r="PJ89" s="38"/>
      <c r="PK89" s="38"/>
      <c r="PL89" s="38"/>
      <c r="PM89" s="38"/>
      <c r="PN89" s="38"/>
      <c r="PO89" s="38"/>
      <c r="PP89" s="38"/>
      <c r="PQ89" s="38"/>
      <c r="PR89" s="38"/>
      <c r="PS89" s="38"/>
      <c r="PT89" s="38"/>
      <c r="PU89" s="38"/>
      <c r="PV89" s="38"/>
      <c r="PW89" s="38"/>
      <c r="PX89" s="38"/>
      <c r="PY89" s="38"/>
      <c r="PZ89" s="38"/>
      <c r="QA89" s="38"/>
      <c r="QB89" s="38"/>
      <c r="QC89" s="38"/>
      <c r="QD89" s="38"/>
      <c r="QE89" s="38"/>
      <c r="QF89" s="38"/>
      <c r="QG89" s="38"/>
      <c r="QH89" s="38"/>
      <c r="QI89" s="38"/>
      <c r="QJ89" s="38"/>
      <c r="QK89" s="38"/>
      <c r="QL89" s="38"/>
      <c r="QM89" s="38"/>
      <c r="QN89" s="38"/>
      <c r="QO89" s="38"/>
      <c r="QP89" s="38"/>
      <c r="QQ89" s="38"/>
      <c r="QR89" s="38"/>
      <c r="QS89" s="38"/>
      <c r="QT89" s="38"/>
      <c r="QU89" s="38"/>
      <c r="QV89" s="38"/>
      <c r="QW89" s="38"/>
      <c r="QX89" s="38"/>
      <c r="QY89" s="38"/>
      <c r="QZ89" s="38"/>
      <c r="RA89" s="38"/>
      <c r="RB89" s="38"/>
      <c r="RC89" s="38"/>
      <c r="RD89" s="38"/>
      <c r="RE89" s="38"/>
      <c r="RF89" s="38"/>
      <c r="RG89" s="38"/>
      <c r="RH89" s="38"/>
      <c r="RI89" s="38"/>
      <c r="RJ89" s="38"/>
      <c r="RK89" s="38"/>
      <c r="RL89" s="38"/>
      <c r="RM89" s="38"/>
      <c r="RN89" s="38"/>
      <c r="RO89" s="38"/>
      <c r="RP89" s="38"/>
      <c r="RQ89" s="38"/>
      <c r="RR89" s="38"/>
      <c r="RS89" s="38"/>
      <c r="RT89" s="38"/>
      <c r="RU89" s="38"/>
      <c r="RV89" s="38"/>
      <c r="RW89" s="38"/>
      <c r="RX89" s="38"/>
      <c r="RY89" s="38"/>
      <c r="RZ89" s="38"/>
      <c r="SA89" s="38"/>
      <c r="SB89" s="38"/>
      <c r="SC89" s="38"/>
      <c r="SD89" s="38"/>
      <c r="SE89" s="38"/>
      <c r="SF89" s="38"/>
      <c r="SG89" s="38"/>
      <c r="SH89" s="38"/>
      <c r="SI89" s="38"/>
      <c r="SJ89" s="38"/>
      <c r="SK89" s="38"/>
      <c r="SL89" s="38"/>
      <c r="SM89" s="38"/>
      <c r="SN89" s="38"/>
      <c r="SO89" s="38"/>
      <c r="SP89" s="38"/>
      <c r="SQ89" s="38"/>
      <c r="SR89" s="38"/>
      <c r="SS89" s="38"/>
      <c r="ST89" s="38"/>
      <c r="SU89" s="38"/>
      <c r="SV89" s="38"/>
      <c r="SW89" s="38"/>
      <c r="SX89" s="38"/>
      <c r="SY89" s="38"/>
      <c r="SZ89" s="38"/>
      <c r="TA89" s="38"/>
      <c r="TB89" s="38"/>
      <c r="TC89" s="38"/>
      <c r="TD89" s="38"/>
      <c r="TE89" s="38"/>
      <c r="TF89" s="38"/>
      <c r="TG89" s="38"/>
      <c r="TH89" s="38"/>
      <c r="TI89" s="38"/>
      <c r="TJ89" s="38"/>
    </row>
    <row r="90" spans="1:530" s="40" customFormat="1" ht="32.25" customHeight="1" x14ac:dyDescent="0.25">
      <c r="A90" s="77" t="s">
        <v>216</v>
      </c>
      <c r="B90" s="75"/>
      <c r="C90" s="75"/>
      <c r="D90" s="33" t="s">
        <v>51</v>
      </c>
      <c r="E90" s="68">
        <f>E91+E92+E93+E94+E95+E96+E97+E98+E99+E100+E101+E102+E103+E104+E105+E106+E107+E108+E109+E110</f>
        <v>186481665.11000001</v>
      </c>
      <c r="F90" s="68">
        <f t="shared" ref="F90:P90" si="35">F91+F92+F93+F94+F95+F96+F97+F98+F99+F100+F101+F102+F103+F104+F105+F106+F107+F108+F109+F110</f>
        <v>186481665.11000001</v>
      </c>
      <c r="G90" s="68">
        <f t="shared" si="35"/>
        <v>55579225</v>
      </c>
      <c r="H90" s="68">
        <f t="shared" si="35"/>
        <v>1615490</v>
      </c>
      <c r="I90" s="68">
        <f t="shared" si="35"/>
        <v>0</v>
      </c>
      <c r="J90" s="68">
        <f t="shared" si="35"/>
        <v>1226640</v>
      </c>
      <c r="K90" s="68">
        <f>K91+K92+K93+K94+K95+K96+K97+K98+K99+K100+K101+K102+K103+K104+K105+K106+K107+K108+K109+K110</f>
        <v>1118540</v>
      </c>
      <c r="L90" s="68">
        <f t="shared" si="35"/>
        <v>108100</v>
      </c>
      <c r="M90" s="68">
        <f t="shared" si="35"/>
        <v>85100</v>
      </c>
      <c r="N90" s="68">
        <f t="shared" si="35"/>
        <v>0</v>
      </c>
      <c r="O90" s="68">
        <f t="shared" si="35"/>
        <v>1118540</v>
      </c>
      <c r="P90" s="68">
        <f t="shared" si="35"/>
        <v>187708305.11000001</v>
      </c>
      <c r="Q90" s="146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  <c r="ME90" s="39"/>
      <c r="MF90" s="39"/>
      <c r="MG90" s="39"/>
      <c r="MH90" s="39"/>
      <c r="MI90" s="39"/>
      <c r="MJ90" s="39"/>
      <c r="MK90" s="39"/>
      <c r="ML90" s="39"/>
      <c r="MM90" s="39"/>
      <c r="MN90" s="39"/>
      <c r="MO90" s="39"/>
      <c r="MP90" s="39"/>
      <c r="MQ90" s="39"/>
      <c r="MR90" s="39"/>
      <c r="MS90" s="39"/>
      <c r="MT90" s="39"/>
      <c r="MU90" s="39"/>
      <c r="MV90" s="39"/>
      <c r="MW90" s="39"/>
      <c r="MX90" s="39"/>
      <c r="MY90" s="39"/>
      <c r="MZ90" s="39"/>
      <c r="NA90" s="39"/>
      <c r="NB90" s="39"/>
      <c r="NC90" s="39"/>
      <c r="ND90" s="39"/>
      <c r="NE90" s="39"/>
      <c r="NF90" s="39"/>
      <c r="NG90" s="39"/>
      <c r="NH90" s="39"/>
      <c r="NI90" s="39"/>
      <c r="NJ90" s="39"/>
      <c r="NK90" s="39"/>
      <c r="NL90" s="39"/>
      <c r="NM90" s="39"/>
      <c r="NN90" s="39"/>
      <c r="NO90" s="39"/>
      <c r="NP90" s="39"/>
      <c r="NQ90" s="39"/>
      <c r="NR90" s="39"/>
      <c r="NS90" s="39"/>
      <c r="NT90" s="39"/>
      <c r="NU90" s="39"/>
      <c r="NV90" s="39"/>
      <c r="NW90" s="39"/>
      <c r="NX90" s="39"/>
      <c r="NY90" s="39"/>
      <c r="NZ90" s="39"/>
      <c r="OA90" s="39"/>
      <c r="OB90" s="39"/>
      <c r="OC90" s="39"/>
      <c r="OD90" s="39"/>
      <c r="OE90" s="39"/>
      <c r="OF90" s="39"/>
      <c r="OG90" s="39"/>
      <c r="OH90" s="39"/>
      <c r="OI90" s="39"/>
      <c r="OJ90" s="39"/>
      <c r="OK90" s="39"/>
      <c r="OL90" s="39"/>
      <c r="OM90" s="39"/>
      <c r="ON90" s="39"/>
      <c r="OO90" s="39"/>
      <c r="OP90" s="39"/>
      <c r="OQ90" s="39"/>
      <c r="OR90" s="39"/>
      <c r="OS90" s="39"/>
      <c r="OT90" s="39"/>
      <c r="OU90" s="39"/>
      <c r="OV90" s="39"/>
      <c r="OW90" s="39"/>
      <c r="OX90" s="39"/>
      <c r="OY90" s="39"/>
      <c r="OZ90" s="39"/>
      <c r="PA90" s="39"/>
      <c r="PB90" s="39"/>
      <c r="PC90" s="39"/>
      <c r="PD90" s="39"/>
      <c r="PE90" s="39"/>
      <c r="PF90" s="39"/>
      <c r="PG90" s="39"/>
      <c r="PH90" s="39"/>
      <c r="PI90" s="39"/>
      <c r="PJ90" s="39"/>
      <c r="PK90" s="39"/>
      <c r="PL90" s="39"/>
      <c r="PM90" s="39"/>
      <c r="PN90" s="39"/>
      <c r="PO90" s="39"/>
      <c r="PP90" s="39"/>
      <c r="PQ90" s="39"/>
      <c r="PR90" s="39"/>
      <c r="PS90" s="39"/>
      <c r="PT90" s="39"/>
      <c r="PU90" s="39"/>
      <c r="PV90" s="39"/>
      <c r="PW90" s="39"/>
      <c r="PX90" s="39"/>
      <c r="PY90" s="39"/>
      <c r="PZ90" s="39"/>
      <c r="QA90" s="39"/>
      <c r="QB90" s="39"/>
      <c r="QC90" s="39"/>
      <c r="QD90" s="39"/>
      <c r="QE90" s="39"/>
      <c r="QF90" s="39"/>
      <c r="QG90" s="39"/>
      <c r="QH90" s="39"/>
      <c r="QI90" s="39"/>
      <c r="QJ90" s="39"/>
      <c r="QK90" s="39"/>
      <c r="QL90" s="39"/>
      <c r="QM90" s="39"/>
      <c r="QN90" s="39"/>
      <c r="QO90" s="39"/>
      <c r="QP90" s="39"/>
      <c r="QQ90" s="39"/>
      <c r="QR90" s="39"/>
      <c r="QS90" s="39"/>
      <c r="QT90" s="39"/>
      <c r="QU90" s="39"/>
      <c r="QV90" s="39"/>
      <c r="QW90" s="39"/>
      <c r="QX90" s="39"/>
      <c r="QY90" s="39"/>
      <c r="QZ90" s="39"/>
      <c r="RA90" s="39"/>
      <c r="RB90" s="39"/>
      <c r="RC90" s="39"/>
      <c r="RD90" s="39"/>
      <c r="RE90" s="39"/>
      <c r="RF90" s="39"/>
      <c r="RG90" s="39"/>
      <c r="RH90" s="39"/>
      <c r="RI90" s="39"/>
      <c r="RJ90" s="39"/>
      <c r="RK90" s="39"/>
      <c r="RL90" s="39"/>
      <c r="RM90" s="39"/>
      <c r="RN90" s="39"/>
      <c r="RO90" s="39"/>
      <c r="RP90" s="39"/>
      <c r="RQ90" s="39"/>
      <c r="RR90" s="39"/>
      <c r="RS90" s="39"/>
      <c r="RT90" s="39"/>
      <c r="RU90" s="39"/>
      <c r="RV90" s="39"/>
      <c r="RW90" s="39"/>
      <c r="RX90" s="39"/>
      <c r="RY90" s="39"/>
      <c r="RZ90" s="39"/>
      <c r="SA90" s="39"/>
      <c r="SB90" s="39"/>
      <c r="SC90" s="39"/>
      <c r="SD90" s="39"/>
      <c r="SE90" s="39"/>
      <c r="SF90" s="39"/>
      <c r="SG90" s="39"/>
      <c r="SH90" s="39"/>
      <c r="SI90" s="39"/>
      <c r="SJ90" s="39"/>
      <c r="SK90" s="39"/>
      <c r="SL90" s="39"/>
      <c r="SM90" s="39"/>
      <c r="SN90" s="39"/>
      <c r="SO90" s="39"/>
      <c r="SP90" s="39"/>
      <c r="SQ90" s="39"/>
      <c r="SR90" s="39"/>
      <c r="SS90" s="39"/>
      <c r="ST90" s="39"/>
      <c r="SU90" s="39"/>
      <c r="SV90" s="39"/>
      <c r="SW90" s="39"/>
      <c r="SX90" s="39"/>
      <c r="SY90" s="39"/>
      <c r="SZ90" s="39"/>
      <c r="TA90" s="39"/>
      <c r="TB90" s="39"/>
      <c r="TC90" s="39"/>
      <c r="TD90" s="39"/>
      <c r="TE90" s="39"/>
      <c r="TF90" s="39"/>
      <c r="TG90" s="39"/>
      <c r="TH90" s="39"/>
      <c r="TI90" s="39"/>
      <c r="TJ90" s="39"/>
    </row>
    <row r="91" spans="1:530" s="23" customFormat="1" ht="45.75" customHeight="1" x14ac:dyDescent="0.25">
      <c r="A91" s="43" t="s">
        <v>217</v>
      </c>
      <c r="B91" s="44" t="str">
        <f>'дод 4'!A14</f>
        <v>0160</v>
      </c>
      <c r="C91" s="44" t="str">
        <f>'дод 4'!B14</f>
        <v>0111</v>
      </c>
      <c r="D91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91" s="69">
        <f t="shared" ref="E91:E110" si="36">F91+I91</f>
        <v>53425100</v>
      </c>
      <c r="F91" s="69">
        <f>55432800+254000-2496600+234900</f>
        <v>53425100</v>
      </c>
      <c r="G91" s="69">
        <f>43728800-2046400</f>
        <v>41682400</v>
      </c>
      <c r="H91" s="69">
        <v>841800</v>
      </c>
      <c r="I91" s="69"/>
      <c r="J91" s="69">
        <f>L91+O91</f>
        <v>0</v>
      </c>
      <c r="K91" s="69"/>
      <c r="L91" s="69"/>
      <c r="M91" s="69"/>
      <c r="N91" s="69"/>
      <c r="O91" s="69"/>
      <c r="P91" s="69">
        <f t="shared" ref="P91:P110" si="37">E91+J91</f>
        <v>53425100</v>
      </c>
      <c r="Q91" s="1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  <c r="TJ91" s="26"/>
    </row>
    <row r="92" spans="1:530" s="26" customFormat="1" ht="36" customHeight="1" x14ac:dyDescent="0.25">
      <c r="A92" s="43" t="s">
        <v>218</v>
      </c>
      <c r="B92" s="44" t="str">
        <f>'дод 4'!A47</f>
        <v>3031</v>
      </c>
      <c r="C92" s="44" t="str">
        <f>'дод 4'!B47</f>
        <v>1030</v>
      </c>
      <c r="D92" s="24" t="str">
        <f>'дод 4'!C47</f>
        <v>Надання інших пільг окремим категоріям громадян відповідно до законодавства</v>
      </c>
      <c r="E92" s="69">
        <f t="shared" si="36"/>
        <v>582400</v>
      </c>
      <c r="F92" s="69">
        <v>582400</v>
      </c>
      <c r="G92" s="69"/>
      <c r="H92" s="69"/>
      <c r="I92" s="69"/>
      <c r="J92" s="69">
        <f t="shared" ref="J92:J107" si="38">L92+O92</f>
        <v>0</v>
      </c>
      <c r="K92" s="69">
        <f>232600-190600-42000</f>
        <v>0</v>
      </c>
      <c r="L92" s="69"/>
      <c r="M92" s="69"/>
      <c r="N92" s="69"/>
      <c r="O92" s="69">
        <f>232600-190600-42000</f>
        <v>0</v>
      </c>
      <c r="P92" s="69">
        <f t="shared" si="37"/>
        <v>582400</v>
      </c>
      <c r="Q92" s="146"/>
    </row>
    <row r="93" spans="1:530" s="26" customFormat="1" ht="42.75" customHeight="1" x14ac:dyDescent="0.25">
      <c r="A93" s="43" t="s">
        <v>219</v>
      </c>
      <c r="B93" s="44" t="str">
        <f>'дод 4'!A48</f>
        <v>3032</v>
      </c>
      <c r="C93" s="44" t="str">
        <f>'дод 4'!B48</f>
        <v>1070</v>
      </c>
      <c r="D93" s="24" t="str">
        <f>'дод 4'!C48</f>
        <v>Надання пільг окремим категоріям громадян з оплати послуг зв'язку</v>
      </c>
      <c r="E93" s="69">
        <f t="shared" si="36"/>
        <v>1300000</v>
      </c>
      <c r="F93" s="69">
        <v>1300000</v>
      </c>
      <c r="G93" s="69"/>
      <c r="H93" s="69"/>
      <c r="I93" s="69"/>
      <c r="J93" s="69">
        <f t="shared" si="38"/>
        <v>0</v>
      </c>
      <c r="K93" s="69"/>
      <c r="L93" s="69"/>
      <c r="M93" s="69"/>
      <c r="N93" s="69"/>
      <c r="O93" s="69"/>
      <c r="P93" s="69">
        <f t="shared" si="37"/>
        <v>1300000</v>
      </c>
      <c r="Q93" s="146"/>
    </row>
    <row r="94" spans="1:530" s="26" customFormat="1" ht="51.75" customHeight="1" x14ac:dyDescent="0.25">
      <c r="A94" s="43" t="s">
        <v>413</v>
      </c>
      <c r="B94" s="44" t="str">
        <f>'дод 4'!A49</f>
        <v>3033</v>
      </c>
      <c r="C94" s="44" t="str">
        <f>'дод 4'!B49</f>
        <v>1070</v>
      </c>
      <c r="D94" s="24" t="str">
        <f>'дод 4'!C49</f>
        <v>Компенсаційні виплати на пільговий проїзд автомобільним транспортом окремим категоріям громадян</v>
      </c>
      <c r="E94" s="69">
        <f t="shared" si="36"/>
        <v>26781857.109999999</v>
      </c>
      <c r="F94" s="69">
        <f>24500000+97100+2184757.11</f>
        <v>26781857.109999999</v>
      </c>
      <c r="G94" s="69"/>
      <c r="H94" s="69"/>
      <c r="I94" s="69"/>
      <c r="J94" s="69">
        <f t="shared" si="38"/>
        <v>0</v>
      </c>
      <c r="K94" s="69"/>
      <c r="L94" s="69"/>
      <c r="M94" s="69"/>
      <c r="N94" s="69"/>
      <c r="O94" s="69"/>
      <c r="P94" s="69">
        <f t="shared" si="37"/>
        <v>26781857.109999999</v>
      </c>
      <c r="Q94" s="146"/>
    </row>
    <row r="95" spans="1:530" s="26" customFormat="1" ht="30" x14ac:dyDescent="0.25">
      <c r="A95" s="43" t="s">
        <v>381</v>
      </c>
      <c r="B95" s="44" t="str">
        <f>'дод 4'!A50</f>
        <v>3035</v>
      </c>
      <c r="C95" s="44" t="str">
        <f>'дод 4'!B50</f>
        <v>1070</v>
      </c>
      <c r="D95" s="24" t="str">
        <f>'дод 4'!C50</f>
        <v>Компенсаційні виплати за пільговий проїзд окремих категорій громадян на залізничному транспорті</v>
      </c>
      <c r="E95" s="69">
        <f t="shared" si="36"/>
        <v>1000000</v>
      </c>
      <c r="F95" s="69">
        <v>1000000</v>
      </c>
      <c r="G95" s="69"/>
      <c r="H95" s="69"/>
      <c r="I95" s="69"/>
      <c r="J95" s="69">
        <f t="shared" si="38"/>
        <v>0</v>
      </c>
      <c r="K95" s="69"/>
      <c r="L95" s="69"/>
      <c r="M95" s="69"/>
      <c r="N95" s="69"/>
      <c r="O95" s="69"/>
      <c r="P95" s="69">
        <f t="shared" si="37"/>
        <v>1000000</v>
      </c>
      <c r="Q95" s="146"/>
    </row>
    <row r="96" spans="1:530" s="26" customFormat="1" ht="36" customHeight="1" x14ac:dyDescent="0.25">
      <c r="A96" s="43" t="s">
        <v>220</v>
      </c>
      <c r="B96" s="44" t="str">
        <f>'дод 4'!A51</f>
        <v>3036</v>
      </c>
      <c r="C96" s="44" t="str">
        <f>'дод 4'!B51</f>
        <v>1070</v>
      </c>
      <c r="D96" s="24" t="str">
        <f>'дод 4'!C51</f>
        <v>Компенсаційні виплати на пільговий проїзд електротранспортом окремим категоріям громадян</v>
      </c>
      <c r="E96" s="69">
        <f t="shared" si="36"/>
        <v>40470500</v>
      </c>
      <c r="F96" s="69">
        <f>39098112+1372388</f>
        <v>40470500</v>
      </c>
      <c r="G96" s="69"/>
      <c r="H96" s="69"/>
      <c r="I96" s="69"/>
      <c r="J96" s="69">
        <f t="shared" si="38"/>
        <v>0</v>
      </c>
      <c r="K96" s="69"/>
      <c r="L96" s="69"/>
      <c r="M96" s="69"/>
      <c r="N96" s="69"/>
      <c r="O96" s="69"/>
      <c r="P96" s="69">
        <f t="shared" si="37"/>
        <v>40470500</v>
      </c>
      <c r="Q96" s="146"/>
    </row>
    <row r="97" spans="1:530" s="23" customFormat="1" ht="44.25" customHeight="1" x14ac:dyDescent="0.25">
      <c r="A97" s="43" t="s">
        <v>411</v>
      </c>
      <c r="B97" s="44" t="str">
        <f>'дод 4'!A52</f>
        <v>3050</v>
      </c>
      <c r="C97" s="44" t="str">
        <f>'дод 4'!B52</f>
        <v>1070</v>
      </c>
      <c r="D97" s="24" t="str">
        <f>'дод 4'!C52</f>
        <v>Пільгове медичне обслуговування осіб, які постраждали внаслідок Чорнобильської катастрофи</v>
      </c>
      <c r="E97" s="69">
        <f t="shared" si="36"/>
        <v>853000</v>
      </c>
      <c r="F97" s="69">
        <v>853000</v>
      </c>
      <c r="G97" s="69"/>
      <c r="H97" s="69"/>
      <c r="I97" s="69"/>
      <c r="J97" s="69">
        <f t="shared" si="38"/>
        <v>0</v>
      </c>
      <c r="K97" s="69"/>
      <c r="L97" s="69"/>
      <c r="M97" s="69"/>
      <c r="N97" s="69"/>
      <c r="O97" s="69"/>
      <c r="P97" s="69">
        <f t="shared" si="37"/>
        <v>853000</v>
      </c>
      <c r="Q97" s="14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</row>
    <row r="98" spans="1:530" s="23" customFormat="1" ht="38.25" customHeight="1" x14ac:dyDescent="0.25">
      <c r="A98" s="43" t="s">
        <v>412</v>
      </c>
      <c r="B98" s="44" t="str">
        <f>'дод 4'!A53</f>
        <v>3090</v>
      </c>
      <c r="C98" s="44" t="str">
        <f>'дод 4'!B53</f>
        <v>1030</v>
      </c>
      <c r="D98" s="24" t="str">
        <f>'дод 4'!C53</f>
        <v>Видатки на поховання учасників бойових дій та осіб з інвалідністю внаслідок війни</v>
      </c>
      <c r="E98" s="69">
        <f t="shared" si="36"/>
        <v>228400</v>
      </c>
      <c r="F98" s="69">
        <v>228400</v>
      </c>
      <c r="G98" s="69"/>
      <c r="H98" s="69"/>
      <c r="I98" s="69"/>
      <c r="J98" s="69">
        <f t="shared" si="38"/>
        <v>0</v>
      </c>
      <c r="K98" s="69"/>
      <c r="L98" s="69"/>
      <c r="M98" s="69"/>
      <c r="N98" s="69"/>
      <c r="O98" s="69"/>
      <c r="P98" s="69">
        <f t="shared" si="37"/>
        <v>228400</v>
      </c>
      <c r="Q98" s="14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</row>
    <row r="99" spans="1:530" s="23" customFormat="1" ht="60.75" customHeight="1" x14ac:dyDescent="0.25">
      <c r="A99" s="43" t="s">
        <v>221</v>
      </c>
      <c r="B99" s="44" t="str">
        <f>'дод 4'!A54</f>
        <v>3104</v>
      </c>
      <c r="C99" s="44" t="str">
        <f>'дод 4'!B54</f>
        <v>1020</v>
      </c>
      <c r="D99" s="24" t="str">
        <f>'дод 4'!C54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99" s="69">
        <f t="shared" si="36"/>
        <v>13529730</v>
      </c>
      <c r="F99" s="69">
        <f>13527630+2100</f>
        <v>13529730</v>
      </c>
      <c r="G99" s="69">
        <v>10389550</v>
      </c>
      <c r="H99" s="69">
        <v>230060</v>
      </c>
      <c r="I99" s="69"/>
      <c r="J99" s="69">
        <f t="shared" si="38"/>
        <v>451000</v>
      </c>
      <c r="K99" s="69">
        <v>342900</v>
      </c>
      <c r="L99" s="69">
        <v>108100</v>
      </c>
      <c r="M99" s="69">
        <v>85100</v>
      </c>
      <c r="N99" s="69"/>
      <c r="O99" s="69">
        <v>342900</v>
      </c>
      <c r="P99" s="69">
        <f t="shared" si="37"/>
        <v>13980730</v>
      </c>
      <c r="Q99" s="14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  <c r="TJ99" s="26"/>
    </row>
    <row r="100" spans="1:530" s="23" customFormat="1" ht="87" customHeight="1" x14ac:dyDescent="0.25">
      <c r="A100" s="43" t="s">
        <v>222</v>
      </c>
      <c r="B100" s="44" t="str">
        <f>'дод 4'!A60</f>
        <v>3160</v>
      </c>
      <c r="C100" s="44">
        <f>'дод 4'!B60</f>
        <v>1010</v>
      </c>
      <c r="D100" s="24" t="str">
        <f>'дод 4'!C60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00" s="69">
        <f t="shared" si="36"/>
        <v>1911000</v>
      </c>
      <c r="F100" s="69">
        <v>1911000</v>
      </c>
      <c r="G100" s="69"/>
      <c r="H100" s="69"/>
      <c r="I100" s="69"/>
      <c r="J100" s="69">
        <f t="shared" si="38"/>
        <v>0</v>
      </c>
      <c r="K100" s="69"/>
      <c r="L100" s="69"/>
      <c r="M100" s="69"/>
      <c r="N100" s="69"/>
      <c r="O100" s="69"/>
      <c r="P100" s="69">
        <f t="shared" si="37"/>
        <v>1911000</v>
      </c>
      <c r="Q100" s="146">
        <v>16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</row>
    <row r="101" spans="1:530" s="23" customFormat="1" ht="63.75" customHeight="1" x14ac:dyDescent="0.25">
      <c r="A101" s="43" t="s">
        <v>414</v>
      </c>
      <c r="B101" s="44" t="str">
        <f>'дод 4'!A61</f>
        <v>3171</v>
      </c>
      <c r="C101" s="44">
        <f>'дод 4'!B61</f>
        <v>1010</v>
      </c>
      <c r="D101" s="24" t="str">
        <f>'дод 4'!C61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01" s="69">
        <f t="shared" si="36"/>
        <v>228095</v>
      </c>
      <c r="F101" s="69">
        <v>228095</v>
      </c>
      <c r="G101" s="69"/>
      <c r="H101" s="69"/>
      <c r="I101" s="69"/>
      <c r="J101" s="69">
        <f t="shared" si="38"/>
        <v>0</v>
      </c>
      <c r="K101" s="69"/>
      <c r="L101" s="69"/>
      <c r="M101" s="69"/>
      <c r="N101" s="69"/>
      <c r="O101" s="69"/>
      <c r="P101" s="69">
        <f t="shared" si="37"/>
        <v>228095</v>
      </c>
      <c r="Q101" s="14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  <c r="TJ101" s="26"/>
    </row>
    <row r="102" spans="1:530" s="23" customFormat="1" ht="43.5" customHeight="1" x14ac:dyDescent="0.25">
      <c r="A102" s="43" t="s">
        <v>415</v>
      </c>
      <c r="B102" s="44" t="str">
        <f>'дод 4'!A62</f>
        <v>3172</v>
      </c>
      <c r="C102" s="44">
        <f>'дод 4'!B62</f>
        <v>1010</v>
      </c>
      <c r="D102" s="24" t="str">
        <f>'дод 4'!C62</f>
        <v>Встановлення телефонів особам з інвалідністю I і II груп</v>
      </c>
      <c r="E102" s="69">
        <f t="shared" si="36"/>
        <v>90</v>
      </c>
      <c r="F102" s="69">
        <v>90</v>
      </c>
      <c r="G102" s="69"/>
      <c r="H102" s="69"/>
      <c r="I102" s="69"/>
      <c r="J102" s="69">
        <f t="shared" si="38"/>
        <v>0</v>
      </c>
      <c r="K102" s="69"/>
      <c r="L102" s="69"/>
      <c r="M102" s="69"/>
      <c r="N102" s="69"/>
      <c r="O102" s="69"/>
      <c r="P102" s="69">
        <f t="shared" si="37"/>
        <v>90</v>
      </c>
      <c r="Q102" s="14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  <c r="TJ102" s="26"/>
    </row>
    <row r="103" spans="1:530" s="23" customFormat="1" ht="77.25" customHeight="1" x14ac:dyDescent="0.25">
      <c r="A103" s="43" t="s">
        <v>223</v>
      </c>
      <c r="B103" s="44" t="str">
        <f>'дод 4'!A63</f>
        <v>3180</v>
      </c>
      <c r="C103" s="44" t="str">
        <f>'дод 4'!B63</f>
        <v>1060</v>
      </c>
      <c r="D103" s="24" t="str">
        <f>'дод 4'!C63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03" s="69">
        <f t="shared" si="36"/>
        <v>2075000</v>
      </c>
      <c r="F103" s="69">
        <f>1876300+198700</f>
        <v>2075000</v>
      </c>
      <c r="G103" s="69"/>
      <c r="H103" s="69"/>
      <c r="I103" s="69"/>
      <c r="J103" s="69">
        <f t="shared" si="38"/>
        <v>0</v>
      </c>
      <c r="K103" s="69"/>
      <c r="L103" s="69"/>
      <c r="M103" s="69"/>
      <c r="N103" s="69"/>
      <c r="O103" s="69"/>
      <c r="P103" s="69">
        <f t="shared" si="37"/>
        <v>2075000</v>
      </c>
      <c r="Q103" s="14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</row>
    <row r="104" spans="1:530" s="23" customFormat="1" ht="27" customHeight="1" x14ac:dyDescent="0.25">
      <c r="A104" s="43" t="s">
        <v>360</v>
      </c>
      <c r="B104" s="44" t="str">
        <f>'дод 4'!A64</f>
        <v>3191</v>
      </c>
      <c r="C104" s="44" t="str">
        <f>'дод 4'!B64</f>
        <v>1030</v>
      </c>
      <c r="D104" s="24" t="str">
        <f>'дод 4'!C64</f>
        <v>Інші видатки на соціальний захист ветеранів війни та праці</v>
      </c>
      <c r="E104" s="69">
        <f t="shared" si="36"/>
        <v>2178000</v>
      </c>
      <c r="F104" s="69">
        <v>2178000</v>
      </c>
      <c r="G104" s="69"/>
      <c r="H104" s="69"/>
      <c r="I104" s="69"/>
      <c r="J104" s="69">
        <f t="shared" si="38"/>
        <v>0</v>
      </c>
      <c r="K104" s="69"/>
      <c r="L104" s="69"/>
      <c r="M104" s="69"/>
      <c r="N104" s="69"/>
      <c r="O104" s="69"/>
      <c r="P104" s="69">
        <f t="shared" si="37"/>
        <v>2178000</v>
      </c>
      <c r="Q104" s="14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</row>
    <row r="105" spans="1:530" s="23" customFormat="1" ht="45" x14ac:dyDescent="0.25">
      <c r="A105" s="43" t="s">
        <v>361</v>
      </c>
      <c r="B105" s="44" t="str">
        <f>'дод 4'!A65</f>
        <v>3192</v>
      </c>
      <c r="C105" s="44" t="str">
        <f>'дод 4'!B65</f>
        <v>1030</v>
      </c>
      <c r="D105" s="24" t="str">
        <f>'дод 4'!C65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05" s="69">
        <f t="shared" si="36"/>
        <v>1892237</v>
      </c>
      <c r="F105" s="69">
        <f>1478776+413461</f>
        <v>1892237</v>
      </c>
      <c r="G105" s="69"/>
      <c r="H105" s="69"/>
      <c r="I105" s="69"/>
      <c r="J105" s="69">
        <f t="shared" si="38"/>
        <v>0</v>
      </c>
      <c r="K105" s="69"/>
      <c r="L105" s="69"/>
      <c r="M105" s="69"/>
      <c r="N105" s="69"/>
      <c r="O105" s="69"/>
      <c r="P105" s="69">
        <f t="shared" si="37"/>
        <v>1892237</v>
      </c>
      <c r="Q105" s="14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  <c r="IW105" s="26"/>
      <c r="IX105" s="26"/>
      <c r="IY105" s="26"/>
      <c r="IZ105" s="26"/>
      <c r="JA105" s="26"/>
      <c r="JB105" s="26"/>
      <c r="JC105" s="26"/>
      <c r="JD105" s="26"/>
      <c r="JE105" s="26"/>
      <c r="JF105" s="26"/>
      <c r="JG105" s="26"/>
      <c r="JH105" s="26"/>
      <c r="JI105" s="26"/>
      <c r="JJ105" s="26"/>
      <c r="JK105" s="26"/>
      <c r="JL105" s="26"/>
      <c r="JM105" s="26"/>
      <c r="JN105" s="26"/>
      <c r="JO105" s="26"/>
      <c r="JP105" s="26"/>
      <c r="JQ105" s="26"/>
      <c r="JR105" s="26"/>
      <c r="JS105" s="26"/>
      <c r="JT105" s="26"/>
      <c r="JU105" s="26"/>
      <c r="JV105" s="26"/>
      <c r="JW105" s="26"/>
      <c r="JX105" s="26"/>
      <c r="JY105" s="26"/>
      <c r="JZ105" s="26"/>
      <c r="KA105" s="26"/>
      <c r="KB105" s="26"/>
      <c r="KC105" s="26"/>
      <c r="KD105" s="26"/>
      <c r="KE105" s="26"/>
      <c r="KF105" s="26"/>
      <c r="KG105" s="26"/>
      <c r="KH105" s="26"/>
      <c r="KI105" s="26"/>
      <c r="KJ105" s="26"/>
      <c r="KK105" s="26"/>
      <c r="KL105" s="26"/>
      <c r="KM105" s="26"/>
      <c r="KN105" s="26"/>
      <c r="KO105" s="26"/>
      <c r="KP105" s="26"/>
      <c r="KQ105" s="26"/>
      <c r="KR105" s="26"/>
      <c r="KS105" s="26"/>
      <c r="KT105" s="26"/>
      <c r="KU105" s="26"/>
      <c r="KV105" s="26"/>
      <c r="KW105" s="26"/>
      <c r="KX105" s="26"/>
      <c r="KY105" s="26"/>
      <c r="KZ105" s="26"/>
      <c r="LA105" s="26"/>
      <c r="LB105" s="26"/>
      <c r="LC105" s="26"/>
      <c r="LD105" s="26"/>
      <c r="LE105" s="26"/>
      <c r="LF105" s="26"/>
      <c r="LG105" s="26"/>
      <c r="LH105" s="26"/>
      <c r="LI105" s="26"/>
      <c r="LJ105" s="26"/>
      <c r="LK105" s="26"/>
      <c r="LL105" s="26"/>
      <c r="LM105" s="26"/>
      <c r="LN105" s="26"/>
      <c r="LO105" s="26"/>
      <c r="LP105" s="26"/>
      <c r="LQ105" s="26"/>
      <c r="LR105" s="26"/>
      <c r="LS105" s="26"/>
      <c r="LT105" s="26"/>
      <c r="LU105" s="26"/>
      <c r="LV105" s="26"/>
      <c r="LW105" s="26"/>
      <c r="LX105" s="26"/>
      <c r="LY105" s="26"/>
      <c r="LZ105" s="26"/>
      <c r="MA105" s="26"/>
      <c r="MB105" s="26"/>
      <c r="MC105" s="26"/>
      <c r="MD105" s="26"/>
      <c r="ME105" s="26"/>
      <c r="MF105" s="26"/>
      <c r="MG105" s="26"/>
      <c r="MH105" s="26"/>
      <c r="MI105" s="26"/>
      <c r="MJ105" s="26"/>
      <c r="MK105" s="26"/>
      <c r="ML105" s="26"/>
      <c r="MM105" s="26"/>
      <c r="MN105" s="26"/>
      <c r="MO105" s="26"/>
      <c r="MP105" s="26"/>
      <c r="MQ105" s="26"/>
      <c r="MR105" s="26"/>
      <c r="MS105" s="26"/>
      <c r="MT105" s="26"/>
      <c r="MU105" s="26"/>
      <c r="MV105" s="26"/>
      <c r="MW105" s="26"/>
      <c r="MX105" s="26"/>
      <c r="MY105" s="26"/>
      <c r="MZ105" s="26"/>
      <c r="NA105" s="26"/>
      <c r="NB105" s="26"/>
      <c r="NC105" s="26"/>
      <c r="ND105" s="26"/>
      <c r="NE105" s="26"/>
      <c r="NF105" s="26"/>
      <c r="NG105" s="26"/>
      <c r="NH105" s="26"/>
      <c r="NI105" s="26"/>
      <c r="NJ105" s="26"/>
      <c r="NK105" s="26"/>
      <c r="NL105" s="26"/>
      <c r="NM105" s="26"/>
      <c r="NN105" s="26"/>
      <c r="NO105" s="26"/>
      <c r="NP105" s="26"/>
      <c r="NQ105" s="26"/>
      <c r="NR105" s="26"/>
      <c r="NS105" s="26"/>
      <c r="NT105" s="26"/>
      <c r="NU105" s="26"/>
      <c r="NV105" s="26"/>
      <c r="NW105" s="26"/>
      <c r="NX105" s="26"/>
      <c r="NY105" s="26"/>
      <c r="NZ105" s="26"/>
      <c r="OA105" s="26"/>
      <c r="OB105" s="26"/>
      <c r="OC105" s="26"/>
      <c r="OD105" s="26"/>
      <c r="OE105" s="26"/>
      <c r="OF105" s="26"/>
      <c r="OG105" s="26"/>
      <c r="OH105" s="26"/>
      <c r="OI105" s="26"/>
      <c r="OJ105" s="26"/>
      <c r="OK105" s="26"/>
      <c r="OL105" s="26"/>
      <c r="OM105" s="26"/>
      <c r="ON105" s="26"/>
      <c r="OO105" s="26"/>
      <c r="OP105" s="26"/>
      <c r="OQ105" s="26"/>
      <c r="OR105" s="26"/>
      <c r="OS105" s="26"/>
      <c r="OT105" s="26"/>
      <c r="OU105" s="26"/>
      <c r="OV105" s="26"/>
      <c r="OW105" s="26"/>
      <c r="OX105" s="26"/>
      <c r="OY105" s="26"/>
      <c r="OZ105" s="26"/>
      <c r="PA105" s="26"/>
      <c r="PB105" s="26"/>
      <c r="PC105" s="26"/>
      <c r="PD105" s="26"/>
      <c r="PE105" s="26"/>
      <c r="PF105" s="26"/>
      <c r="PG105" s="26"/>
      <c r="PH105" s="26"/>
      <c r="PI105" s="26"/>
      <c r="PJ105" s="26"/>
      <c r="PK105" s="26"/>
      <c r="PL105" s="26"/>
      <c r="PM105" s="26"/>
      <c r="PN105" s="26"/>
      <c r="PO105" s="26"/>
      <c r="PP105" s="26"/>
      <c r="PQ105" s="26"/>
      <c r="PR105" s="26"/>
      <c r="PS105" s="26"/>
      <c r="PT105" s="26"/>
      <c r="PU105" s="26"/>
      <c r="PV105" s="26"/>
      <c r="PW105" s="26"/>
      <c r="PX105" s="26"/>
      <c r="PY105" s="26"/>
      <c r="PZ105" s="26"/>
      <c r="QA105" s="26"/>
      <c r="QB105" s="26"/>
      <c r="QC105" s="26"/>
      <c r="QD105" s="26"/>
      <c r="QE105" s="26"/>
      <c r="QF105" s="26"/>
      <c r="QG105" s="26"/>
      <c r="QH105" s="26"/>
      <c r="QI105" s="26"/>
      <c r="QJ105" s="26"/>
      <c r="QK105" s="26"/>
      <c r="QL105" s="26"/>
      <c r="QM105" s="26"/>
      <c r="QN105" s="26"/>
      <c r="QO105" s="26"/>
      <c r="QP105" s="26"/>
      <c r="QQ105" s="26"/>
      <c r="QR105" s="26"/>
      <c r="QS105" s="26"/>
      <c r="QT105" s="26"/>
      <c r="QU105" s="26"/>
      <c r="QV105" s="26"/>
      <c r="QW105" s="26"/>
      <c r="QX105" s="26"/>
      <c r="QY105" s="26"/>
      <c r="QZ105" s="26"/>
      <c r="RA105" s="26"/>
      <c r="RB105" s="26"/>
      <c r="RC105" s="26"/>
      <c r="RD105" s="26"/>
      <c r="RE105" s="26"/>
      <c r="RF105" s="26"/>
      <c r="RG105" s="26"/>
      <c r="RH105" s="26"/>
      <c r="RI105" s="26"/>
      <c r="RJ105" s="26"/>
      <c r="RK105" s="26"/>
      <c r="RL105" s="26"/>
      <c r="RM105" s="26"/>
      <c r="RN105" s="26"/>
      <c r="RO105" s="26"/>
      <c r="RP105" s="26"/>
      <c r="RQ105" s="26"/>
      <c r="RR105" s="26"/>
      <c r="RS105" s="26"/>
      <c r="RT105" s="26"/>
      <c r="RU105" s="26"/>
      <c r="RV105" s="26"/>
      <c r="RW105" s="26"/>
      <c r="RX105" s="26"/>
      <c r="RY105" s="26"/>
      <c r="RZ105" s="26"/>
      <c r="SA105" s="26"/>
      <c r="SB105" s="26"/>
      <c r="SC105" s="26"/>
      <c r="SD105" s="26"/>
      <c r="SE105" s="26"/>
      <c r="SF105" s="26"/>
      <c r="SG105" s="26"/>
      <c r="SH105" s="26"/>
      <c r="SI105" s="26"/>
      <c r="SJ105" s="26"/>
      <c r="SK105" s="26"/>
      <c r="SL105" s="26"/>
      <c r="SM105" s="26"/>
      <c r="SN105" s="26"/>
      <c r="SO105" s="26"/>
      <c r="SP105" s="26"/>
      <c r="SQ105" s="26"/>
      <c r="SR105" s="26"/>
      <c r="SS105" s="26"/>
      <c r="ST105" s="26"/>
      <c r="SU105" s="26"/>
      <c r="SV105" s="26"/>
      <c r="SW105" s="26"/>
      <c r="SX105" s="26"/>
      <c r="SY105" s="26"/>
      <c r="SZ105" s="26"/>
      <c r="TA105" s="26"/>
      <c r="TB105" s="26"/>
      <c r="TC105" s="26"/>
      <c r="TD105" s="26"/>
      <c r="TE105" s="26"/>
      <c r="TF105" s="26"/>
      <c r="TG105" s="26"/>
      <c r="TH105" s="26"/>
      <c r="TI105" s="26"/>
      <c r="TJ105" s="26"/>
    </row>
    <row r="106" spans="1:530" s="23" customFormat="1" ht="41.25" customHeight="1" x14ac:dyDescent="0.25">
      <c r="A106" s="43" t="s">
        <v>224</v>
      </c>
      <c r="B106" s="44" t="str">
        <f>'дод 4'!A66</f>
        <v>3200</v>
      </c>
      <c r="C106" s="44" t="str">
        <f>'дод 4'!B66</f>
        <v>1090</v>
      </c>
      <c r="D106" s="24" t="str">
        <f>'дод 4'!C66</f>
        <v>Забезпечення обробки інформації з нарахування та виплати допомог і компенсацій</v>
      </c>
      <c r="E106" s="69">
        <f t="shared" si="36"/>
        <v>86500</v>
      </c>
      <c r="F106" s="69">
        <v>86500</v>
      </c>
      <c r="G106" s="69"/>
      <c r="H106" s="69"/>
      <c r="I106" s="69"/>
      <c r="J106" s="69">
        <f t="shared" si="38"/>
        <v>0</v>
      </c>
      <c r="K106" s="69"/>
      <c r="L106" s="69"/>
      <c r="M106" s="69"/>
      <c r="N106" s="69"/>
      <c r="O106" s="69"/>
      <c r="P106" s="69">
        <f t="shared" si="37"/>
        <v>86500</v>
      </c>
      <c r="Q106" s="14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</row>
    <row r="107" spans="1:530" s="23" customFormat="1" ht="19.5" customHeight="1" x14ac:dyDescent="0.25">
      <c r="A107" s="52" t="s">
        <v>362</v>
      </c>
      <c r="B107" s="45" t="str">
        <f>'дод 4'!A67</f>
        <v>3210</v>
      </c>
      <c r="C107" s="45" t="str">
        <f>'дод 4'!B67</f>
        <v>1050</v>
      </c>
      <c r="D107" s="22" t="str">
        <f>'дод 4'!C67</f>
        <v>Організація та проведення громадських робіт</v>
      </c>
      <c r="E107" s="69">
        <f t="shared" si="36"/>
        <v>200000</v>
      </c>
      <c r="F107" s="69">
        <v>200000</v>
      </c>
      <c r="G107" s="69">
        <v>163935</v>
      </c>
      <c r="H107" s="69"/>
      <c r="I107" s="69"/>
      <c r="J107" s="69">
        <f t="shared" si="38"/>
        <v>0</v>
      </c>
      <c r="K107" s="69"/>
      <c r="L107" s="69"/>
      <c r="M107" s="69"/>
      <c r="N107" s="69"/>
      <c r="O107" s="69"/>
      <c r="P107" s="69">
        <f t="shared" si="37"/>
        <v>200000</v>
      </c>
      <c r="Q107" s="14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  <c r="IW107" s="26"/>
      <c r="IX107" s="26"/>
      <c r="IY107" s="26"/>
      <c r="IZ107" s="26"/>
      <c r="JA107" s="26"/>
      <c r="JB107" s="26"/>
      <c r="JC107" s="26"/>
      <c r="JD107" s="26"/>
      <c r="JE107" s="26"/>
      <c r="JF107" s="26"/>
      <c r="JG107" s="26"/>
      <c r="JH107" s="26"/>
      <c r="JI107" s="26"/>
      <c r="JJ107" s="26"/>
      <c r="JK107" s="26"/>
      <c r="JL107" s="26"/>
      <c r="JM107" s="26"/>
      <c r="JN107" s="26"/>
      <c r="JO107" s="26"/>
      <c r="JP107" s="26"/>
      <c r="JQ107" s="26"/>
      <c r="JR107" s="26"/>
      <c r="JS107" s="26"/>
      <c r="JT107" s="26"/>
      <c r="JU107" s="26"/>
      <c r="JV107" s="26"/>
      <c r="JW107" s="26"/>
      <c r="JX107" s="26"/>
      <c r="JY107" s="26"/>
      <c r="JZ107" s="26"/>
      <c r="KA107" s="26"/>
      <c r="KB107" s="26"/>
      <c r="KC107" s="26"/>
      <c r="KD107" s="26"/>
      <c r="KE107" s="26"/>
      <c r="KF107" s="26"/>
      <c r="KG107" s="26"/>
      <c r="KH107" s="26"/>
      <c r="KI107" s="26"/>
      <c r="KJ107" s="26"/>
      <c r="KK107" s="26"/>
      <c r="KL107" s="26"/>
      <c r="KM107" s="26"/>
      <c r="KN107" s="26"/>
      <c r="KO107" s="26"/>
      <c r="KP107" s="26"/>
      <c r="KQ107" s="26"/>
      <c r="KR107" s="26"/>
      <c r="KS107" s="26"/>
      <c r="KT107" s="26"/>
      <c r="KU107" s="26"/>
      <c r="KV107" s="26"/>
      <c r="KW107" s="26"/>
      <c r="KX107" s="26"/>
      <c r="KY107" s="26"/>
      <c r="KZ107" s="26"/>
      <c r="LA107" s="26"/>
      <c r="LB107" s="26"/>
      <c r="LC107" s="26"/>
      <c r="LD107" s="26"/>
      <c r="LE107" s="26"/>
      <c r="LF107" s="26"/>
      <c r="LG107" s="26"/>
      <c r="LH107" s="26"/>
      <c r="LI107" s="26"/>
      <c r="LJ107" s="26"/>
      <c r="LK107" s="26"/>
      <c r="LL107" s="26"/>
      <c r="LM107" s="26"/>
      <c r="LN107" s="26"/>
      <c r="LO107" s="26"/>
      <c r="LP107" s="26"/>
      <c r="LQ107" s="26"/>
      <c r="LR107" s="26"/>
      <c r="LS107" s="26"/>
      <c r="LT107" s="26"/>
      <c r="LU107" s="26"/>
      <c r="LV107" s="26"/>
      <c r="LW107" s="26"/>
      <c r="LX107" s="26"/>
      <c r="LY107" s="26"/>
      <c r="LZ107" s="26"/>
      <c r="MA107" s="26"/>
      <c r="MB107" s="26"/>
      <c r="MC107" s="26"/>
      <c r="MD107" s="26"/>
      <c r="ME107" s="26"/>
      <c r="MF107" s="26"/>
      <c r="MG107" s="26"/>
      <c r="MH107" s="26"/>
      <c r="MI107" s="26"/>
      <c r="MJ107" s="26"/>
      <c r="MK107" s="26"/>
      <c r="ML107" s="26"/>
      <c r="MM107" s="26"/>
      <c r="MN107" s="26"/>
      <c r="MO107" s="26"/>
      <c r="MP107" s="26"/>
      <c r="MQ107" s="26"/>
      <c r="MR107" s="26"/>
      <c r="MS107" s="26"/>
      <c r="MT107" s="26"/>
      <c r="MU107" s="26"/>
      <c r="MV107" s="26"/>
      <c r="MW107" s="26"/>
      <c r="MX107" s="26"/>
      <c r="MY107" s="26"/>
      <c r="MZ107" s="26"/>
      <c r="NA107" s="26"/>
      <c r="NB107" s="26"/>
      <c r="NC107" s="26"/>
      <c r="ND107" s="26"/>
      <c r="NE107" s="26"/>
      <c r="NF107" s="26"/>
      <c r="NG107" s="26"/>
      <c r="NH107" s="26"/>
      <c r="NI107" s="26"/>
      <c r="NJ107" s="26"/>
      <c r="NK107" s="26"/>
      <c r="NL107" s="26"/>
      <c r="NM107" s="26"/>
      <c r="NN107" s="26"/>
      <c r="NO107" s="26"/>
      <c r="NP107" s="26"/>
      <c r="NQ107" s="26"/>
      <c r="NR107" s="26"/>
      <c r="NS107" s="26"/>
      <c r="NT107" s="26"/>
      <c r="NU107" s="26"/>
      <c r="NV107" s="26"/>
      <c r="NW107" s="26"/>
      <c r="NX107" s="26"/>
      <c r="NY107" s="26"/>
      <c r="NZ107" s="26"/>
      <c r="OA107" s="26"/>
      <c r="OB107" s="26"/>
      <c r="OC107" s="26"/>
      <c r="OD107" s="26"/>
      <c r="OE107" s="26"/>
      <c r="OF107" s="26"/>
      <c r="OG107" s="26"/>
      <c r="OH107" s="26"/>
      <c r="OI107" s="26"/>
      <c r="OJ107" s="26"/>
      <c r="OK107" s="26"/>
      <c r="OL107" s="26"/>
      <c r="OM107" s="26"/>
      <c r="ON107" s="26"/>
      <c r="OO107" s="26"/>
      <c r="OP107" s="26"/>
      <c r="OQ107" s="26"/>
      <c r="OR107" s="26"/>
      <c r="OS107" s="26"/>
      <c r="OT107" s="26"/>
      <c r="OU107" s="26"/>
      <c r="OV107" s="26"/>
      <c r="OW107" s="26"/>
      <c r="OX107" s="26"/>
      <c r="OY107" s="26"/>
      <c r="OZ107" s="26"/>
      <c r="PA107" s="26"/>
      <c r="PB107" s="26"/>
      <c r="PC107" s="26"/>
      <c r="PD107" s="26"/>
      <c r="PE107" s="26"/>
      <c r="PF107" s="26"/>
      <c r="PG107" s="26"/>
      <c r="PH107" s="26"/>
      <c r="PI107" s="26"/>
      <c r="PJ107" s="26"/>
      <c r="PK107" s="26"/>
      <c r="PL107" s="26"/>
      <c r="PM107" s="26"/>
      <c r="PN107" s="26"/>
      <c r="PO107" s="26"/>
      <c r="PP107" s="26"/>
      <c r="PQ107" s="26"/>
      <c r="PR107" s="26"/>
      <c r="PS107" s="26"/>
      <c r="PT107" s="26"/>
      <c r="PU107" s="26"/>
      <c r="PV107" s="26"/>
      <c r="PW107" s="26"/>
      <c r="PX107" s="26"/>
      <c r="PY107" s="26"/>
      <c r="PZ107" s="26"/>
      <c r="QA107" s="26"/>
      <c r="QB107" s="26"/>
      <c r="QC107" s="26"/>
      <c r="QD107" s="26"/>
      <c r="QE107" s="26"/>
      <c r="QF107" s="26"/>
      <c r="QG107" s="26"/>
      <c r="QH107" s="26"/>
      <c r="QI107" s="26"/>
      <c r="QJ107" s="26"/>
      <c r="QK107" s="26"/>
      <c r="QL107" s="26"/>
      <c r="QM107" s="26"/>
      <c r="QN107" s="26"/>
      <c r="QO107" s="26"/>
      <c r="QP107" s="26"/>
      <c r="QQ107" s="26"/>
      <c r="QR107" s="26"/>
      <c r="QS107" s="26"/>
      <c r="QT107" s="26"/>
      <c r="QU107" s="26"/>
      <c r="QV107" s="26"/>
      <c r="QW107" s="26"/>
      <c r="QX107" s="26"/>
      <c r="QY107" s="26"/>
      <c r="QZ107" s="26"/>
      <c r="RA107" s="26"/>
      <c r="RB107" s="26"/>
      <c r="RC107" s="26"/>
      <c r="RD107" s="26"/>
      <c r="RE107" s="26"/>
      <c r="RF107" s="26"/>
      <c r="RG107" s="26"/>
      <c r="RH107" s="26"/>
      <c r="RI107" s="26"/>
      <c r="RJ107" s="26"/>
      <c r="RK107" s="26"/>
      <c r="RL107" s="26"/>
      <c r="RM107" s="26"/>
      <c r="RN107" s="26"/>
      <c r="RO107" s="26"/>
      <c r="RP107" s="26"/>
      <c r="RQ107" s="26"/>
      <c r="RR107" s="26"/>
      <c r="RS107" s="26"/>
      <c r="RT107" s="26"/>
      <c r="RU107" s="26"/>
      <c r="RV107" s="26"/>
      <c r="RW107" s="26"/>
      <c r="RX107" s="26"/>
      <c r="RY107" s="26"/>
      <c r="RZ107" s="26"/>
      <c r="SA107" s="26"/>
      <c r="SB107" s="26"/>
      <c r="SC107" s="26"/>
      <c r="SD107" s="26"/>
      <c r="SE107" s="26"/>
      <c r="SF107" s="26"/>
      <c r="SG107" s="26"/>
      <c r="SH107" s="26"/>
      <c r="SI107" s="26"/>
      <c r="SJ107" s="26"/>
      <c r="SK107" s="26"/>
      <c r="SL107" s="26"/>
      <c r="SM107" s="26"/>
      <c r="SN107" s="26"/>
      <c r="SO107" s="26"/>
      <c r="SP107" s="26"/>
      <c r="SQ107" s="26"/>
      <c r="SR107" s="26"/>
      <c r="SS107" s="26"/>
      <c r="ST107" s="26"/>
      <c r="SU107" s="26"/>
      <c r="SV107" s="26"/>
      <c r="SW107" s="26"/>
      <c r="SX107" s="26"/>
      <c r="SY107" s="26"/>
      <c r="SZ107" s="26"/>
      <c r="TA107" s="26"/>
      <c r="TB107" s="26"/>
      <c r="TC107" s="26"/>
      <c r="TD107" s="26"/>
      <c r="TE107" s="26"/>
      <c r="TF107" s="26"/>
      <c r="TG107" s="26"/>
      <c r="TH107" s="26"/>
      <c r="TI107" s="26"/>
      <c r="TJ107" s="26"/>
    </row>
    <row r="108" spans="1:530" s="23" customFormat="1" ht="31.5" customHeight="1" x14ac:dyDescent="0.25">
      <c r="A108" s="43" t="s">
        <v>359</v>
      </c>
      <c r="B108" s="44" t="str">
        <f>'дод 4'!A68</f>
        <v>3241</v>
      </c>
      <c r="C108" s="44" t="str">
        <f>'дод 4'!B68</f>
        <v>1090</v>
      </c>
      <c r="D108" s="24" t="str">
        <f>'дод 4'!C68</f>
        <v>Забезпечення діяльності інших закладів у сфері соціального захисту і соціального забезпечення</v>
      </c>
      <c r="E108" s="69">
        <f t="shared" si="36"/>
        <v>5445830</v>
      </c>
      <c r="F108" s="69">
        <v>5445830</v>
      </c>
      <c r="G108" s="69">
        <v>3343340</v>
      </c>
      <c r="H108" s="69">
        <v>543630</v>
      </c>
      <c r="I108" s="69"/>
      <c r="J108" s="69">
        <f t="shared" ref="J108:J110" si="39">L108+O108</f>
        <v>740000</v>
      </c>
      <c r="K108" s="69">
        <f>200000+500000+40000</f>
        <v>740000</v>
      </c>
      <c r="L108" s="69"/>
      <c r="M108" s="69"/>
      <c r="N108" s="69"/>
      <c r="O108" s="69">
        <f>200000+500000+40000</f>
        <v>740000</v>
      </c>
      <c r="P108" s="69">
        <f t="shared" si="37"/>
        <v>6185830</v>
      </c>
      <c r="Q108" s="14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  <c r="IW108" s="26"/>
      <c r="IX108" s="26"/>
      <c r="IY108" s="26"/>
      <c r="IZ108" s="26"/>
      <c r="JA108" s="26"/>
      <c r="JB108" s="26"/>
      <c r="JC108" s="26"/>
      <c r="JD108" s="26"/>
      <c r="JE108" s="26"/>
      <c r="JF108" s="26"/>
      <c r="JG108" s="26"/>
      <c r="JH108" s="26"/>
      <c r="JI108" s="26"/>
      <c r="JJ108" s="26"/>
      <c r="JK108" s="26"/>
      <c r="JL108" s="26"/>
      <c r="JM108" s="26"/>
      <c r="JN108" s="26"/>
      <c r="JO108" s="26"/>
      <c r="JP108" s="26"/>
      <c r="JQ108" s="26"/>
      <c r="JR108" s="26"/>
      <c r="JS108" s="26"/>
      <c r="JT108" s="26"/>
      <c r="JU108" s="26"/>
      <c r="JV108" s="26"/>
      <c r="JW108" s="26"/>
      <c r="JX108" s="26"/>
      <c r="JY108" s="26"/>
      <c r="JZ108" s="26"/>
      <c r="KA108" s="26"/>
      <c r="KB108" s="26"/>
      <c r="KC108" s="26"/>
      <c r="KD108" s="26"/>
      <c r="KE108" s="26"/>
      <c r="KF108" s="26"/>
      <c r="KG108" s="26"/>
      <c r="KH108" s="26"/>
      <c r="KI108" s="26"/>
      <c r="KJ108" s="26"/>
      <c r="KK108" s="26"/>
      <c r="KL108" s="26"/>
      <c r="KM108" s="26"/>
      <c r="KN108" s="26"/>
      <c r="KO108" s="26"/>
      <c r="KP108" s="26"/>
      <c r="KQ108" s="26"/>
      <c r="KR108" s="26"/>
      <c r="KS108" s="26"/>
      <c r="KT108" s="26"/>
      <c r="KU108" s="26"/>
      <c r="KV108" s="26"/>
      <c r="KW108" s="26"/>
      <c r="KX108" s="26"/>
      <c r="KY108" s="26"/>
      <c r="KZ108" s="26"/>
      <c r="LA108" s="26"/>
      <c r="LB108" s="26"/>
      <c r="LC108" s="26"/>
      <c r="LD108" s="26"/>
      <c r="LE108" s="26"/>
      <c r="LF108" s="26"/>
      <c r="LG108" s="26"/>
      <c r="LH108" s="26"/>
      <c r="LI108" s="26"/>
      <c r="LJ108" s="26"/>
      <c r="LK108" s="26"/>
      <c r="LL108" s="26"/>
      <c r="LM108" s="26"/>
      <c r="LN108" s="26"/>
      <c r="LO108" s="26"/>
      <c r="LP108" s="26"/>
      <c r="LQ108" s="26"/>
      <c r="LR108" s="26"/>
      <c r="LS108" s="26"/>
      <c r="LT108" s="26"/>
      <c r="LU108" s="26"/>
      <c r="LV108" s="26"/>
      <c r="LW108" s="26"/>
      <c r="LX108" s="26"/>
      <c r="LY108" s="26"/>
      <c r="LZ108" s="26"/>
      <c r="MA108" s="26"/>
      <c r="MB108" s="26"/>
      <c r="MC108" s="26"/>
      <c r="MD108" s="26"/>
      <c r="ME108" s="26"/>
      <c r="MF108" s="26"/>
      <c r="MG108" s="26"/>
      <c r="MH108" s="26"/>
      <c r="MI108" s="26"/>
      <c r="MJ108" s="26"/>
      <c r="MK108" s="26"/>
      <c r="ML108" s="26"/>
      <c r="MM108" s="26"/>
      <c r="MN108" s="26"/>
      <c r="MO108" s="26"/>
      <c r="MP108" s="26"/>
      <c r="MQ108" s="26"/>
      <c r="MR108" s="26"/>
      <c r="MS108" s="26"/>
      <c r="MT108" s="26"/>
      <c r="MU108" s="26"/>
      <c r="MV108" s="26"/>
      <c r="MW108" s="26"/>
      <c r="MX108" s="26"/>
      <c r="MY108" s="26"/>
      <c r="MZ108" s="26"/>
      <c r="NA108" s="26"/>
      <c r="NB108" s="26"/>
      <c r="NC108" s="26"/>
      <c r="ND108" s="26"/>
      <c r="NE108" s="26"/>
      <c r="NF108" s="26"/>
      <c r="NG108" s="26"/>
      <c r="NH108" s="26"/>
      <c r="NI108" s="26"/>
      <c r="NJ108" s="26"/>
      <c r="NK108" s="26"/>
      <c r="NL108" s="26"/>
      <c r="NM108" s="26"/>
      <c r="NN108" s="26"/>
      <c r="NO108" s="26"/>
      <c r="NP108" s="26"/>
      <c r="NQ108" s="26"/>
      <c r="NR108" s="26"/>
      <c r="NS108" s="26"/>
      <c r="NT108" s="26"/>
      <c r="NU108" s="26"/>
      <c r="NV108" s="26"/>
      <c r="NW108" s="26"/>
      <c r="NX108" s="26"/>
      <c r="NY108" s="26"/>
      <c r="NZ108" s="26"/>
      <c r="OA108" s="26"/>
      <c r="OB108" s="26"/>
      <c r="OC108" s="26"/>
      <c r="OD108" s="26"/>
      <c r="OE108" s="26"/>
      <c r="OF108" s="26"/>
      <c r="OG108" s="26"/>
      <c r="OH108" s="26"/>
      <c r="OI108" s="26"/>
      <c r="OJ108" s="26"/>
      <c r="OK108" s="26"/>
      <c r="OL108" s="26"/>
      <c r="OM108" s="26"/>
      <c r="ON108" s="26"/>
      <c r="OO108" s="26"/>
      <c r="OP108" s="26"/>
      <c r="OQ108" s="26"/>
      <c r="OR108" s="26"/>
      <c r="OS108" s="26"/>
      <c r="OT108" s="26"/>
      <c r="OU108" s="26"/>
      <c r="OV108" s="26"/>
      <c r="OW108" s="26"/>
      <c r="OX108" s="26"/>
      <c r="OY108" s="26"/>
      <c r="OZ108" s="26"/>
      <c r="PA108" s="26"/>
      <c r="PB108" s="26"/>
      <c r="PC108" s="26"/>
      <c r="PD108" s="26"/>
      <c r="PE108" s="26"/>
      <c r="PF108" s="26"/>
      <c r="PG108" s="26"/>
      <c r="PH108" s="26"/>
      <c r="PI108" s="26"/>
      <c r="PJ108" s="26"/>
      <c r="PK108" s="26"/>
      <c r="PL108" s="26"/>
      <c r="PM108" s="26"/>
      <c r="PN108" s="26"/>
      <c r="PO108" s="26"/>
      <c r="PP108" s="26"/>
      <c r="PQ108" s="26"/>
      <c r="PR108" s="26"/>
      <c r="PS108" s="26"/>
      <c r="PT108" s="26"/>
      <c r="PU108" s="26"/>
      <c r="PV108" s="26"/>
      <c r="PW108" s="26"/>
      <c r="PX108" s="26"/>
      <c r="PY108" s="26"/>
      <c r="PZ108" s="26"/>
      <c r="QA108" s="26"/>
      <c r="QB108" s="26"/>
      <c r="QC108" s="26"/>
      <c r="QD108" s="26"/>
      <c r="QE108" s="26"/>
      <c r="QF108" s="26"/>
      <c r="QG108" s="26"/>
      <c r="QH108" s="26"/>
      <c r="QI108" s="26"/>
      <c r="QJ108" s="26"/>
      <c r="QK108" s="26"/>
      <c r="QL108" s="26"/>
      <c r="QM108" s="26"/>
      <c r="QN108" s="26"/>
      <c r="QO108" s="26"/>
      <c r="QP108" s="26"/>
      <c r="QQ108" s="26"/>
      <c r="QR108" s="26"/>
      <c r="QS108" s="26"/>
      <c r="QT108" s="26"/>
      <c r="QU108" s="26"/>
      <c r="QV108" s="26"/>
      <c r="QW108" s="26"/>
      <c r="QX108" s="26"/>
      <c r="QY108" s="26"/>
      <c r="QZ108" s="26"/>
      <c r="RA108" s="26"/>
      <c r="RB108" s="26"/>
      <c r="RC108" s="26"/>
      <c r="RD108" s="26"/>
      <c r="RE108" s="26"/>
      <c r="RF108" s="26"/>
      <c r="RG108" s="26"/>
      <c r="RH108" s="26"/>
      <c r="RI108" s="26"/>
      <c r="RJ108" s="26"/>
      <c r="RK108" s="26"/>
      <c r="RL108" s="26"/>
      <c r="RM108" s="26"/>
      <c r="RN108" s="26"/>
      <c r="RO108" s="26"/>
      <c r="RP108" s="26"/>
      <c r="RQ108" s="26"/>
      <c r="RR108" s="26"/>
      <c r="RS108" s="26"/>
      <c r="RT108" s="26"/>
      <c r="RU108" s="26"/>
      <c r="RV108" s="26"/>
      <c r="RW108" s="26"/>
      <c r="RX108" s="26"/>
      <c r="RY108" s="26"/>
      <c r="RZ108" s="26"/>
      <c r="SA108" s="26"/>
      <c r="SB108" s="26"/>
      <c r="SC108" s="26"/>
      <c r="SD108" s="26"/>
      <c r="SE108" s="26"/>
      <c r="SF108" s="26"/>
      <c r="SG108" s="26"/>
      <c r="SH108" s="26"/>
      <c r="SI108" s="26"/>
      <c r="SJ108" s="26"/>
      <c r="SK108" s="26"/>
      <c r="SL108" s="26"/>
      <c r="SM108" s="26"/>
      <c r="SN108" s="26"/>
      <c r="SO108" s="26"/>
      <c r="SP108" s="26"/>
      <c r="SQ108" s="26"/>
      <c r="SR108" s="26"/>
      <c r="SS108" s="26"/>
      <c r="ST108" s="26"/>
      <c r="SU108" s="26"/>
      <c r="SV108" s="26"/>
      <c r="SW108" s="26"/>
      <c r="SX108" s="26"/>
      <c r="SY108" s="26"/>
      <c r="SZ108" s="26"/>
      <c r="TA108" s="26"/>
      <c r="TB108" s="26"/>
      <c r="TC108" s="26"/>
      <c r="TD108" s="26"/>
      <c r="TE108" s="26"/>
      <c r="TF108" s="26"/>
      <c r="TG108" s="26"/>
      <c r="TH108" s="26"/>
      <c r="TI108" s="26"/>
      <c r="TJ108" s="26"/>
    </row>
    <row r="109" spans="1:530" s="23" customFormat="1" ht="33" customHeight="1" x14ac:dyDescent="0.25">
      <c r="A109" s="43" t="s">
        <v>416</v>
      </c>
      <c r="B109" s="44" t="str">
        <f>'дод 4'!A69</f>
        <v>3242</v>
      </c>
      <c r="C109" s="44" t="str">
        <f>'дод 4'!B69</f>
        <v>1090</v>
      </c>
      <c r="D109" s="24" t="str">
        <f>'дод 4'!C69</f>
        <v>Інші заходи у сфері соціального захисту і соціального забезпечення</v>
      </c>
      <c r="E109" s="69">
        <f t="shared" si="36"/>
        <v>33223926</v>
      </c>
      <c r="F109" s="69">
        <f>29645360-11+360800-350000+439024+43903+350000+2246300+418550+70000</f>
        <v>33223926</v>
      </c>
      <c r="G109" s="69"/>
      <c r="H109" s="69"/>
      <c r="I109" s="69"/>
      <c r="J109" s="69">
        <f t="shared" si="39"/>
        <v>35640</v>
      </c>
      <c r="K109" s="69">
        <v>35640</v>
      </c>
      <c r="L109" s="69"/>
      <c r="M109" s="69"/>
      <c r="N109" s="69"/>
      <c r="O109" s="69">
        <v>35640</v>
      </c>
      <c r="P109" s="69">
        <f t="shared" si="37"/>
        <v>33259566</v>
      </c>
      <c r="Q109" s="14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</row>
    <row r="110" spans="1:530" s="23" customFormat="1" ht="31.5" customHeight="1" x14ac:dyDescent="0.25">
      <c r="A110" s="43" t="s">
        <v>307</v>
      </c>
      <c r="B110" s="44" t="str">
        <f>'дод 4'!A139</f>
        <v>9770</v>
      </c>
      <c r="C110" s="44" t="str">
        <f>'дод 4'!B139</f>
        <v>0180</v>
      </c>
      <c r="D110" s="24" t="str">
        <f>'дод 4'!C139</f>
        <v>Інші субвенції з місцевого бюджету</v>
      </c>
      <c r="E110" s="69">
        <f t="shared" si="36"/>
        <v>1070000</v>
      </c>
      <c r="F110" s="69">
        <v>1070000</v>
      </c>
      <c r="G110" s="69"/>
      <c r="H110" s="69"/>
      <c r="I110" s="69"/>
      <c r="J110" s="69">
        <f t="shared" si="39"/>
        <v>0</v>
      </c>
      <c r="K110" s="69"/>
      <c r="L110" s="69"/>
      <c r="M110" s="69"/>
      <c r="N110" s="69"/>
      <c r="O110" s="69"/>
      <c r="P110" s="69">
        <f t="shared" si="37"/>
        <v>1070000</v>
      </c>
      <c r="Q110" s="14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</row>
    <row r="111" spans="1:530" s="31" customFormat="1" ht="28.5" customHeight="1" x14ac:dyDescent="0.2">
      <c r="A111" s="88" t="s">
        <v>225</v>
      </c>
      <c r="B111" s="72"/>
      <c r="C111" s="72"/>
      <c r="D111" s="30" t="s">
        <v>427</v>
      </c>
      <c r="E111" s="66">
        <f>E112</f>
        <v>5088200</v>
      </c>
      <c r="F111" s="66">
        <f t="shared" ref="F111:J111" si="40">F112</f>
        <v>5088200</v>
      </c>
      <c r="G111" s="66">
        <f t="shared" si="40"/>
        <v>3942800</v>
      </c>
      <c r="H111" s="66">
        <f t="shared" si="40"/>
        <v>57500</v>
      </c>
      <c r="I111" s="66">
        <f t="shared" si="40"/>
        <v>0</v>
      </c>
      <c r="J111" s="66">
        <f t="shared" si="40"/>
        <v>20000</v>
      </c>
      <c r="K111" s="66">
        <f t="shared" ref="K111" si="41">K112</f>
        <v>20000</v>
      </c>
      <c r="L111" s="66">
        <f t="shared" ref="L111" si="42">L112</f>
        <v>0</v>
      </c>
      <c r="M111" s="66">
        <f t="shared" ref="M111" si="43">M112</f>
        <v>0</v>
      </c>
      <c r="N111" s="66">
        <f t="shared" ref="N111" si="44">N112</f>
        <v>0</v>
      </c>
      <c r="O111" s="66">
        <f t="shared" ref="O111:P111" si="45">O112</f>
        <v>20000</v>
      </c>
      <c r="P111" s="66">
        <f t="shared" si="45"/>
        <v>5108200</v>
      </c>
      <c r="Q111" s="146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</row>
    <row r="112" spans="1:530" s="40" customFormat="1" ht="29.25" customHeight="1" x14ac:dyDescent="0.25">
      <c r="A112" s="89" t="s">
        <v>226</v>
      </c>
      <c r="B112" s="73"/>
      <c r="C112" s="73"/>
      <c r="D112" s="33" t="s">
        <v>427</v>
      </c>
      <c r="E112" s="68">
        <f>E113+E114+E115</f>
        <v>5088200</v>
      </c>
      <c r="F112" s="68">
        <f t="shared" ref="F112:P112" si="46">F113+F114+F115</f>
        <v>5088200</v>
      </c>
      <c r="G112" s="68">
        <f t="shared" si="46"/>
        <v>3942800</v>
      </c>
      <c r="H112" s="68">
        <f t="shared" si="46"/>
        <v>57500</v>
      </c>
      <c r="I112" s="68">
        <f t="shared" si="46"/>
        <v>0</v>
      </c>
      <c r="J112" s="68">
        <f t="shared" si="46"/>
        <v>20000</v>
      </c>
      <c r="K112" s="68">
        <f t="shared" si="46"/>
        <v>20000</v>
      </c>
      <c r="L112" s="68">
        <f t="shared" si="46"/>
        <v>0</v>
      </c>
      <c r="M112" s="68">
        <f t="shared" si="46"/>
        <v>0</v>
      </c>
      <c r="N112" s="68">
        <f t="shared" si="46"/>
        <v>0</v>
      </c>
      <c r="O112" s="68">
        <f t="shared" si="46"/>
        <v>20000</v>
      </c>
      <c r="P112" s="68">
        <f t="shared" si="46"/>
        <v>5108200</v>
      </c>
      <c r="Q112" s="146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</row>
    <row r="113" spans="1:530" s="23" customFormat="1" ht="42.75" customHeight="1" x14ac:dyDescent="0.25">
      <c r="A113" s="43" t="s">
        <v>227</v>
      </c>
      <c r="B113" s="44" t="str">
        <f>'дод 4'!A14</f>
        <v>0160</v>
      </c>
      <c r="C113" s="44" t="str">
        <f>'дод 4'!B14</f>
        <v>0111</v>
      </c>
      <c r="D113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13" s="69">
        <f>F113+I113</f>
        <v>4997700</v>
      </c>
      <c r="F113" s="69">
        <f>5240600+10300-253200</f>
        <v>4997700</v>
      </c>
      <c r="G113" s="69">
        <f>4150400-207600</f>
        <v>3942800</v>
      </c>
      <c r="H113" s="69">
        <v>57500</v>
      </c>
      <c r="I113" s="69"/>
      <c r="J113" s="69">
        <f>L113+O113</f>
        <v>0</v>
      </c>
      <c r="K113" s="69"/>
      <c r="L113" s="69"/>
      <c r="M113" s="69"/>
      <c r="N113" s="69"/>
      <c r="O113" s="69"/>
      <c r="P113" s="69">
        <f>E113+J113</f>
        <v>4997700</v>
      </c>
      <c r="Q113" s="14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  <c r="TJ113" s="26"/>
    </row>
    <row r="114" spans="1:530" s="23" customFormat="1" ht="60" x14ac:dyDescent="0.25">
      <c r="A114" s="43" t="s">
        <v>394</v>
      </c>
      <c r="B114" s="44">
        <v>3111</v>
      </c>
      <c r="C114" s="44">
        <v>1040</v>
      </c>
      <c r="D114" s="22" t="str">
        <f>'дод 4'!C55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14" s="69">
        <f>F114+I114</f>
        <v>0</v>
      </c>
      <c r="F114" s="69"/>
      <c r="G114" s="69"/>
      <c r="H114" s="69"/>
      <c r="I114" s="69"/>
      <c r="J114" s="69">
        <f t="shared" ref="J114:J115" si="47">L114+O114</f>
        <v>20000</v>
      </c>
      <c r="K114" s="69">
        <v>20000</v>
      </c>
      <c r="L114" s="69"/>
      <c r="M114" s="69"/>
      <c r="N114" s="69"/>
      <c r="O114" s="69">
        <v>20000</v>
      </c>
      <c r="P114" s="69">
        <f>E114+J114</f>
        <v>20000</v>
      </c>
      <c r="Q114" s="14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</row>
    <row r="115" spans="1:530" s="23" customFormat="1" ht="36.75" customHeight="1" x14ac:dyDescent="0.25">
      <c r="A115" s="43" t="s">
        <v>228</v>
      </c>
      <c r="B115" s="44" t="str">
        <f>'дод 4'!A56</f>
        <v>3112</v>
      </c>
      <c r="C115" s="44" t="str">
        <f>'дод 4'!B56</f>
        <v>1040</v>
      </c>
      <c r="D115" s="24" t="str">
        <f>'дод 4'!C56</f>
        <v>Заходи державної політики з питань дітей та їх соціального захисту</v>
      </c>
      <c r="E115" s="69">
        <f>F115+I115</f>
        <v>90500</v>
      </c>
      <c r="F115" s="69">
        <v>90500</v>
      </c>
      <c r="G115" s="69"/>
      <c r="H115" s="69"/>
      <c r="I115" s="69"/>
      <c r="J115" s="69">
        <f t="shared" si="47"/>
        <v>0</v>
      </c>
      <c r="K115" s="69"/>
      <c r="L115" s="69"/>
      <c r="M115" s="69"/>
      <c r="N115" s="69"/>
      <c r="O115" s="69"/>
      <c r="P115" s="69">
        <f>E115+J115</f>
        <v>90500</v>
      </c>
      <c r="Q115" s="14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</row>
    <row r="116" spans="1:530" s="31" customFormat="1" ht="22.5" customHeight="1" x14ac:dyDescent="0.2">
      <c r="A116" s="76" t="s">
        <v>35</v>
      </c>
      <c r="B116" s="74"/>
      <c r="C116" s="74"/>
      <c r="D116" s="30" t="s">
        <v>396</v>
      </c>
      <c r="E116" s="66">
        <f>E117</f>
        <v>64929215</v>
      </c>
      <c r="F116" s="66">
        <f t="shared" ref="F116:J116" si="48">F117</f>
        <v>64929215</v>
      </c>
      <c r="G116" s="66">
        <f t="shared" si="48"/>
        <v>47809400</v>
      </c>
      <c r="H116" s="66">
        <f t="shared" si="48"/>
        <v>2201760</v>
      </c>
      <c r="I116" s="66">
        <f t="shared" si="48"/>
        <v>0</v>
      </c>
      <c r="J116" s="66">
        <f t="shared" si="48"/>
        <v>4094635</v>
      </c>
      <c r="K116" s="66">
        <f t="shared" ref="K116" si="49">K117</f>
        <v>1275995</v>
      </c>
      <c r="L116" s="66">
        <f t="shared" ref="L116" si="50">L117</f>
        <v>2813920</v>
      </c>
      <c r="M116" s="66">
        <f t="shared" ref="M116" si="51">M117</f>
        <v>2279416</v>
      </c>
      <c r="N116" s="66">
        <f t="shared" ref="N116" si="52">N117</f>
        <v>3300</v>
      </c>
      <c r="O116" s="66">
        <f t="shared" ref="O116:P116" si="53">O117</f>
        <v>1280715</v>
      </c>
      <c r="P116" s="66">
        <f t="shared" si="53"/>
        <v>69023850</v>
      </c>
      <c r="Q116" s="146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  <c r="ME116" s="38"/>
      <c r="MF116" s="38"/>
      <c r="MG116" s="38"/>
      <c r="MH116" s="38"/>
      <c r="MI116" s="38"/>
      <c r="MJ116" s="38"/>
      <c r="MK116" s="38"/>
      <c r="ML116" s="38"/>
      <c r="MM116" s="38"/>
      <c r="MN116" s="38"/>
      <c r="MO116" s="38"/>
      <c r="MP116" s="38"/>
      <c r="MQ116" s="38"/>
      <c r="MR116" s="38"/>
      <c r="MS116" s="38"/>
      <c r="MT116" s="38"/>
      <c r="MU116" s="38"/>
      <c r="MV116" s="38"/>
      <c r="MW116" s="38"/>
      <c r="MX116" s="38"/>
      <c r="MY116" s="38"/>
      <c r="MZ116" s="38"/>
      <c r="NA116" s="38"/>
      <c r="NB116" s="38"/>
      <c r="NC116" s="38"/>
      <c r="ND116" s="38"/>
      <c r="NE116" s="38"/>
      <c r="NF116" s="38"/>
      <c r="NG116" s="38"/>
      <c r="NH116" s="3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"/>
      <c r="OC116" s="38"/>
      <c r="OD116" s="38"/>
      <c r="OE116" s="38"/>
      <c r="OF116" s="38"/>
      <c r="OG116" s="38"/>
      <c r="OH116" s="38"/>
      <c r="OI116" s="38"/>
      <c r="OJ116" s="38"/>
      <c r="OK116" s="38"/>
      <c r="OL116" s="38"/>
      <c r="OM116" s="38"/>
      <c r="ON116" s="38"/>
      <c r="OO116" s="38"/>
      <c r="OP116" s="38"/>
      <c r="OQ116" s="38"/>
      <c r="OR116" s="38"/>
      <c r="OS116" s="38"/>
      <c r="OT116" s="38"/>
      <c r="OU116" s="38"/>
      <c r="OV116" s="38"/>
      <c r="OW116" s="38"/>
      <c r="OX116" s="38"/>
      <c r="OY116" s="38"/>
      <c r="OZ116" s="38"/>
      <c r="PA116" s="38"/>
      <c r="PB116" s="38"/>
      <c r="PC116" s="38"/>
      <c r="PD116" s="38"/>
      <c r="PE116" s="38"/>
      <c r="PF116" s="38"/>
      <c r="PG116" s="38"/>
      <c r="PH116" s="38"/>
      <c r="PI116" s="38"/>
      <c r="PJ116" s="38"/>
      <c r="PK116" s="38"/>
      <c r="PL116" s="38"/>
      <c r="PM116" s="38"/>
      <c r="PN116" s="38"/>
      <c r="PO116" s="38"/>
      <c r="PP116" s="38"/>
      <c r="PQ116" s="38"/>
      <c r="PR116" s="38"/>
      <c r="PS116" s="38"/>
      <c r="PT116" s="38"/>
      <c r="PU116" s="38"/>
      <c r="PV116" s="38"/>
      <c r="PW116" s="38"/>
      <c r="PX116" s="38"/>
      <c r="PY116" s="38"/>
      <c r="PZ116" s="38"/>
      <c r="QA116" s="38"/>
      <c r="QB116" s="38"/>
      <c r="QC116" s="38"/>
      <c r="QD116" s="38"/>
      <c r="QE116" s="38"/>
      <c r="QF116" s="38"/>
      <c r="QG116" s="38"/>
      <c r="QH116" s="38"/>
      <c r="QI116" s="38"/>
      <c r="QJ116" s="38"/>
      <c r="QK116" s="38"/>
      <c r="QL116" s="38"/>
      <c r="QM116" s="38"/>
      <c r="QN116" s="38"/>
      <c r="QO116" s="38"/>
      <c r="QP116" s="38"/>
      <c r="QQ116" s="38"/>
      <c r="QR116" s="38"/>
      <c r="QS116" s="38"/>
      <c r="QT116" s="38"/>
      <c r="QU116" s="38"/>
      <c r="QV116" s="38"/>
      <c r="QW116" s="38"/>
      <c r="QX116" s="38"/>
      <c r="QY116" s="38"/>
      <c r="QZ116" s="38"/>
      <c r="RA116" s="38"/>
      <c r="RB116" s="38"/>
      <c r="RC116" s="38"/>
      <c r="RD116" s="38"/>
      <c r="RE116" s="38"/>
      <c r="RF116" s="38"/>
      <c r="RG116" s="38"/>
      <c r="RH116" s="38"/>
      <c r="RI116" s="38"/>
      <c r="RJ116" s="38"/>
      <c r="RK116" s="38"/>
      <c r="RL116" s="38"/>
      <c r="RM116" s="38"/>
      <c r="RN116" s="38"/>
      <c r="RO116" s="38"/>
      <c r="RP116" s="38"/>
      <c r="RQ116" s="38"/>
      <c r="RR116" s="38"/>
      <c r="RS116" s="38"/>
      <c r="RT116" s="38"/>
      <c r="RU116" s="38"/>
      <c r="RV116" s="38"/>
      <c r="RW116" s="38"/>
      <c r="RX116" s="38"/>
      <c r="RY116" s="38"/>
      <c r="RZ116" s="38"/>
      <c r="SA116" s="38"/>
      <c r="SB116" s="38"/>
      <c r="SC116" s="38"/>
      <c r="SD116" s="38"/>
      <c r="SE116" s="38"/>
      <c r="SF116" s="38"/>
      <c r="SG116" s="38"/>
      <c r="SH116" s="38"/>
      <c r="SI116" s="38"/>
      <c r="SJ116" s="38"/>
      <c r="SK116" s="38"/>
      <c r="SL116" s="38"/>
      <c r="SM116" s="38"/>
      <c r="SN116" s="38"/>
      <c r="SO116" s="38"/>
      <c r="SP116" s="38"/>
      <c r="SQ116" s="38"/>
      <c r="SR116" s="38"/>
      <c r="SS116" s="38"/>
      <c r="ST116" s="38"/>
      <c r="SU116" s="38"/>
      <c r="SV116" s="38"/>
      <c r="SW116" s="38"/>
      <c r="SX116" s="38"/>
      <c r="SY116" s="38"/>
      <c r="SZ116" s="38"/>
      <c r="TA116" s="38"/>
      <c r="TB116" s="38"/>
      <c r="TC116" s="38"/>
      <c r="TD116" s="38"/>
      <c r="TE116" s="38"/>
      <c r="TF116" s="38"/>
      <c r="TG116" s="38"/>
      <c r="TH116" s="38"/>
      <c r="TI116" s="38"/>
      <c r="TJ116" s="38"/>
    </row>
    <row r="117" spans="1:530" s="40" customFormat="1" ht="21.75" customHeight="1" x14ac:dyDescent="0.25">
      <c r="A117" s="77" t="s">
        <v>229</v>
      </c>
      <c r="B117" s="75"/>
      <c r="C117" s="75"/>
      <c r="D117" s="33" t="s">
        <v>396</v>
      </c>
      <c r="E117" s="68">
        <f>E118+E119+E120+E122+E123++E124+E121+E125</f>
        <v>64929215</v>
      </c>
      <c r="F117" s="68">
        <f t="shared" ref="F117:P117" si="54">F118+F119+F120+F122+F123++F124+F121+F125</f>
        <v>64929215</v>
      </c>
      <c r="G117" s="68">
        <f t="shared" si="54"/>
        <v>47809400</v>
      </c>
      <c r="H117" s="68">
        <f t="shared" si="54"/>
        <v>2201760</v>
      </c>
      <c r="I117" s="68">
        <f t="shared" si="54"/>
        <v>0</v>
      </c>
      <c r="J117" s="68">
        <f t="shared" si="54"/>
        <v>4094635</v>
      </c>
      <c r="K117" s="68">
        <f>K118+K119+K120+K122+K123++K124+K121+K125</f>
        <v>1275995</v>
      </c>
      <c r="L117" s="68">
        <f t="shared" si="54"/>
        <v>2813920</v>
      </c>
      <c r="M117" s="68">
        <f t="shared" si="54"/>
        <v>2279416</v>
      </c>
      <c r="N117" s="68">
        <f t="shared" si="54"/>
        <v>3300</v>
      </c>
      <c r="O117" s="68">
        <f t="shared" si="54"/>
        <v>1280715</v>
      </c>
      <c r="P117" s="68">
        <f t="shared" si="54"/>
        <v>69023850</v>
      </c>
      <c r="Q117" s="146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</row>
    <row r="118" spans="1:530" s="23" customFormat="1" ht="48" customHeight="1" x14ac:dyDescent="0.25">
      <c r="A118" s="43" t="s">
        <v>169</v>
      </c>
      <c r="B118" s="44" t="str">
        <f>'дод 4'!A14</f>
        <v>0160</v>
      </c>
      <c r="C118" s="44" t="str">
        <f>'дод 4'!B14</f>
        <v>0111</v>
      </c>
      <c r="D118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18" s="69">
        <f t="shared" ref="E118:E125" si="55">F118+I118</f>
        <v>1910700</v>
      </c>
      <c r="F118" s="69">
        <f>1862800+4400-90500+134000</f>
        <v>1910700</v>
      </c>
      <c r="G118" s="69">
        <f>1461200-74200</f>
        <v>1387000</v>
      </c>
      <c r="H118" s="69">
        <v>17700</v>
      </c>
      <c r="I118" s="69"/>
      <c r="J118" s="69">
        <f>L118+O118</f>
        <v>0</v>
      </c>
      <c r="K118" s="69"/>
      <c r="L118" s="69"/>
      <c r="M118" s="69"/>
      <c r="N118" s="69"/>
      <c r="O118" s="69"/>
      <c r="P118" s="69">
        <f t="shared" ref="P118:P125" si="56">E118+J118</f>
        <v>1910700</v>
      </c>
      <c r="Q118" s="14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  <c r="TJ118" s="26"/>
    </row>
    <row r="119" spans="1:530" s="23" customFormat="1" ht="48.75" customHeight="1" x14ac:dyDescent="0.25">
      <c r="A119" s="43" t="s">
        <v>260</v>
      </c>
      <c r="B119" s="44" t="str">
        <f>'дод 4'!A25</f>
        <v>1100</v>
      </c>
      <c r="C119" s="44" t="str">
        <f>'дод 4'!B25</f>
        <v>0960</v>
      </c>
      <c r="D119" s="24" t="str">
        <f>'дод 4'!C25</f>
        <v>Надання спеціальної освіти мистецькими школами</v>
      </c>
      <c r="E119" s="69">
        <f t="shared" si="55"/>
        <v>39038600</v>
      </c>
      <c r="F119" s="69">
        <f>38963600+75000</f>
        <v>39038600</v>
      </c>
      <c r="G119" s="69">
        <v>30830000</v>
      </c>
      <c r="H119" s="69">
        <v>793600</v>
      </c>
      <c r="I119" s="69"/>
      <c r="J119" s="69">
        <f t="shared" ref="J119:J125" si="57">L119+O119</f>
        <v>3321640</v>
      </c>
      <c r="K119" s="69">
        <f>100000+400000+7000+5000+30000</f>
        <v>542000</v>
      </c>
      <c r="L119" s="69">
        <v>2774920</v>
      </c>
      <c r="M119" s="69">
        <v>2267316</v>
      </c>
      <c r="N119" s="69"/>
      <c r="O119" s="69">
        <f>4720+500000+7000+5000+30000</f>
        <v>546720</v>
      </c>
      <c r="P119" s="69">
        <f t="shared" si="56"/>
        <v>42360240</v>
      </c>
      <c r="Q119" s="14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  <c r="TJ119" s="26"/>
    </row>
    <row r="120" spans="1:530" s="23" customFormat="1" ht="21" customHeight="1" x14ac:dyDescent="0.25">
      <c r="A120" s="43" t="s">
        <v>230</v>
      </c>
      <c r="B120" s="44" t="str">
        <f>'дод 4'!A71</f>
        <v>4030</v>
      </c>
      <c r="C120" s="44" t="str">
        <f>'дод 4'!B71</f>
        <v>0824</v>
      </c>
      <c r="D120" s="24" t="str">
        <f>'дод 4'!C71</f>
        <v>Забезпечення діяльності бібліотек</v>
      </c>
      <c r="E120" s="69">
        <f t="shared" si="55"/>
        <v>19287735</v>
      </c>
      <c r="F120" s="69">
        <f>19098200+20000+169535</f>
        <v>19287735</v>
      </c>
      <c r="G120" s="69">
        <v>13804000</v>
      </c>
      <c r="H120" s="69">
        <v>1346200</v>
      </c>
      <c r="I120" s="69"/>
      <c r="J120" s="69">
        <f t="shared" si="57"/>
        <v>346795</v>
      </c>
      <c r="K120" s="69">
        <f>100000+216795</f>
        <v>316795</v>
      </c>
      <c r="L120" s="69">
        <v>30000</v>
      </c>
      <c r="M120" s="69">
        <v>12100</v>
      </c>
      <c r="N120" s="69"/>
      <c r="O120" s="69">
        <f>100000+216795</f>
        <v>316795</v>
      </c>
      <c r="P120" s="69">
        <f t="shared" si="56"/>
        <v>19634530</v>
      </c>
      <c r="Q120" s="14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  <c r="TJ120" s="26"/>
    </row>
    <row r="121" spans="1:530" s="23" customFormat="1" ht="27.75" customHeight="1" x14ac:dyDescent="0.25">
      <c r="A121" s="43">
        <v>1014060</v>
      </c>
      <c r="B121" s="44" t="str">
        <f>'дод 4'!A72</f>
        <v>4060</v>
      </c>
      <c r="C121" s="44" t="str">
        <f>'дод 4'!B72</f>
        <v>0828</v>
      </c>
      <c r="D121" s="24" t="str">
        <f>'дод 4'!C72</f>
        <v>Забезпечення діяльності палаців i будинків культури, клубів, центрів дозвілля та iнших клубних закладів</v>
      </c>
      <c r="E121" s="69">
        <f t="shared" si="55"/>
        <v>608480</v>
      </c>
      <c r="F121" s="69">
        <f>546680+61800</f>
        <v>608480</v>
      </c>
      <c r="G121" s="69">
        <v>424400</v>
      </c>
      <c r="H121" s="69">
        <v>11360</v>
      </c>
      <c r="I121" s="69"/>
      <c r="J121" s="69">
        <f t="shared" si="57"/>
        <v>27200</v>
      </c>
      <c r="K121" s="69">
        <v>21200</v>
      </c>
      <c r="L121" s="69">
        <v>6000</v>
      </c>
      <c r="M121" s="69"/>
      <c r="N121" s="69">
        <v>3300</v>
      </c>
      <c r="O121" s="69">
        <v>21200</v>
      </c>
      <c r="P121" s="69">
        <f t="shared" si="56"/>
        <v>635680</v>
      </c>
      <c r="Q121" s="14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  <c r="TJ121" s="26"/>
    </row>
    <row r="122" spans="1:530" s="27" customFormat="1" ht="33.75" customHeight="1" x14ac:dyDescent="0.25">
      <c r="A122" s="43">
        <v>1014081</v>
      </c>
      <c r="B122" s="44" t="str">
        <f>'дод 4'!A73</f>
        <v>4081</v>
      </c>
      <c r="C122" s="44" t="str">
        <f>'дод 4'!B73</f>
        <v>0829</v>
      </c>
      <c r="D122" s="24" t="str">
        <f>'дод 4'!C73</f>
        <v>Забезпечення діяльності інших закладів в галузі культури і мистецтва</v>
      </c>
      <c r="E122" s="69">
        <f t="shared" si="55"/>
        <v>1803000</v>
      </c>
      <c r="F122" s="69">
        <v>1803000</v>
      </c>
      <c r="G122" s="69">
        <v>1364000</v>
      </c>
      <c r="H122" s="69">
        <v>32900</v>
      </c>
      <c r="I122" s="69"/>
      <c r="J122" s="69">
        <f t="shared" si="57"/>
        <v>0</v>
      </c>
      <c r="K122" s="69"/>
      <c r="L122" s="69"/>
      <c r="M122" s="69"/>
      <c r="N122" s="69"/>
      <c r="O122" s="69"/>
      <c r="P122" s="69">
        <f t="shared" si="56"/>
        <v>1803000</v>
      </c>
      <c r="Q122" s="14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36"/>
      <c r="PM122" s="36"/>
      <c r="PN122" s="36"/>
      <c r="PO122" s="36"/>
      <c r="PP122" s="36"/>
      <c r="PQ122" s="36"/>
      <c r="PR122" s="36"/>
      <c r="PS122" s="36"/>
      <c r="PT122" s="36"/>
      <c r="PU122" s="36"/>
      <c r="PV122" s="36"/>
      <c r="PW122" s="36"/>
      <c r="PX122" s="36"/>
      <c r="PY122" s="36"/>
      <c r="PZ122" s="36"/>
      <c r="QA122" s="36"/>
      <c r="QB122" s="36"/>
      <c r="QC122" s="36"/>
      <c r="QD122" s="36"/>
      <c r="QE122" s="36"/>
      <c r="QF122" s="36"/>
      <c r="QG122" s="36"/>
      <c r="QH122" s="36"/>
      <c r="QI122" s="36"/>
      <c r="QJ122" s="36"/>
      <c r="QK122" s="36"/>
      <c r="QL122" s="36"/>
      <c r="QM122" s="36"/>
      <c r="QN122" s="36"/>
      <c r="QO122" s="36"/>
      <c r="QP122" s="36"/>
      <c r="QQ122" s="36"/>
      <c r="QR122" s="36"/>
      <c r="QS122" s="36"/>
      <c r="QT122" s="36"/>
      <c r="QU122" s="36"/>
      <c r="QV122" s="36"/>
      <c r="QW122" s="36"/>
      <c r="QX122" s="36"/>
      <c r="QY122" s="36"/>
      <c r="QZ122" s="36"/>
      <c r="RA122" s="36"/>
      <c r="RB122" s="36"/>
      <c r="RC122" s="36"/>
      <c r="RD122" s="36"/>
      <c r="RE122" s="36"/>
      <c r="RF122" s="36"/>
      <c r="RG122" s="36"/>
      <c r="RH122" s="36"/>
      <c r="RI122" s="36"/>
      <c r="RJ122" s="36"/>
      <c r="RK122" s="36"/>
      <c r="RL122" s="36"/>
      <c r="RM122" s="36"/>
      <c r="RN122" s="36"/>
      <c r="RO122" s="36"/>
      <c r="RP122" s="36"/>
      <c r="RQ122" s="36"/>
      <c r="RR122" s="36"/>
      <c r="RS122" s="36"/>
      <c r="RT122" s="36"/>
      <c r="RU122" s="36"/>
      <c r="RV122" s="36"/>
      <c r="RW122" s="36"/>
      <c r="RX122" s="36"/>
      <c r="RY122" s="36"/>
      <c r="RZ122" s="36"/>
      <c r="SA122" s="36"/>
      <c r="SB122" s="36"/>
      <c r="SC122" s="36"/>
      <c r="SD122" s="36"/>
      <c r="SE122" s="36"/>
      <c r="SF122" s="36"/>
      <c r="SG122" s="36"/>
      <c r="SH122" s="36"/>
      <c r="SI122" s="36"/>
      <c r="SJ122" s="36"/>
      <c r="SK122" s="36"/>
      <c r="SL122" s="36"/>
      <c r="SM122" s="36"/>
      <c r="SN122" s="36"/>
      <c r="SO122" s="36"/>
      <c r="SP122" s="36"/>
      <c r="SQ122" s="36"/>
      <c r="SR122" s="36"/>
      <c r="SS122" s="36"/>
      <c r="ST122" s="36"/>
      <c r="SU122" s="36"/>
      <c r="SV122" s="36"/>
      <c r="SW122" s="36"/>
      <c r="SX122" s="36"/>
      <c r="SY122" s="36"/>
      <c r="SZ122" s="36"/>
      <c r="TA122" s="36"/>
      <c r="TB122" s="36"/>
      <c r="TC122" s="36"/>
      <c r="TD122" s="36"/>
      <c r="TE122" s="36"/>
      <c r="TF122" s="36"/>
      <c r="TG122" s="36"/>
      <c r="TH122" s="36"/>
      <c r="TI122" s="36"/>
      <c r="TJ122" s="36"/>
    </row>
    <row r="123" spans="1:530" s="27" customFormat="1" ht="25.5" customHeight="1" x14ac:dyDescent="0.25">
      <c r="A123" s="43">
        <v>1014082</v>
      </c>
      <c r="B123" s="44" t="str">
        <f>'дод 4'!A74</f>
        <v>4082</v>
      </c>
      <c r="C123" s="44" t="str">
        <f>'дод 4'!B74</f>
        <v>0829</v>
      </c>
      <c r="D123" s="24" t="str">
        <f>'дод 4'!C74</f>
        <v>Інші заходи в галузі культури і мистецтва</v>
      </c>
      <c r="E123" s="69">
        <f t="shared" si="55"/>
        <v>2280700</v>
      </c>
      <c r="F123" s="69">
        <f>2265700+15000</f>
        <v>2280700</v>
      </c>
      <c r="G123" s="69"/>
      <c r="H123" s="69"/>
      <c r="I123" s="69"/>
      <c r="J123" s="69">
        <f t="shared" si="57"/>
        <v>0</v>
      </c>
      <c r="K123" s="69"/>
      <c r="L123" s="69"/>
      <c r="M123" s="69"/>
      <c r="N123" s="69"/>
      <c r="O123" s="69"/>
      <c r="P123" s="69">
        <f t="shared" si="56"/>
        <v>2280700</v>
      </c>
      <c r="Q123" s="14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  <c r="NC123" s="36"/>
      <c r="ND123" s="36"/>
      <c r="NE123" s="36"/>
      <c r="NF123" s="36"/>
      <c r="NG123" s="36"/>
      <c r="NH123" s="36"/>
      <c r="NI123" s="36"/>
      <c r="NJ123" s="36"/>
      <c r="NK123" s="36"/>
      <c r="NL123" s="36"/>
      <c r="NM123" s="36"/>
      <c r="NN123" s="36"/>
      <c r="NO123" s="36"/>
      <c r="NP123" s="36"/>
      <c r="NQ123" s="36"/>
      <c r="NR123" s="36"/>
      <c r="NS123" s="36"/>
      <c r="NT123" s="36"/>
      <c r="NU123" s="36"/>
      <c r="NV123" s="36"/>
      <c r="NW123" s="36"/>
      <c r="NX123" s="36"/>
      <c r="NY123" s="36"/>
      <c r="NZ123" s="36"/>
      <c r="OA123" s="36"/>
      <c r="OB123" s="36"/>
      <c r="OC123" s="36"/>
      <c r="OD123" s="36"/>
      <c r="OE123" s="36"/>
      <c r="OF123" s="36"/>
      <c r="OG123" s="36"/>
      <c r="OH123" s="36"/>
      <c r="OI123" s="36"/>
      <c r="OJ123" s="36"/>
      <c r="OK123" s="36"/>
      <c r="OL123" s="36"/>
      <c r="OM123" s="36"/>
      <c r="ON123" s="36"/>
      <c r="OO123" s="36"/>
      <c r="OP123" s="36"/>
      <c r="OQ123" s="36"/>
      <c r="OR123" s="36"/>
      <c r="OS123" s="36"/>
      <c r="OT123" s="36"/>
      <c r="OU123" s="36"/>
      <c r="OV123" s="36"/>
      <c r="OW123" s="36"/>
      <c r="OX123" s="36"/>
      <c r="OY123" s="36"/>
      <c r="OZ123" s="36"/>
      <c r="PA123" s="36"/>
      <c r="PB123" s="36"/>
      <c r="PC123" s="36"/>
      <c r="PD123" s="36"/>
      <c r="PE123" s="36"/>
      <c r="PF123" s="36"/>
      <c r="PG123" s="36"/>
      <c r="PH123" s="36"/>
      <c r="PI123" s="36"/>
      <c r="PJ123" s="36"/>
      <c r="PK123" s="36"/>
      <c r="PL123" s="36"/>
      <c r="PM123" s="36"/>
      <c r="PN123" s="36"/>
      <c r="PO123" s="36"/>
      <c r="PP123" s="36"/>
      <c r="PQ123" s="36"/>
      <c r="PR123" s="36"/>
      <c r="PS123" s="36"/>
      <c r="PT123" s="36"/>
      <c r="PU123" s="36"/>
      <c r="PV123" s="36"/>
      <c r="PW123" s="36"/>
      <c r="PX123" s="36"/>
      <c r="PY123" s="36"/>
      <c r="PZ123" s="36"/>
      <c r="QA123" s="36"/>
      <c r="QB123" s="36"/>
      <c r="QC123" s="36"/>
      <c r="QD123" s="36"/>
      <c r="QE123" s="36"/>
      <c r="QF123" s="36"/>
      <c r="QG123" s="36"/>
      <c r="QH123" s="36"/>
      <c r="QI123" s="36"/>
      <c r="QJ123" s="36"/>
      <c r="QK123" s="36"/>
      <c r="QL123" s="36"/>
      <c r="QM123" s="36"/>
      <c r="QN123" s="36"/>
      <c r="QO123" s="36"/>
      <c r="QP123" s="36"/>
      <c r="QQ123" s="36"/>
      <c r="QR123" s="36"/>
      <c r="QS123" s="36"/>
      <c r="QT123" s="36"/>
      <c r="QU123" s="36"/>
      <c r="QV123" s="36"/>
      <c r="QW123" s="36"/>
      <c r="QX123" s="36"/>
      <c r="QY123" s="36"/>
      <c r="QZ123" s="36"/>
      <c r="RA123" s="36"/>
      <c r="RB123" s="36"/>
      <c r="RC123" s="36"/>
      <c r="RD123" s="36"/>
      <c r="RE123" s="36"/>
      <c r="RF123" s="36"/>
      <c r="RG123" s="36"/>
      <c r="RH123" s="36"/>
      <c r="RI123" s="36"/>
      <c r="RJ123" s="36"/>
      <c r="RK123" s="36"/>
      <c r="RL123" s="36"/>
      <c r="RM123" s="36"/>
      <c r="RN123" s="36"/>
      <c r="RO123" s="36"/>
      <c r="RP123" s="36"/>
      <c r="RQ123" s="36"/>
      <c r="RR123" s="36"/>
      <c r="RS123" s="36"/>
      <c r="RT123" s="36"/>
      <c r="RU123" s="36"/>
      <c r="RV123" s="36"/>
      <c r="RW123" s="36"/>
      <c r="RX123" s="36"/>
      <c r="RY123" s="36"/>
      <c r="RZ123" s="36"/>
      <c r="SA123" s="36"/>
      <c r="SB123" s="36"/>
      <c r="SC123" s="36"/>
      <c r="SD123" s="36"/>
      <c r="SE123" s="36"/>
      <c r="SF123" s="36"/>
      <c r="SG123" s="36"/>
      <c r="SH123" s="36"/>
      <c r="SI123" s="36"/>
      <c r="SJ123" s="36"/>
      <c r="SK123" s="36"/>
      <c r="SL123" s="36"/>
      <c r="SM123" s="36"/>
      <c r="SN123" s="36"/>
      <c r="SO123" s="36"/>
      <c r="SP123" s="36"/>
      <c r="SQ123" s="36"/>
      <c r="SR123" s="36"/>
      <c r="SS123" s="36"/>
      <c r="ST123" s="36"/>
      <c r="SU123" s="36"/>
      <c r="SV123" s="36"/>
      <c r="SW123" s="36"/>
      <c r="SX123" s="36"/>
      <c r="SY123" s="36"/>
      <c r="SZ123" s="36"/>
      <c r="TA123" s="36"/>
      <c r="TB123" s="36"/>
      <c r="TC123" s="36"/>
      <c r="TD123" s="36"/>
      <c r="TE123" s="36"/>
      <c r="TF123" s="36"/>
      <c r="TG123" s="36"/>
      <c r="TH123" s="36"/>
      <c r="TI123" s="36"/>
      <c r="TJ123" s="36"/>
    </row>
    <row r="124" spans="1:530" s="23" customFormat="1" ht="22.5" customHeight="1" x14ac:dyDescent="0.25">
      <c r="A124" s="43" t="s">
        <v>176</v>
      </c>
      <c r="B124" s="44" t="str">
        <f>'дод 4'!A113</f>
        <v>7640</v>
      </c>
      <c r="C124" s="44" t="str">
        <f>'дод 4'!B113</f>
        <v>0470</v>
      </c>
      <c r="D124" s="24" t="str">
        <f>'дод 4'!C113</f>
        <v>Заходи з енергозбереження</v>
      </c>
      <c r="E124" s="69">
        <f t="shared" si="55"/>
        <v>0</v>
      </c>
      <c r="F124" s="69"/>
      <c r="G124" s="69"/>
      <c r="H124" s="69"/>
      <c r="I124" s="69"/>
      <c r="J124" s="69">
        <f t="shared" si="57"/>
        <v>396000</v>
      </c>
      <c r="K124" s="69">
        <v>396000</v>
      </c>
      <c r="L124" s="69"/>
      <c r="M124" s="69"/>
      <c r="N124" s="69"/>
      <c r="O124" s="69">
        <v>396000</v>
      </c>
      <c r="P124" s="69">
        <f t="shared" si="56"/>
        <v>396000</v>
      </c>
      <c r="Q124" s="14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</row>
    <row r="125" spans="1:530" s="23" customFormat="1" ht="22.5" customHeight="1" x14ac:dyDescent="0.25">
      <c r="A125" s="43">
        <v>1018340</v>
      </c>
      <c r="B125" s="44" t="str">
        <f>'дод 4'!A130</f>
        <v>8340</v>
      </c>
      <c r="C125" s="44" t="str">
        <f>'дод 4'!B130</f>
        <v>0540</v>
      </c>
      <c r="D125" s="78" t="str">
        <f>'дод 4'!C130</f>
        <v>Природоохоронні заходи за рахунок цільових фондів</v>
      </c>
      <c r="E125" s="69">
        <f t="shared" si="55"/>
        <v>0</v>
      </c>
      <c r="F125" s="69"/>
      <c r="G125" s="69"/>
      <c r="H125" s="69"/>
      <c r="I125" s="69"/>
      <c r="J125" s="69">
        <f t="shared" si="57"/>
        <v>3000</v>
      </c>
      <c r="K125" s="69"/>
      <c r="L125" s="69">
        <v>3000</v>
      </c>
      <c r="M125" s="69"/>
      <c r="N125" s="69"/>
      <c r="O125" s="69"/>
      <c r="P125" s="69">
        <f t="shared" si="56"/>
        <v>3000</v>
      </c>
      <c r="Q125" s="14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  <c r="TJ125" s="26"/>
    </row>
    <row r="126" spans="1:530" s="31" customFormat="1" ht="34.5" customHeight="1" x14ac:dyDescent="0.2">
      <c r="A126" s="76" t="s">
        <v>231</v>
      </c>
      <c r="B126" s="74"/>
      <c r="C126" s="74"/>
      <c r="D126" s="30" t="s">
        <v>44</v>
      </c>
      <c r="E126" s="66">
        <f>E127</f>
        <v>262454116.95999998</v>
      </c>
      <c r="F126" s="66">
        <f t="shared" ref="F126:J126" si="58">F127</f>
        <v>228354584.95999998</v>
      </c>
      <c r="G126" s="66">
        <f t="shared" si="58"/>
        <v>10434500</v>
      </c>
      <c r="H126" s="66">
        <f t="shared" si="58"/>
        <v>28077306</v>
      </c>
      <c r="I126" s="66">
        <f t="shared" si="58"/>
        <v>34099532</v>
      </c>
      <c r="J126" s="66">
        <f t="shared" si="58"/>
        <v>143201140.13999996</v>
      </c>
      <c r="K126" s="66">
        <f t="shared" ref="K126" si="59">K127</f>
        <v>137232006.41999996</v>
      </c>
      <c r="L126" s="66">
        <f t="shared" ref="L126" si="60">L127</f>
        <v>2026890.27</v>
      </c>
      <c r="M126" s="66">
        <f t="shared" ref="M126" si="61">M127</f>
        <v>0</v>
      </c>
      <c r="N126" s="66">
        <f t="shared" ref="N126" si="62">N127</f>
        <v>540000</v>
      </c>
      <c r="O126" s="66">
        <f t="shared" ref="O126:P126" si="63">O127</f>
        <v>141174249.86999997</v>
      </c>
      <c r="P126" s="66">
        <f t="shared" si="63"/>
        <v>405655257.09999996</v>
      </c>
      <c r="Q126" s="146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  <c r="ME126" s="38"/>
      <c r="MF126" s="38"/>
      <c r="MG126" s="38"/>
      <c r="MH126" s="38"/>
      <c r="MI126" s="38"/>
      <c r="MJ126" s="38"/>
      <c r="MK126" s="38"/>
      <c r="ML126" s="38"/>
      <c r="MM126" s="38"/>
      <c r="MN126" s="38"/>
      <c r="MO126" s="38"/>
      <c r="MP126" s="38"/>
      <c r="MQ126" s="38"/>
      <c r="MR126" s="38"/>
      <c r="MS126" s="38"/>
      <c r="MT126" s="38"/>
      <c r="MU126" s="38"/>
      <c r="MV126" s="38"/>
      <c r="MW126" s="38"/>
      <c r="MX126" s="38"/>
      <c r="MY126" s="38"/>
      <c r="MZ126" s="38"/>
      <c r="NA126" s="38"/>
      <c r="NB126" s="38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38"/>
      <c r="OI126" s="38"/>
      <c r="OJ126" s="38"/>
      <c r="OK126" s="38"/>
      <c r="OL126" s="38"/>
      <c r="OM126" s="38"/>
      <c r="ON126" s="38"/>
      <c r="OO126" s="38"/>
      <c r="OP126" s="38"/>
      <c r="OQ126" s="38"/>
      <c r="OR126" s="38"/>
      <c r="OS126" s="38"/>
      <c r="OT126" s="38"/>
      <c r="OU126" s="38"/>
      <c r="OV126" s="38"/>
      <c r="OW126" s="38"/>
      <c r="OX126" s="38"/>
      <c r="OY126" s="38"/>
      <c r="OZ126" s="38"/>
      <c r="PA126" s="38"/>
      <c r="PB126" s="38"/>
      <c r="PC126" s="38"/>
      <c r="PD126" s="38"/>
      <c r="PE126" s="38"/>
      <c r="PF126" s="38"/>
      <c r="PG126" s="38"/>
      <c r="PH126" s="38"/>
      <c r="PI126" s="38"/>
      <c r="PJ126" s="38"/>
      <c r="PK126" s="38"/>
      <c r="PL126" s="38"/>
      <c r="PM126" s="38"/>
      <c r="PN126" s="38"/>
      <c r="PO126" s="38"/>
      <c r="PP126" s="38"/>
      <c r="PQ126" s="38"/>
      <c r="PR126" s="38"/>
      <c r="PS126" s="38"/>
      <c r="PT126" s="38"/>
      <c r="PU126" s="38"/>
      <c r="PV126" s="38"/>
      <c r="PW126" s="38"/>
      <c r="PX126" s="38"/>
      <c r="PY126" s="38"/>
      <c r="PZ126" s="38"/>
      <c r="QA126" s="38"/>
      <c r="QB126" s="38"/>
      <c r="QC126" s="38"/>
      <c r="QD126" s="38"/>
      <c r="QE126" s="38"/>
      <c r="QF126" s="38"/>
      <c r="QG126" s="38"/>
      <c r="QH126" s="38"/>
      <c r="QI126" s="38"/>
      <c r="QJ126" s="38"/>
      <c r="QK126" s="38"/>
      <c r="QL126" s="38"/>
      <c r="QM126" s="38"/>
      <c r="QN126" s="38"/>
      <c r="QO126" s="38"/>
      <c r="QP126" s="38"/>
      <c r="QQ126" s="38"/>
      <c r="QR126" s="38"/>
      <c r="QS126" s="38"/>
      <c r="QT126" s="38"/>
      <c r="QU126" s="38"/>
      <c r="QV126" s="38"/>
      <c r="QW126" s="38"/>
      <c r="QX126" s="38"/>
      <c r="QY126" s="38"/>
      <c r="QZ126" s="38"/>
      <c r="RA126" s="38"/>
      <c r="RB126" s="38"/>
      <c r="RC126" s="38"/>
      <c r="RD126" s="38"/>
      <c r="RE126" s="38"/>
      <c r="RF126" s="38"/>
      <c r="RG126" s="38"/>
      <c r="RH126" s="38"/>
      <c r="RI126" s="38"/>
      <c r="RJ126" s="38"/>
      <c r="RK126" s="38"/>
      <c r="RL126" s="38"/>
      <c r="RM126" s="38"/>
      <c r="RN126" s="38"/>
      <c r="RO126" s="38"/>
      <c r="RP126" s="38"/>
      <c r="RQ126" s="38"/>
      <c r="RR126" s="38"/>
      <c r="RS126" s="38"/>
      <c r="RT126" s="38"/>
      <c r="RU126" s="38"/>
      <c r="RV126" s="38"/>
      <c r="RW126" s="38"/>
      <c r="RX126" s="38"/>
      <c r="RY126" s="38"/>
      <c r="RZ126" s="38"/>
      <c r="SA126" s="38"/>
      <c r="SB126" s="38"/>
      <c r="SC126" s="38"/>
      <c r="SD126" s="38"/>
      <c r="SE126" s="38"/>
      <c r="SF126" s="38"/>
      <c r="SG126" s="38"/>
      <c r="SH126" s="38"/>
      <c r="SI126" s="38"/>
      <c r="SJ126" s="38"/>
      <c r="SK126" s="38"/>
      <c r="SL126" s="38"/>
      <c r="SM126" s="38"/>
      <c r="SN126" s="38"/>
      <c r="SO126" s="38"/>
      <c r="SP126" s="38"/>
      <c r="SQ126" s="38"/>
      <c r="SR126" s="38"/>
      <c r="SS126" s="38"/>
      <c r="ST126" s="38"/>
      <c r="SU126" s="38"/>
      <c r="SV126" s="38"/>
      <c r="SW126" s="38"/>
      <c r="SX126" s="38"/>
      <c r="SY126" s="38"/>
      <c r="SZ126" s="38"/>
      <c r="TA126" s="38"/>
      <c r="TB126" s="38"/>
      <c r="TC126" s="38"/>
      <c r="TD126" s="38"/>
      <c r="TE126" s="38"/>
      <c r="TF126" s="38"/>
      <c r="TG126" s="38"/>
      <c r="TH126" s="38"/>
      <c r="TI126" s="38"/>
      <c r="TJ126" s="38"/>
    </row>
    <row r="127" spans="1:530" s="40" customFormat="1" ht="36.75" customHeight="1" x14ac:dyDescent="0.25">
      <c r="A127" s="77" t="s">
        <v>232</v>
      </c>
      <c r="B127" s="75"/>
      <c r="C127" s="75"/>
      <c r="D127" s="33" t="s">
        <v>44</v>
      </c>
      <c r="E127" s="68">
        <f>E129+E130+E131+E132+E133+E134+E135+E136+E137+E138+E139+E140+E141+E143+E145+E146+E147+E148+E149+E142</f>
        <v>262454116.95999998</v>
      </c>
      <c r="F127" s="68">
        <f t="shared" ref="F127:P127" si="64">F129+F130+F131+F132+F133+F134+F135+F136+F137+F138+F139+F140+F141+F143+F145+F146+F147+F148+F149+F142</f>
        <v>228354584.95999998</v>
      </c>
      <c r="G127" s="68">
        <f t="shared" si="64"/>
        <v>10434500</v>
      </c>
      <c r="H127" s="68">
        <f t="shared" si="64"/>
        <v>28077306</v>
      </c>
      <c r="I127" s="68">
        <f t="shared" si="64"/>
        <v>34099532</v>
      </c>
      <c r="J127" s="68">
        <f t="shared" si="64"/>
        <v>143201140.13999996</v>
      </c>
      <c r="K127" s="68">
        <f t="shared" si="64"/>
        <v>137232006.41999996</v>
      </c>
      <c r="L127" s="68">
        <f t="shared" si="64"/>
        <v>2026890.27</v>
      </c>
      <c r="M127" s="68">
        <f t="shared" si="64"/>
        <v>0</v>
      </c>
      <c r="N127" s="68">
        <f t="shared" si="64"/>
        <v>540000</v>
      </c>
      <c r="O127" s="68">
        <f t="shared" si="64"/>
        <v>141174249.86999997</v>
      </c>
      <c r="P127" s="68">
        <f t="shared" si="64"/>
        <v>405655257.09999996</v>
      </c>
      <c r="Q127" s="146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</row>
    <row r="128" spans="1:530" s="40" customFormat="1" x14ac:dyDescent="0.25">
      <c r="A128" s="77"/>
      <c r="B128" s="75"/>
      <c r="C128" s="75"/>
      <c r="D128" s="33" t="s">
        <v>308</v>
      </c>
      <c r="E128" s="68">
        <f>E144</f>
        <v>0</v>
      </c>
      <c r="F128" s="68">
        <f t="shared" ref="F128:P128" si="65">F144</f>
        <v>0</v>
      </c>
      <c r="G128" s="68">
        <f t="shared" si="65"/>
        <v>0</v>
      </c>
      <c r="H128" s="68">
        <f t="shared" si="65"/>
        <v>0</v>
      </c>
      <c r="I128" s="68">
        <f t="shared" si="65"/>
        <v>0</v>
      </c>
      <c r="J128" s="68">
        <f t="shared" si="65"/>
        <v>937420.38</v>
      </c>
      <c r="K128" s="68">
        <f t="shared" si="65"/>
        <v>937420.38</v>
      </c>
      <c r="L128" s="68">
        <f t="shared" si="65"/>
        <v>0</v>
      </c>
      <c r="M128" s="68">
        <f t="shared" si="65"/>
        <v>0</v>
      </c>
      <c r="N128" s="68">
        <f t="shared" si="65"/>
        <v>0</v>
      </c>
      <c r="O128" s="68">
        <f t="shared" si="65"/>
        <v>937420.38</v>
      </c>
      <c r="P128" s="68">
        <f t="shared" si="65"/>
        <v>937420.38</v>
      </c>
      <c r="Q128" s="146">
        <v>17</v>
      </c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  <c r="TJ128" s="39"/>
    </row>
    <row r="129" spans="1:530" s="23" customFormat="1" ht="48.75" customHeight="1" x14ac:dyDescent="0.25">
      <c r="A129" s="43" t="s">
        <v>233</v>
      </c>
      <c r="B129" s="44" t="str">
        <f>'дод 4'!A14</f>
        <v>0160</v>
      </c>
      <c r="C129" s="44" t="str">
        <f>'дод 4'!B14</f>
        <v>0111</v>
      </c>
      <c r="D129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29" s="69">
        <f t="shared" ref="E129:E149" si="66">F129+I129</f>
        <v>13530800</v>
      </c>
      <c r="F129" s="69">
        <f>13873900+90800-678700+244800</f>
        <v>13530800</v>
      </c>
      <c r="G129" s="69">
        <f>10990800-556300</f>
        <v>10434500</v>
      </c>
      <c r="H129" s="69">
        <v>164000</v>
      </c>
      <c r="I129" s="69"/>
      <c r="J129" s="69">
        <f>L129+O129</f>
        <v>0</v>
      </c>
      <c r="K129" s="69"/>
      <c r="L129" s="69"/>
      <c r="M129" s="69"/>
      <c r="N129" s="69"/>
      <c r="O129" s="69"/>
      <c r="P129" s="69">
        <f t="shared" ref="P129:P149" si="67">E129+J129</f>
        <v>13530800</v>
      </c>
      <c r="Q129" s="14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  <c r="TJ129" s="26"/>
    </row>
    <row r="130" spans="1:530" s="23" customFormat="1" ht="19.5" customHeight="1" x14ac:dyDescent="0.25">
      <c r="A130" s="52" t="s">
        <v>352</v>
      </c>
      <c r="B130" s="45" t="str">
        <f>'дод 4'!A67</f>
        <v>3210</v>
      </c>
      <c r="C130" s="45" t="str">
        <f>'дод 4'!B67</f>
        <v>1050</v>
      </c>
      <c r="D130" s="22" t="str">
        <f>'дод 4'!C67</f>
        <v>Організація та проведення громадських робіт</v>
      </c>
      <c r="E130" s="69">
        <f t="shared" si="66"/>
        <v>400000</v>
      </c>
      <c r="F130" s="69">
        <v>400000</v>
      </c>
      <c r="G130" s="69"/>
      <c r="H130" s="69"/>
      <c r="I130" s="69"/>
      <c r="J130" s="69">
        <f t="shared" ref="J130:J149" si="68">L130+O130</f>
        <v>0</v>
      </c>
      <c r="K130" s="69"/>
      <c r="L130" s="69"/>
      <c r="M130" s="69"/>
      <c r="N130" s="69"/>
      <c r="O130" s="69"/>
      <c r="P130" s="69">
        <f t="shared" si="67"/>
        <v>400000</v>
      </c>
      <c r="Q130" s="14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  <c r="TJ130" s="26"/>
    </row>
    <row r="131" spans="1:530" s="23" customFormat="1" ht="38.25" customHeight="1" x14ac:dyDescent="0.25">
      <c r="A131" s="43" t="s">
        <v>234</v>
      </c>
      <c r="B131" s="44" t="str">
        <f>'дод 4'!A83</f>
        <v>6011</v>
      </c>
      <c r="C131" s="44" t="str">
        <f>'дод 4'!B83</f>
        <v>0610</v>
      </c>
      <c r="D131" s="24" t="str">
        <f>'дод 4'!C83</f>
        <v>Експлуатація та технічне обслуговування житлового фонду</v>
      </c>
      <c r="E131" s="69">
        <f t="shared" si="66"/>
        <v>0</v>
      </c>
      <c r="F131" s="69"/>
      <c r="G131" s="69"/>
      <c r="H131" s="69"/>
      <c r="I131" s="69"/>
      <c r="J131" s="69">
        <f t="shared" si="68"/>
        <v>10459562.93</v>
      </c>
      <c r="K131" s="69">
        <f>20000000-4500000-5000000-1188215.76-766.31+827545+291000</f>
        <v>10429562.93</v>
      </c>
      <c r="L131" s="69"/>
      <c r="M131" s="69"/>
      <c r="N131" s="69"/>
      <c r="O131" s="69">
        <f>20000000+30000-4500000-5000000-1188215.76-766.31+827545+291000</f>
        <v>10459562.93</v>
      </c>
      <c r="P131" s="69">
        <f t="shared" si="67"/>
        <v>10459562.93</v>
      </c>
      <c r="Q131" s="14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  <c r="TJ131" s="26"/>
    </row>
    <row r="132" spans="1:530" s="23" customFormat="1" ht="33" customHeight="1" x14ac:dyDescent="0.25">
      <c r="A132" s="43" t="s">
        <v>235</v>
      </c>
      <c r="B132" s="44" t="str">
        <f>'дод 4'!A84</f>
        <v>6013</v>
      </c>
      <c r="C132" s="44" t="str">
        <f>'дод 4'!B84</f>
        <v>0620</v>
      </c>
      <c r="D132" s="24" t="str">
        <f>'дод 4'!C84</f>
        <v>Забезпечення діяльності водопровідно-каналізаційного господарства</v>
      </c>
      <c r="E132" s="69">
        <f t="shared" si="66"/>
        <v>30925000</v>
      </c>
      <c r="F132" s="69">
        <f>775000-350000</f>
        <v>425000</v>
      </c>
      <c r="G132" s="69"/>
      <c r="H132" s="69"/>
      <c r="I132" s="69">
        <f>30150000+350000</f>
        <v>30500000</v>
      </c>
      <c r="J132" s="69">
        <f t="shared" si="68"/>
        <v>1721000</v>
      </c>
      <c r="K132" s="69">
        <f>1700000+20000+1000</f>
        <v>1721000</v>
      </c>
      <c r="L132" s="69"/>
      <c r="M132" s="69"/>
      <c r="N132" s="69"/>
      <c r="O132" s="69">
        <f>1700000+20000+1000</f>
        <v>1721000</v>
      </c>
      <c r="P132" s="69">
        <f t="shared" si="67"/>
        <v>32646000</v>
      </c>
      <c r="Q132" s="14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</row>
    <row r="133" spans="1:530" s="23" customFormat="1" ht="27.75" customHeight="1" x14ac:dyDescent="0.25">
      <c r="A133" s="43" t="s">
        <v>301</v>
      </c>
      <c r="B133" s="44" t="str">
        <f>'дод 4'!A85</f>
        <v>6015</v>
      </c>
      <c r="C133" s="44" t="str">
        <f>'дод 4'!B85</f>
        <v>0620</v>
      </c>
      <c r="D133" s="24" t="str">
        <f>'дод 4'!C85</f>
        <v>Забезпечення надійної та безперебійної експлуатації ліфтів</v>
      </c>
      <c r="E133" s="69">
        <f t="shared" si="66"/>
        <v>193887</v>
      </c>
      <c r="F133" s="69">
        <f>200000-6113</f>
        <v>193887</v>
      </c>
      <c r="G133" s="69"/>
      <c r="H133" s="69"/>
      <c r="I133" s="69"/>
      <c r="J133" s="69">
        <f t="shared" si="68"/>
        <v>13408448.83</v>
      </c>
      <c r="K133" s="69">
        <f>15000000+9-1500000-405560.17+164000+100000</f>
        <v>13358448.83</v>
      </c>
      <c r="L133" s="69"/>
      <c r="M133" s="69"/>
      <c r="N133" s="69"/>
      <c r="O133" s="69">
        <f>15000000+50000+9-1500000-405560.17+164000+100000</f>
        <v>13408448.83</v>
      </c>
      <c r="P133" s="69">
        <f t="shared" si="67"/>
        <v>13602335.83</v>
      </c>
      <c r="Q133" s="14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</row>
    <row r="134" spans="1:530" s="23" customFormat="1" ht="38.25" customHeight="1" x14ac:dyDescent="0.25">
      <c r="A134" s="43" t="s">
        <v>304</v>
      </c>
      <c r="B134" s="44" t="str">
        <f>'дод 4'!A86</f>
        <v>6017</v>
      </c>
      <c r="C134" s="44" t="str">
        <f>'дод 4'!B86</f>
        <v>0620</v>
      </c>
      <c r="D134" s="24" t="str">
        <f>'дод 4'!C86</f>
        <v>Інша діяльність, пов’язана з експлуатацією об’єктів житлово-комунального господарства</v>
      </c>
      <c r="E134" s="69">
        <f t="shared" si="66"/>
        <v>100000</v>
      </c>
      <c r="F134" s="69">
        <v>100000</v>
      </c>
      <c r="G134" s="69"/>
      <c r="H134" s="69"/>
      <c r="I134" s="69"/>
      <c r="J134" s="69">
        <f t="shared" si="68"/>
        <v>0</v>
      </c>
      <c r="K134" s="69"/>
      <c r="L134" s="69"/>
      <c r="M134" s="69"/>
      <c r="N134" s="69"/>
      <c r="O134" s="69"/>
      <c r="P134" s="69">
        <f t="shared" si="67"/>
        <v>100000</v>
      </c>
      <c r="Q134" s="14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</row>
    <row r="135" spans="1:530" s="23" customFormat="1" ht="45" x14ac:dyDescent="0.25">
      <c r="A135" s="43" t="s">
        <v>236</v>
      </c>
      <c r="B135" s="44" t="str">
        <f>'дод 4'!A87</f>
        <v>6020</v>
      </c>
      <c r="C135" s="44" t="str">
        <f>'дод 4'!B87</f>
        <v>0620</v>
      </c>
      <c r="D135" s="24" t="str">
        <f>'дод 4'!C87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35" s="69">
        <f t="shared" si="66"/>
        <v>2595232</v>
      </c>
      <c r="F135" s="69"/>
      <c r="G135" s="69"/>
      <c r="H135" s="69"/>
      <c r="I135" s="69">
        <v>2595232</v>
      </c>
      <c r="J135" s="69">
        <f t="shared" si="68"/>
        <v>0</v>
      </c>
      <c r="K135" s="69"/>
      <c r="L135" s="69"/>
      <c r="M135" s="69"/>
      <c r="N135" s="69"/>
      <c r="O135" s="69"/>
      <c r="P135" s="69">
        <f t="shared" si="67"/>
        <v>2595232</v>
      </c>
      <c r="Q135" s="14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  <c r="TJ135" s="26"/>
    </row>
    <row r="136" spans="1:530" s="23" customFormat="1" ht="21.75" customHeight="1" x14ac:dyDescent="0.25">
      <c r="A136" s="43" t="s">
        <v>237</v>
      </c>
      <c r="B136" s="44" t="str">
        <f>'дод 4'!A88</f>
        <v>6030</v>
      </c>
      <c r="C136" s="44" t="str">
        <f>'дод 4'!B88</f>
        <v>0620</v>
      </c>
      <c r="D136" s="24" t="str">
        <f>'дод 4'!C88</f>
        <v>Організація благоустрою населених пунктів</v>
      </c>
      <c r="E136" s="69">
        <f t="shared" si="66"/>
        <v>190960547.56999999</v>
      </c>
      <c r="F136" s="69">
        <f>191911836-108000-2000000-100000-2000000+2907700+786500+575000+788511.57-2000000+199000</f>
        <v>190960547.56999999</v>
      </c>
      <c r="G136" s="69"/>
      <c r="H136" s="69">
        <v>27870906</v>
      </c>
      <c r="I136" s="69"/>
      <c r="J136" s="69">
        <f t="shared" si="68"/>
        <v>48924304.150000006</v>
      </c>
      <c r="K136" s="69">
        <f>27800000+1000000+5000000+5550000-5000000+150000+100000-4000000+10112784.63-4629526.59+12715677.07-18000+75000+110000-575000+163369.04+569000-199000</f>
        <v>48924304.150000006</v>
      </c>
      <c r="L136" s="71"/>
      <c r="M136" s="69"/>
      <c r="N136" s="69"/>
      <c r="O136" s="69">
        <f>27800000+1000000+5000000+5550000-5000000+150000+100000-4000000+10112784.63-4629526.59+12715677.07-18000+75000+110000-575000+163369.04+569000-199000</f>
        <v>48924304.150000006</v>
      </c>
      <c r="P136" s="69">
        <f t="shared" si="67"/>
        <v>239884851.72</v>
      </c>
      <c r="Q136" s="14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  <c r="TJ136" s="26"/>
    </row>
    <row r="137" spans="1:530" s="23" customFormat="1" ht="31.5" customHeight="1" x14ac:dyDescent="0.25">
      <c r="A137" s="43" t="s">
        <v>294</v>
      </c>
      <c r="B137" s="44" t="str">
        <f>'дод 4'!A90</f>
        <v>6090</v>
      </c>
      <c r="C137" s="44" t="str">
        <f>'дод 4'!B90</f>
        <v>0640</v>
      </c>
      <c r="D137" s="24" t="str">
        <f>'дод 4'!C90</f>
        <v>Інша діяльність у сфері житлово-комунального господарства</v>
      </c>
      <c r="E137" s="69">
        <f t="shared" si="66"/>
        <v>21880650.390000001</v>
      </c>
      <c r="F137" s="69">
        <f>16709746+579084+27300000-4300-19001249-1991050-1006880.61-569000-70000-70000</f>
        <v>21876350.390000001</v>
      </c>
      <c r="G137" s="69"/>
      <c r="H137" s="69">
        <v>42400</v>
      </c>
      <c r="I137" s="69">
        <v>4300</v>
      </c>
      <c r="J137" s="69">
        <f t="shared" si="68"/>
        <v>9959364.2899999991</v>
      </c>
      <c r="K137" s="69">
        <f>21793738-10545638.97-1288734.74</f>
        <v>9959364.2899999991</v>
      </c>
      <c r="L137" s="69"/>
      <c r="M137" s="69"/>
      <c r="N137" s="69"/>
      <c r="O137" s="69">
        <f>21793738-10545638.97-1288734.74</f>
        <v>9959364.2899999991</v>
      </c>
      <c r="P137" s="69">
        <f t="shared" si="67"/>
        <v>31840014.68</v>
      </c>
      <c r="Q137" s="14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  <c r="TJ137" s="26"/>
    </row>
    <row r="138" spans="1:530" s="23" customFormat="1" ht="33" customHeight="1" x14ac:dyDescent="0.25">
      <c r="A138" s="43" t="s">
        <v>314</v>
      </c>
      <c r="B138" s="44" t="str">
        <f>'дод 4'!A97</f>
        <v>7310</v>
      </c>
      <c r="C138" s="44" t="str">
        <f>'дод 4'!B97</f>
        <v>0443</v>
      </c>
      <c r="D138" s="24" t="str">
        <f>'дод 4'!C97</f>
        <v>Будівництво об'єктів житлово-комунального господарства</v>
      </c>
      <c r="E138" s="69">
        <f t="shared" si="66"/>
        <v>0</v>
      </c>
      <c r="F138" s="69"/>
      <c r="G138" s="69"/>
      <c r="H138" s="69"/>
      <c r="I138" s="69"/>
      <c r="J138" s="69">
        <f t="shared" si="68"/>
        <v>8556097.7599999979</v>
      </c>
      <c r="K138" s="69">
        <f>12540000-60000+40000+8953612-4000000+2338215.76-3000+2000-8410000-1200000-494730+230000-1380000</f>
        <v>8556097.7599999979</v>
      </c>
      <c r="L138" s="69"/>
      <c r="M138" s="69"/>
      <c r="N138" s="69"/>
      <c r="O138" s="69">
        <f>12540000-60000+40000+8953612-4000000+2338215.76-3000+2000-8410000-1200000-494730+230000-1380000</f>
        <v>8556097.7599999979</v>
      </c>
      <c r="P138" s="69">
        <f t="shared" si="67"/>
        <v>8556097.7599999979</v>
      </c>
      <c r="Q138" s="14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</row>
    <row r="139" spans="1:530" s="23" customFormat="1" ht="21.75" customHeight="1" x14ac:dyDescent="0.25">
      <c r="A139" s="43" t="s">
        <v>316</v>
      </c>
      <c r="B139" s="44" t="str">
        <f>'дод 4'!A101</f>
        <v>7330</v>
      </c>
      <c r="C139" s="44" t="str">
        <f>'дод 4'!B101</f>
        <v>0443</v>
      </c>
      <c r="D139" s="24" t="str">
        <f>'дод 4'!C101</f>
        <v>Будівництво інших об'єктів комунальної власності</v>
      </c>
      <c r="E139" s="69">
        <f t="shared" si="66"/>
        <v>0</v>
      </c>
      <c r="F139" s="69"/>
      <c r="G139" s="69"/>
      <c r="H139" s="69"/>
      <c r="I139" s="69"/>
      <c r="J139" s="69">
        <f t="shared" si="68"/>
        <v>14190998.77</v>
      </c>
      <c r="K139" s="69">
        <f>15750000+4777000+3000-50000-100000-5550000-700000+550000-4000000+432854.34-1950000+4818144.43+210000</f>
        <v>14190998.77</v>
      </c>
      <c r="L139" s="69"/>
      <c r="M139" s="69"/>
      <c r="N139" s="69"/>
      <c r="O139" s="69">
        <f>15750000+4777000+3000-50000-100000-5550000-700000+550000-4000000+432854.34-1950000+4818144.43+210000</f>
        <v>14190998.77</v>
      </c>
      <c r="P139" s="69">
        <f t="shared" si="67"/>
        <v>14190998.77</v>
      </c>
      <c r="Q139" s="14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  <c r="TJ139" s="26"/>
    </row>
    <row r="140" spans="1:530" s="23" customFormat="1" ht="49.5" customHeight="1" x14ac:dyDescent="0.25">
      <c r="A140" s="43" t="s">
        <v>447</v>
      </c>
      <c r="B140" s="44">
        <f>'дод 4'!A103</f>
        <v>7361</v>
      </c>
      <c r="C140" s="44" t="str">
        <f>'дод 4'!B103</f>
        <v>0490</v>
      </c>
      <c r="D140" s="24" t="str">
        <f>'дод 4'!C103</f>
        <v>Співфінансування інвестиційних проектів, що реалізуються за рахунок коштів державного фонду регіонального розвитку</v>
      </c>
      <c r="E140" s="69">
        <f t="shared" si="66"/>
        <v>0</v>
      </c>
      <c r="F140" s="69"/>
      <c r="G140" s="69"/>
      <c r="H140" s="69"/>
      <c r="I140" s="69"/>
      <c r="J140" s="69">
        <f t="shared" si="68"/>
        <v>1386113</v>
      </c>
      <c r="K140" s="69">
        <v>1386113</v>
      </c>
      <c r="L140" s="69"/>
      <c r="M140" s="69"/>
      <c r="N140" s="69"/>
      <c r="O140" s="69">
        <v>1386113</v>
      </c>
      <c r="P140" s="69">
        <f t="shared" si="67"/>
        <v>1386113</v>
      </c>
      <c r="Q140" s="14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</row>
    <row r="141" spans="1:530" s="23" customFormat="1" ht="29.25" customHeight="1" x14ac:dyDescent="0.25">
      <c r="A141" s="43" t="s">
        <v>238</v>
      </c>
      <c r="B141" s="44" t="str">
        <f>'дод 4'!A102</f>
        <v>7340</v>
      </c>
      <c r="C141" s="44" t="str">
        <f>'дод 4'!B102</f>
        <v>0443</v>
      </c>
      <c r="D141" s="24" t="str">
        <f>'дод 4'!C102</f>
        <v>Проектування, реставрація та охорона пам'яток архітектури</v>
      </c>
      <c r="E141" s="69">
        <f t="shared" si="66"/>
        <v>0</v>
      </c>
      <c r="F141" s="69"/>
      <c r="G141" s="69"/>
      <c r="H141" s="69"/>
      <c r="I141" s="69"/>
      <c r="J141" s="69">
        <f t="shared" si="68"/>
        <v>3000000</v>
      </c>
      <c r="K141" s="69">
        <v>3000000</v>
      </c>
      <c r="L141" s="69"/>
      <c r="M141" s="69"/>
      <c r="N141" s="69"/>
      <c r="O141" s="69">
        <v>3000000</v>
      </c>
      <c r="P141" s="69">
        <f t="shared" si="67"/>
        <v>3000000</v>
      </c>
      <c r="Q141" s="14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</row>
    <row r="142" spans="1:530" s="23" customFormat="1" ht="30" x14ac:dyDescent="0.25">
      <c r="A142" s="43">
        <v>1217362</v>
      </c>
      <c r="B142" s="44">
        <f>'дод 4'!A104</f>
        <v>7362</v>
      </c>
      <c r="C142" s="44" t="str">
        <f>'дод 4'!B104</f>
        <v>0490</v>
      </c>
      <c r="D142" s="24" t="str">
        <f>'дод 4'!C104</f>
        <v>Виконання інвестиційних проектів в рамках підтримки розвитку об'єднаних територіальних громад</v>
      </c>
      <c r="E142" s="69">
        <f t="shared" si="66"/>
        <v>0</v>
      </c>
      <c r="F142" s="69"/>
      <c r="G142" s="69"/>
      <c r="H142" s="69"/>
      <c r="I142" s="69"/>
      <c r="J142" s="69">
        <f t="shared" si="68"/>
        <v>75600</v>
      </c>
      <c r="K142" s="69">
        <v>75600</v>
      </c>
      <c r="L142" s="69"/>
      <c r="M142" s="69"/>
      <c r="N142" s="69"/>
      <c r="O142" s="69">
        <v>75600</v>
      </c>
      <c r="P142" s="69">
        <f t="shared" si="67"/>
        <v>75600</v>
      </c>
      <c r="Q142" s="14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</row>
    <row r="143" spans="1:530" s="23" customFormat="1" ht="45" x14ac:dyDescent="0.25">
      <c r="A143" s="43" t="s">
        <v>442</v>
      </c>
      <c r="B143" s="44">
        <v>7363</v>
      </c>
      <c r="C143" s="124" t="s">
        <v>102</v>
      </c>
      <c r="D143" s="125" t="s">
        <v>438</v>
      </c>
      <c r="E143" s="69">
        <f t="shared" si="66"/>
        <v>0</v>
      </c>
      <c r="F143" s="69"/>
      <c r="G143" s="69"/>
      <c r="H143" s="69"/>
      <c r="I143" s="69"/>
      <c r="J143" s="69">
        <f t="shared" si="68"/>
        <v>956186.69000000006</v>
      </c>
      <c r="K143" s="69">
        <f>18766.31+937420.38</f>
        <v>956186.69000000006</v>
      </c>
      <c r="L143" s="69"/>
      <c r="M143" s="69"/>
      <c r="N143" s="69"/>
      <c r="O143" s="69">
        <f>18766.31+937420.38</f>
        <v>956186.69000000006</v>
      </c>
      <c r="P143" s="69">
        <f t="shared" si="67"/>
        <v>956186.69000000006</v>
      </c>
      <c r="Q143" s="14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</row>
    <row r="144" spans="1:530" s="23" customFormat="1" x14ac:dyDescent="0.25">
      <c r="A144" s="43"/>
      <c r="B144" s="44"/>
      <c r="C144" s="44"/>
      <c r="D144" s="22" t="s">
        <v>308</v>
      </c>
      <c r="E144" s="69">
        <f t="shared" si="66"/>
        <v>0</v>
      </c>
      <c r="F144" s="69"/>
      <c r="G144" s="69"/>
      <c r="H144" s="69"/>
      <c r="I144" s="69"/>
      <c r="J144" s="69">
        <f t="shared" si="68"/>
        <v>937420.38</v>
      </c>
      <c r="K144" s="69">
        <v>937420.38</v>
      </c>
      <c r="L144" s="69"/>
      <c r="M144" s="69"/>
      <c r="N144" s="69"/>
      <c r="O144" s="69">
        <v>937420.38</v>
      </c>
      <c r="P144" s="69">
        <f t="shared" si="67"/>
        <v>937420.38</v>
      </c>
      <c r="Q144" s="14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</row>
    <row r="145" spans="1:530" s="23" customFormat="1" ht="20.25" customHeight="1" x14ac:dyDescent="0.25">
      <c r="A145" s="43" t="s">
        <v>239</v>
      </c>
      <c r="B145" s="44" t="str">
        <f>'дод 4'!A113</f>
        <v>7640</v>
      </c>
      <c r="C145" s="44" t="str">
        <f>'дод 4'!B113</f>
        <v>0470</v>
      </c>
      <c r="D145" s="24" t="str">
        <f>'дод 4'!C113</f>
        <v>Заходи з енергозбереження</v>
      </c>
      <c r="E145" s="69">
        <f t="shared" si="66"/>
        <v>1500000</v>
      </c>
      <c r="F145" s="69">
        <f>750000-250000</f>
        <v>500000</v>
      </c>
      <c r="G145" s="69"/>
      <c r="H145" s="69"/>
      <c r="I145" s="69">
        <f>750000+250000</f>
        <v>1000000</v>
      </c>
      <c r="J145" s="69">
        <f t="shared" si="68"/>
        <v>0</v>
      </c>
      <c r="K145" s="69"/>
      <c r="L145" s="69"/>
      <c r="M145" s="69"/>
      <c r="N145" s="69"/>
      <c r="O145" s="69"/>
      <c r="P145" s="69">
        <f t="shared" si="67"/>
        <v>1500000</v>
      </c>
      <c r="Q145" s="14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  <c r="TJ145" s="26"/>
    </row>
    <row r="146" spans="1:530" s="23" customFormat="1" ht="23.25" customHeight="1" x14ac:dyDescent="0.25">
      <c r="A146" s="43" t="s">
        <v>388</v>
      </c>
      <c r="B146" s="44" t="str">
        <f>'дод 4'!A116</f>
        <v>7670</v>
      </c>
      <c r="C146" s="44" t="str">
        <f>'дод 4'!B116</f>
        <v>0490</v>
      </c>
      <c r="D146" s="24" t="str">
        <f>'дод 4'!C116</f>
        <v>Внески до статутного капіталу суб’єктів господарювання</v>
      </c>
      <c r="E146" s="69">
        <f t="shared" si="66"/>
        <v>0</v>
      </c>
      <c r="F146" s="69"/>
      <c r="G146" s="69"/>
      <c r="H146" s="69"/>
      <c r="I146" s="69"/>
      <c r="J146" s="69">
        <f t="shared" si="68"/>
        <v>17042330</v>
      </c>
      <c r="K146" s="69">
        <f>7042330+10000000</f>
        <v>17042330</v>
      </c>
      <c r="L146" s="69"/>
      <c r="M146" s="69"/>
      <c r="N146" s="69"/>
      <c r="O146" s="69">
        <f>7042330+10000000</f>
        <v>17042330</v>
      </c>
      <c r="P146" s="69">
        <f t="shared" si="67"/>
        <v>17042330</v>
      </c>
      <c r="Q146" s="14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  <c r="TJ146" s="26"/>
    </row>
    <row r="147" spans="1:530" s="23" customFormat="1" ht="102" customHeight="1" x14ac:dyDescent="0.25">
      <c r="A147" s="52" t="s">
        <v>350</v>
      </c>
      <c r="B147" s="45">
        <v>7691</v>
      </c>
      <c r="C147" s="45" t="s">
        <v>102</v>
      </c>
      <c r="D147" s="22" t="str">
        <f>'дод 4'!C118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47" s="69">
        <f t="shared" si="66"/>
        <v>0</v>
      </c>
      <c r="F147" s="69"/>
      <c r="G147" s="69"/>
      <c r="H147" s="69"/>
      <c r="I147" s="69"/>
      <c r="J147" s="69">
        <f t="shared" si="68"/>
        <v>290090.27</v>
      </c>
      <c r="K147" s="69"/>
      <c r="L147" s="69">
        <f>41000+115890.27</f>
        <v>156890.27000000002</v>
      </c>
      <c r="M147" s="69"/>
      <c r="N147" s="69"/>
      <c r="O147" s="69">
        <v>133200</v>
      </c>
      <c r="P147" s="69">
        <f t="shared" si="67"/>
        <v>290090.27</v>
      </c>
      <c r="Q147" s="14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  <c r="TJ147" s="26"/>
    </row>
    <row r="148" spans="1:530" s="23" customFormat="1" ht="24.75" customHeight="1" x14ac:dyDescent="0.25">
      <c r="A148" s="43" t="s">
        <v>240</v>
      </c>
      <c r="B148" s="44" t="str">
        <f>'дод 4'!A130</f>
        <v>8340</v>
      </c>
      <c r="C148" s="44" t="str">
        <f>'дод 4'!B130</f>
        <v>0540</v>
      </c>
      <c r="D148" s="24" t="str">
        <f>'дод 4'!C130</f>
        <v>Природоохоронні заходи за рахунок цільових фондів</v>
      </c>
      <c r="E148" s="69">
        <f t="shared" si="66"/>
        <v>0</v>
      </c>
      <c r="F148" s="69"/>
      <c r="G148" s="69"/>
      <c r="H148" s="69"/>
      <c r="I148" s="69"/>
      <c r="J148" s="69">
        <f t="shared" si="68"/>
        <v>5599043.4500000002</v>
      </c>
      <c r="K148" s="69"/>
      <c r="L148" s="69">
        <v>1870000</v>
      </c>
      <c r="M148" s="69"/>
      <c r="N148" s="69">
        <v>540000</v>
      </c>
      <c r="O148" s="69">
        <f>1946500+1782543.45</f>
        <v>3729043.45</v>
      </c>
      <c r="P148" s="69">
        <f t="shared" si="67"/>
        <v>5599043.4500000002</v>
      </c>
      <c r="Q148" s="14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  <c r="TJ148" s="26"/>
    </row>
    <row r="149" spans="1:530" s="23" customFormat="1" ht="23.25" customHeight="1" x14ac:dyDescent="0.25">
      <c r="A149" s="43" t="s">
        <v>241</v>
      </c>
      <c r="B149" s="44" t="str">
        <f>'дод 4'!A139</f>
        <v>9770</v>
      </c>
      <c r="C149" s="44" t="str">
        <f>'дод 4'!B139</f>
        <v>0180</v>
      </c>
      <c r="D149" s="24" t="str">
        <f>'дод 4'!C139</f>
        <v>Інші субвенції з місцевого бюджету</v>
      </c>
      <c r="E149" s="69">
        <f t="shared" si="66"/>
        <v>368000</v>
      </c>
      <c r="F149" s="69">
        <v>368000</v>
      </c>
      <c r="G149" s="69"/>
      <c r="H149" s="69"/>
      <c r="I149" s="69"/>
      <c r="J149" s="69">
        <f t="shared" si="68"/>
        <v>7632000</v>
      </c>
      <c r="K149" s="69">
        <f>8000000-368000</f>
        <v>7632000</v>
      </c>
      <c r="L149" s="69"/>
      <c r="M149" s="69"/>
      <c r="N149" s="69"/>
      <c r="O149" s="69">
        <f>8000000-368000</f>
        <v>7632000</v>
      </c>
      <c r="P149" s="69">
        <f t="shared" si="67"/>
        <v>8000000</v>
      </c>
      <c r="Q149" s="14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  <c r="IW149" s="26"/>
      <c r="IX149" s="26"/>
      <c r="IY149" s="26"/>
      <c r="IZ149" s="26"/>
      <c r="JA149" s="26"/>
      <c r="JB149" s="26"/>
      <c r="JC149" s="26"/>
      <c r="JD149" s="26"/>
      <c r="JE149" s="26"/>
      <c r="JF149" s="26"/>
      <c r="JG149" s="26"/>
      <c r="JH149" s="26"/>
      <c r="JI149" s="26"/>
      <c r="JJ149" s="26"/>
      <c r="JK149" s="26"/>
      <c r="JL149" s="26"/>
      <c r="JM149" s="26"/>
      <c r="JN149" s="26"/>
      <c r="JO149" s="26"/>
      <c r="JP149" s="26"/>
      <c r="JQ149" s="26"/>
      <c r="JR149" s="26"/>
      <c r="JS149" s="26"/>
      <c r="JT149" s="26"/>
      <c r="JU149" s="26"/>
      <c r="JV149" s="26"/>
      <c r="JW149" s="26"/>
      <c r="JX149" s="26"/>
      <c r="JY149" s="26"/>
      <c r="JZ149" s="26"/>
      <c r="KA149" s="26"/>
      <c r="KB149" s="26"/>
      <c r="KC149" s="26"/>
      <c r="KD149" s="26"/>
      <c r="KE149" s="26"/>
      <c r="KF149" s="26"/>
      <c r="KG149" s="26"/>
      <c r="KH149" s="26"/>
      <c r="KI149" s="26"/>
      <c r="KJ149" s="26"/>
      <c r="KK149" s="26"/>
      <c r="KL149" s="26"/>
      <c r="KM149" s="26"/>
      <c r="KN149" s="26"/>
      <c r="KO149" s="26"/>
      <c r="KP149" s="26"/>
      <c r="KQ149" s="26"/>
      <c r="KR149" s="26"/>
      <c r="KS149" s="26"/>
      <c r="KT149" s="26"/>
      <c r="KU149" s="26"/>
      <c r="KV149" s="26"/>
      <c r="KW149" s="26"/>
      <c r="KX149" s="26"/>
      <c r="KY149" s="26"/>
      <c r="KZ149" s="26"/>
      <c r="LA149" s="26"/>
      <c r="LB149" s="26"/>
      <c r="LC149" s="26"/>
      <c r="LD149" s="26"/>
      <c r="LE149" s="26"/>
      <c r="LF149" s="26"/>
      <c r="LG149" s="26"/>
      <c r="LH149" s="26"/>
      <c r="LI149" s="26"/>
      <c r="LJ149" s="26"/>
      <c r="LK149" s="26"/>
      <c r="LL149" s="26"/>
      <c r="LM149" s="26"/>
      <c r="LN149" s="26"/>
      <c r="LO149" s="26"/>
      <c r="LP149" s="26"/>
      <c r="LQ149" s="26"/>
      <c r="LR149" s="26"/>
      <c r="LS149" s="26"/>
      <c r="LT149" s="26"/>
      <c r="LU149" s="26"/>
      <c r="LV149" s="26"/>
      <c r="LW149" s="26"/>
      <c r="LX149" s="26"/>
      <c r="LY149" s="26"/>
      <c r="LZ149" s="26"/>
      <c r="MA149" s="26"/>
      <c r="MB149" s="26"/>
      <c r="MC149" s="26"/>
      <c r="MD149" s="26"/>
      <c r="ME149" s="26"/>
      <c r="MF149" s="26"/>
      <c r="MG149" s="26"/>
      <c r="MH149" s="26"/>
      <c r="MI149" s="26"/>
      <c r="MJ149" s="26"/>
      <c r="MK149" s="26"/>
      <c r="ML149" s="26"/>
      <c r="MM149" s="26"/>
      <c r="MN149" s="26"/>
      <c r="MO149" s="26"/>
      <c r="MP149" s="26"/>
      <c r="MQ149" s="26"/>
      <c r="MR149" s="26"/>
      <c r="MS149" s="26"/>
      <c r="MT149" s="26"/>
      <c r="MU149" s="26"/>
      <c r="MV149" s="26"/>
      <c r="MW149" s="26"/>
      <c r="MX149" s="26"/>
      <c r="MY149" s="26"/>
      <c r="MZ149" s="26"/>
      <c r="NA149" s="26"/>
      <c r="NB149" s="26"/>
      <c r="NC149" s="26"/>
      <c r="ND149" s="26"/>
      <c r="NE149" s="26"/>
      <c r="NF149" s="26"/>
      <c r="NG149" s="26"/>
      <c r="NH149" s="26"/>
      <c r="NI149" s="26"/>
      <c r="NJ149" s="26"/>
      <c r="NK149" s="26"/>
      <c r="NL149" s="26"/>
      <c r="NM149" s="26"/>
      <c r="NN149" s="26"/>
      <c r="NO149" s="26"/>
      <c r="NP149" s="26"/>
      <c r="NQ149" s="26"/>
      <c r="NR149" s="26"/>
      <c r="NS149" s="26"/>
      <c r="NT149" s="26"/>
      <c r="NU149" s="26"/>
      <c r="NV149" s="26"/>
      <c r="NW149" s="26"/>
      <c r="NX149" s="26"/>
      <c r="NY149" s="26"/>
      <c r="NZ149" s="26"/>
      <c r="OA149" s="26"/>
      <c r="OB149" s="26"/>
      <c r="OC149" s="26"/>
      <c r="OD149" s="26"/>
      <c r="OE149" s="26"/>
      <c r="OF149" s="26"/>
      <c r="OG149" s="26"/>
      <c r="OH149" s="26"/>
      <c r="OI149" s="26"/>
      <c r="OJ149" s="26"/>
      <c r="OK149" s="26"/>
      <c r="OL149" s="26"/>
      <c r="OM149" s="26"/>
      <c r="ON149" s="26"/>
      <c r="OO149" s="26"/>
      <c r="OP149" s="26"/>
      <c r="OQ149" s="26"/>
      <c r="OR149" s="26"/>
      <c r="OS149" s="26"/>
      <c r="OT149" s="26"/>
      <c r="OU149" s="26"/>
      <c r="OV149" s="26"/>
      <c r="OW149" s="26"/>
      <c r="OX149" s="26"/>
      <c r="OY149" s="26"/>
      <c r="OZ149" s="26"/>
      <c r="PA149" s="26"/>
      <c r="PB149" s="26"/>
      <c r="PC149" s="26"/>
      <c r="PD149" s="26"/>
      <c r="PE149" s="26"/>
      <c r="PF149" s="26"/>
      <c r="PG149" s="26"/>
      <c r="PH149" s="26"/>
      <c r="PI149" s="26"/>
      <c r="PJ149" s="26"/>
      <c r="PK149" s="26"/>
      <c r="PL149" s="26"/>
      <c r="PM149" s="26"/>
      <c r="PN149" s="26"/>
      <c r="PO149" s="26"/>
      <c r="PP149" s="26"/>
      <c r="PQ149" s="26"/>
      <c r="PR149" s="26"/>
      <c r="PS149" s="26"/>
      <c r="PT149" s="26"/>
      <c r="PU149" s="26"/>
      <c r="PV149" s="26"/>
      <c r="PW149" s="26"/>
      <c r="PX149" s="26"/>
      <c r="PY149" s="26"/>
      <c r="PZ149" s="26"/>
      <c r="QA149" s="26"/>
      <c r="QB149" s="26"/>
      <c r="QC149" s="26"/>
      <c r="QD149" s="26"/>
      <c r="QE149" s="26"/>
      <c r="QF149" s="26"/>
      <c r="QG149" s="26"/>
      <c r="QH149" s="26"/>
      <c r="QI149" s="26"/>
      <c r="QJ149" s="26"/>
      <c r="QK149" s="26"/>
      <c r="QL149" s="26"/>
      <c r="QM149" s="26"/>
      <c r="QN149" s="26"/>
      <c r="QO149" s="26"/>
      <c r="QP149" s="26"/>
      <c r="QQ149" s="26"/>
      <c r="QR149" s="26"/>
      <c r="QS149" s="26"/>
      <c r="QT149" s="26"/>
      <c r="QU149" s="26"/>
      <c r="QV149" s="26"/>
      <c r="QW149" s="26"/>
      <c r="QX149" s="26"/>
      <c r="QY149" s="26"/>
      <c r="QZ149" s="26"/>
      <c r="RA149" s="26"/>
      <c r="RB149" s="26"/>
      <c r="RC149" s="26"/>
      <c r="RD149" s="26"/>
      <c r="RE149" s="26"/>
      <c r="RF149" s="26"/>
      <c r="RG149" s="26"/>
      <c r="RH149" s="26"/>
      <c r="RI149" s="26"/>
      <c r="RJ149" s="26"/>
      <c r="RK149" s="26"/>
      <c r="RL149" s="26"/>
      <c r="RM149" s="26"/>
      <c r="RN149" s="26"/>
      <c r="RO149" s="26"/>
      <c r="RP149" s="26"/>
      <c r="RQ149" s="26"/>
      <c r="RR149" s="26"/>
      <c r="RS149" s="26"/>
      <c r="RT149" s="26"/>
      <c r="RU149" s="26"/>
      <c r="RV149" s="26"/>
      <c r="RW149" s="26"/>
      <c r="RX149" s="26"/>
      <c r="RY149" s="26"/>
      <c r="RZ149" s="26"/>
      <c r="SA149" s="26"/>
      <c r="SB149" s="26"/>
      <c r="SC149" s="26"/>
      <c r="SD149" s="26"/>
      <c r="SE149" s="26"/>
      <c r="SF149" s="26"/>
      <c r="SG149" s="26"/>
      <c r="SH149" s="26"/>
      <c r="SI149" s="26"/>
      <c r="SJ149" s="26"/>
      <c r="SK149" s="26"/>
      <c r="SL149" s="26"/>
      <c r="SM149" s="26"/>
      <c r="SN149" s="26"/>
      <c r="SO149" s="26"/>
      <c r="SP149" s="26"/>
      <c r="SQ149" s="26"/>
      <c r="SR149" s="26"/>
      <c r="SS149" s="26"/>
      <c r="ST149" s="26"/>
      <c r="SU149" s="26"/>
      <c r="SV149" s="26"/>
      <c r="SW149" s="26"/>
      <c r="SX149" s="26"/>
      <c r="SY149" s="26"/>
      <c r="SZ149" s="26"/>
      <c r="TA149" s="26"/>
      <c r="TB149" s="26"/>
      <c r="TC149" s="26"/>
      <c r="TD149" s="26"/>
      <c r="TE149" s="26"/>
      <c r="TF149" s="26"/>
      <c r="TG149" s="26"/>
      <c r="TH149" s="26"/>
      <c r="TI149" s="26"/>
      <c r="TJ149" s="26"/>
    </row>
    <row r="150" spans="1:530" s="31" customFormat="1" ht="33.75" customHeight="1" x14ac:dyDescent="0.2">
      <c r="A150" s="76" t="s">
        <v>37</v>
      </c>
      <c r="B150" s="74"/>
      <c r="C150" s="74"/>
      <c r="D150" s="30" t="s">
        <v>47</v>
      </c>
      <c r="E150" s="66">
        <f>E151</f>
        <v>6157500</v>
      </c>
      <c r="F150" s="66">
        <f t="shared" ref="F150:J151" si="69">F151</f>
        <v>6157500</v>
      </c>
      <c r="G150" s="66">
        <f t="shared" si="69"/>
        <v>4788800</v>
      </c>
      <c r="H150" s="66">
        <f t="shared" si="69"/>
        <v>98300</v>
      </c>
      <c r="I150" s="66">
        <f t="shared" si="69"/>
        <v>0</v>
      </c>
      <c r="J150" s="66">
        <f t="shared" si="69"/>
        <v>160000</v>
      </c>
      <c r="K150" s="66">
        <f t="shared" ref="K150:K151" si="70">K151</f>
        <v>160000</v>
      </c>
      <c r="L150" s="66">
        <f t="shared" ref="L150:L151" si="71">L151</f>
        <v>0</v>
      </c>
      <c r="M150" s="66">
        <f t="shared" ref="M150:M151" si="72">M151</f>
        <v>0</v>
      </c>
      <c r="N150" s="66">
        <f t="shared" ref="N150:N151" si="73">N151</f>
        <v>0</v>
      </c>
      <c r="O150" s="66">
        <f t="shared" ref="O150:P151" si="74">O151</f>
        <v>160000</v>
      </c>
      <c r="P150" s="66">
        <f t="shared" si="74"/>
        <v>6317500</v>
      </c>
      <c r="Q150" s="146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  <c r="IV150" s="38"/>
      <c r="IW150" s="38"/>
      <c r="IX150" s="38"/>
      <c r="IY150" s="38"/>
      <c r="IZ150" s="38"/>
      <c r="JA150" s="38"/>
      <c r="JB150" s="38"/>
      <c r="JC150" s="38"/>
      <c r="JD150" s="38"/>
      <c r="JE150" s="38"/>
      <c r="JF150" s="38"/>
      <c r="JG150" s="38"/>
      <c r="JH150" s="38"/>
      <c r="JI150" s="38"/>
      <c r="JJ150" s="38"/>
      <c r="JK150" s="38"/>
      <c r="JL150" s="38"/>
      <c r="JM150" s="38"/>
      <c r="JN150" s="38"/>
      <c r="JO150" s="38"/>
      <c r="JP150" s="38"/>
      <c r="JQ150" s="38"/>
      <c r="JR150" s="38"/>
      <c r="JS150" s="38"/>
      <c r="JT150" s="38"/>
      <c r="JU150" s="38"/>
      <c r="JV150" s="38"/>
      <c r="JW150" s="38"/>
      <c r="JX150" s="38"/>
      <c r="JY150" s="38"/>
      <c r="JZ150" s="38"/>
      <c r="KA150" s="38"/>
      <c r="KB150" s="38"/>
      <c r="KC150" s="38"/>
      <c r="KD150" s="38"/>
      <c r="KE150" s="38"/>
      <c r="KF150" s="38"/>
      <c r="KG150" s="38"/>
      <c r="KH150" s="38"/>
      <c r="KI150" s="38"/>
      <c r="KJ150" s="38"/>
      <c r="KK150" s="38"/>
      <c r="KL150" s="38"/>
      <c r="KM150" s="38"/>
      <c r="KN150" s="38"/>
      <c r="KO150" s="38"/>
      <c r="KP150" s="38"/>
      <c r="KQ150" s="38"/>
      <c r="KR150" s="38"/>
      <c r="KS150" s="38"/>
      <c r="KT150" s="38"/>
      <c r="KU150" s="38"/>
      <c r="KV150" s="38"/>
      <c r="KW150" s="38"/>
      <c r="KX150" s="38"/>
      <c r="KY150" s="38"/>
      <c r="KZ150" s="38"/>
      <c r="LA150" s="38"/>
      <c r="LB150" s="38"/>
      <c r="LC150" s="38"/>
      <c r="LD150" s="38"/>
      <c r="LE150" s="38"/>
      <c r="LF150" s="38"/>
      <c r="LG150" s="38"/>
      <c r="LH150" s="38"/>
      <c r="LI150" s="38"/>
      <c r="LJ150" s="38"/>
      <c r="LK150" s="38"/>
      <c r="LL150" s="38"/>
      <c r="LM150" s="38"/>
      <c r="LN150" s="38"/>
      <c r="LO150" s="38"/>
      <c r="LP150" s="38"/>
      <c r="LQ150" s="38"/>
      <c r="LR150" s="38"/>
      <c r="LS150" s="38"/>
      <c r="LT150" s="38"/>
      <c r="LU150" s="38"/>
      <c r="LV150" s="38"/>
      <c r="LW150" s="38"/>
      <c r="LX150" s="38"/>
      <c r="LY150" s="38"/>
      <c r="LZ150" s="38"/>
      <c r="MA150" s="38"/>
      <c r="MB150" s="38"/>
      <c r="MC150" s="38"/>
      <c r="MD150" s="38"/>
      <c r="ME150" s="38"/>
      <c r="MF150" s="38"/>
      <c r="MG150" s="38"/>
      <c r="MH150" s="38"/>
      <c r="MI150" s="38"/>
      <c r="MJ150" s="38"/>
      <c r="MK150" s="38"/>
      <c r="ML150" s="38"/>
      <c r="MM150" s="38"/>
      <c r="MN150" s="38"/>
      <c r="MO150" s="38"/>
      <c r="MP150" s="38"/>
      <c r="MQ150" s="38"/>
      <c r="MR150" s="38"/>
      <c r="MS150" s="38"/>
      <c r="MT150" s="38"/>
      <c r="MU150" s="38"/>
      <c r="MV150" s="38"/>
      <c r="MW150" s="38"/>
      <c r="MX150" s="38"/>
      <c r="MY150" s="38"/>
      <c r="MZ150" s="38"/>
      <c r="NA150" s="38"/>
      <c r="NB150" s="38"/>
      <c r="NC150" s="38"/>
      <c r="ND150" s="38"/>
      <c r="NE150" s="38"/>
      <c r="NF150" s="38"/>
      <c r="NG150" s="38"/>
      <c r="NH150" s="38"/>
      <c r="NI150" s="38"/>
      <c r="NJ150" s="38"/>
      <c r="NK150" s="38"/>
      <c r="NL150" s="38"/>
      <c r="NM150" s="38"/>
      <c r="NN150" s="38"/>
      <c r="NO150" s="38"/>
      <c r="NP150" s="38"/>
      <c r="NQ150" s="38"/>
      <c r="NR150" s="38"/>
      <c r="NS150" s="38"/>
      <c r="NT150" s="38"/>
      <c r="NU150" s="38"/>
      <c r="NV150" s="38"/>
      <c r="NW150" s="38"/>
      <c r="NX150" s="38"/>
      <c r="NY150" s="38"/>
      <c r="NZ150" s="38"/>
      <c r="OA150" s="38"/>
      <c r="OB150" s="38"/>
      <c r="OC150" s="38"/>
      <c r="OD150" s="38"/>
      <c r="OE150" s="38"/>
      <c r="OF150" s="38"/>
      <c r="OG150" s="38"/>
      <c r="OH150" s="38"/>
      <c r="OI150" s="38"/>
      <c r="OJ150" s="38"/>
      <c r="OK150" s="38"/>
      <c r="OL150" s="38"/>
      <c r="OM150" s="38"/>
      <c r="ON150" s="38"/>
      <c r="OO150" s="38"/>
      <c r="OP150" s="38"/>
      <c r="OQ150" s="38"/>
      <c r="OR150" s="38"/>
      <c r="OS150" s="38"/>
      <c r="OT150" s="38"/>
      <c r="OU150" s="38"/>
      <c r="OV150" s="38"/>
      <c r="OW150" s="38"/>
      <c r="OX150" s="38"/>
      <c r="OY150" s="38"/>
      <c r="OZ150" s="38"/>
      <c r="PA150" s="38"/>
      <c r="PB150" s="38"/>
      <c r="PC150" s="38"/>
      <c r="PD150" s="38"/>
      <c r="PE150" s="38"/>
      <c r="PF150" s="38"/>
      <c r="PG150" s="38"/>
      <c r="PH150" s="38"/>
      <c r="PI150" s="38"/>
      <c r="PJ150" s="38"/>
      <c r="PK150" s="38"/>
      <c r="PL150" s="38"/>
      <c r="PM150" s="38"/>
      <c r="PN150" s="38"/>
      <c r="PO150" s="38"/>
      <c r="PP150" s="38"/>
      <c r="PQ150" s="38"/>
      <c r="PR150" s="38"/>
      <c r="PS150" s="38"/>
      <c r="PT150" s="38"/>
      <c r="PU150" s="38"/>
      <c r="PV150" s="38"/>
      <c r="PW150" s="38"/>
      <c r="PX150" s="38"/>
      <c r="PY150" s="38"/>
      <c r="PZ150" s="38"/>
      <c r="QA150" s="38"/>
      <c r="QB150" s="38"/>
      <c r="QC150" s="38"/>
      <c r="QD150" s="38"/>
      <c r="QE150" s="38"/>
      <c r="QF150" s="38"/>
      <c r="QG150" s="38"/>
      <c r="QH150" s="38"/>
      <c r="QI150" s="38"/>
      <c r="QJ150" s="38"/>
      <c r="QK150" s="38"/>
      <c r="QL150" s="38"/>
      <c r="QM150" s="38"/>
      <c r="QN150" s="38"/>
      <c r="QO150" s="38"/>
      <c r="QP150" s="38"/>
      <c r="QQ150" s="38"/>
      <c r="QR150" s="38"/>
      <c r="QS150" s="38"/>
      <c r="QT150" s="38"/>
      <c r="QU150" s="38"/>
      <c r="QV150" s="38"/>
      <c r="QW150" s="38"/>
      <c r="QX150" s="38"/>
      <c r="QY150" s="38"/>
      <c r="QZ150" s="38"/>
      <c r="RA150" s="38"/>
      <c r="RB150" s="38"/>
      <c r="RC150" s="38"/>
      <c r="RD150" s="38"/>
      <c r="RE150" s="38"/>
      <c r="RF150" s="38"/>
      <c r="RG150" s="38"/>
      <c r="RH150" s="38"/>
      <c r="RI150" s="38"/>
      <c r="RJ150" s="38"/>
      <c r="RK150" s="38"/>
      <c r="RL150" s="38"/>
      <c r="RM150" s="38"/>
      <c r="RN150" s="38"/>
      <c r="RO150" s="38"/>
      <c r="RP150" s="38"/>
      <c r="RQ150" s="38"/>
      <c r="RR150" s="38"/>
      <c r="RS150" s="38"/>
      <c r="RT150" s="38"/>
      <c r="RU150" s="38"/>
      <c r="RV150" s="38"/>
      <c r="RW150" s="38"/>
      <c r="RX150" s="38"/>
      <c r="RY150" s="38"/>
      <c r="RZ150" s="38"/>
      <c r="SA150" s="38"/>
      <c r="SB150" s="38"/>
      <c r="SC150" s="38"/>
      <c r="SD150" s="38"/>
      <c r="SE150" s="38"/>
      <c r="SF150" s="38"/>
      <c r="SG150" s="38"/>
      <c r="SH150" s="38"/>
      <c r="SI150" s="38"/>
      <c r="SJ150" s="38"/>
      <c r="SK150" s="38"/>
      <c r="SL150" s="38"/>
      <c r="SM150" s="38"/>
      <c r="SN150" s="38"/>
      <c r="SO150" s="38"/>
      <c r="SP150" s="38"/>
      <c r="SQ150" s="38"/>
      <c r="SR150" s="38"/>
      <c r="SS150" s="38"/>
      <c r="ST150" s="38"/>
      <c r="SU150" s="38"/>
      <c r="SV150" s="38"/>
      <c r="SW150" s="38"/>
      <c r="SX150" s="38"/>
      <c r="SY150" s="38"/>
      <c r="SZ150" s="38"/>
      <c r="TA150" s="38"/>
      <c r="TB150" s="38"/>
      <c r="TC150" s="38"/>
      <c r="TD150" s="38"/>
      <c r="TE150" s="38"/>
      <c r="TF150" s="38"/>
      <c r="TG150" s="38"/>
      <c r="TH150" s="38"/>
      <c r="TI150" s="38"/>
      <c r="TJ150" s="38"/>
    </row>
    <row r="151" spans="1:530" s="40" customFormat="1" ht="36.75" customHeight="1" x14ac:dyDescent="0.25">
      <c r="A151" s="77" t="s">
        <v>139</v>
      </c>
      <c r="B151" s="75"/>
      <c r="C151" s="75"/>
      <c r="D151" s="33" t="s">
        <v>47</v>
      </c>
      <c r="E151" s="68">
        <f>E152</f>
        <v>6157500</v>
      </c>
      <c r="F151" s="68">
        <f t="shared" si="69"/>
        <v>6157500</v>
      </c>
      <c r="G151" s="68">
        <f t="shared" si="69"/>
        <v>4788800</v>
      </c>
      <c r="H151" s="68">
        <f t="shared" si="69"/>
        <v>98300</v>
      </c>
      <c r="I151" s="68">
        <f t="shared" si="69"/>
        <v>0</v>
      </c>
      <c r="J151" s="68">
        <f t="shared" si="69"/>
        <v>160000</v>
      </c>
      <c r="K151" s="68">
        <f t="shared" si="70"/>
        <v>160000</v>
      </c>
      <c r="L151" s="68">
        <f t="shared" si="71"/>
        <v>0</v>
      </c>
      <c r="M151" s="68">
        <f t="shared" si="72"/>
        <v>0</v>
      </c>
      <c r="N151" s="68">
        <f t="shared" si="73"/>
        <v>0</v>
      </c>
      <c r="O151" s="68">
        <f t="shared" si="74"/>
        <v>160000</v>
      </c>
      <c r="P151" s="68">
        <f t="shared" si="74"/>
        <v>6317500</v>
      </c>
      <c r="Q151" s="146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  <c r="IW151" s="39"/>
      <c r="IX151" s="39"/>
      <c r="IY151" s="39"/>
      <c r="IZ151" s="39"/>
      <c r="JA151" s="39"/>
      <c r="JB151" s="39"/>
      <c r="JC151" s="39"/>
      <c r="JD151" s="39"/>
      <c r="JE151" s="39"/>
      <c r="JF151" s="39"/>
      <c r="JG151" s="39"/>
      <c r="JH151" s="39"/>
      <c r="JI151" s="39"/>
      <c r="JJ151" s="39"/>
      <c r="JK151" s="39"/>
      <c r="JL151" s="39"/>
      <c r="JM151" s="39"/>
      <c r="JN151" s="39"/>
      <c r="JO151" s="39"/>
      <c r="JP151" s="39"/>
      <c r="JQ151" s="39"/>
      <c r="JR151" s="39"/>
      <c r="JS151" s="39"/>
      <c r="JT151" s="39"/>
      <c r="JU151" s="39"/>
      <c r="JV151" s="39"/>
      <c r="JW151" s="39"/>
      <c r="JX151" s="39"/>
      <c r="JY151" s="39"/>
      <c r="JZ151" s="39"/>
      <c r="KA151" s="39"/>
      <c r="KB151" s="39"/>
      <c r="KC151" s="39"/>
      <c r="KD151" s="39"/>
      <c r="KE151" s="39"/>
      <c r="KF151" s="39"/>
      <c r="KG151" s="39"/>
      <c r="KH151" s="39"/>
      <c r="KI151" s="39"/>
      <c r="KJ151" s="39"/>
      <c r="KK151" s="39"/>
      <c r="KL151" s="39"/>
      <c r="KM151" s="39"/>
      <c r="KN151" s="39"/>
      <c r="KO151" s="39"/>
      <c r="KP151" s="39"/>
      <c r="KQ151" s="39"/>
      <c r="KR151" s="39"/>
      <c r="KS151" s="39"/>
      <c r="KT151" s="39"/>
      <c r="KU151" s="39"/>
      <c r="KV151" s="39"/>
      <c r="KW151" s="39"/>
      <c r="KX151" s="39"/>
      <c r="KY151" s="39"/>
      <c r="KZ151" s="39"/>
      <c r="LA151" s="39"/>
      <c r="LB151" s="39"/>
      <c r="LC151" s="39"/>
      <c r="LD151" s="39"/>
      <c r="LE151" s="39"/>
      <c r="LF151" s="39"/>
      <c r="LG151" s="39"/>
      <c r="LH151" s="39"/>
      <c r="LI151" s="39"/>
      <c r="LJ151" s="39"/>
      <c r="LK151" s="39"/>
      <c r="LL151" s="39"/>
      <c r="LM151" s="39"/>
      <c r="LN151" s="39"/>
      <c r="LO151" s="39"/>
      <c r="LP151" s="39"/>
      <c r="LQ151" s="39"/>
      <c r="LR151" s="39"/>
      <c r="LS151" s="39"/>
      <c r="LT151" s="39"/>
      <c r="LU151" s="39"/>
      <c r="LV151" s="39"/>
      <c r="LW151" s="39"/>
      <c r="LX151" s="39"/>
      <c r="LY151" s="39"/>
      <c r="LZ151" s="39"/>
      <c r="MA151" s="39"/>
      <c r="MB151" s="39"/>
      <c r="MC151" s="39"/>
      <c r="MD151" s="39"/>
      <c r="ME151" s="39"/>
      <c r="MF151" s="39"/>
      <c r="MG151" s="39"/>
      <c r="MH151" s="39"/>
      <c r="MI151" s="39"/>
      <c r="MJ151" s="39"/>
      <c r="MK151" s="39"/>
      <c r="ML151" s="39"/>
      <c r="MM151" s="39"/>
      <c r="MN151" s="39"/>
      <c r="MO151" s="39"/>
      <c r="MP151" s="39"/>
      <c r="MQ151" s="39"/>
      <c r="MR151" s="39"/>
      <c r="MS151" s="39"/>
      <c r="MT151" s="39"/>
      <c r="MU151" s="39"/>
      <c r="MV151" s="39"/>
      <c r="MW151" s="39"/>
      <c r="MX151" s="39"/>
      <c r="MY151" s="39"/>
      <c r="MZ151" s="39"/>
      <c r="NA151" s="39"/>
      <c r="NB151" s="39"/>
      <c r="NC151" s="39"/>
      <c r="ND151" s="39"/>
      <c r="NE151" s="39"/>
      <c r="NF151" s="39"/>
      <c r="NG151" s="39"/>
      <c r="NH151" s="39"/>
      <c r="NI151" s="39"/>
      <c r="NJ151" s="39"/>
      <c r="NK151" s="39"/>
      <c r="NL151" s="39"/>
      <c r="NM151" s="39"/>
      <c r="NN151" s="39"/>
      <c r="NO151" s="39"/>
      <c r="NP151" s="39"/>
      <c r="NQ151" s="39"/>
      <c r="NR151" s="39"/>
      <c r="NS151" s="39"/>
      <c r="NT151" s="39"/>
      <c r="NU151" s="39"/>
      <c r="NV151" s="39"/>
      <c r="NW151" s="39"/>
      <c r="NX151" s="39"/>
      <c r="NY151" s="39"/>
      <c r="NZ151" s="39"/>
      <c r="OA151" s="39"/>
      <c r="OB151" s="39"/>
      <c r="OC151" s="39"/>
      <c r="OD151" s="39"/>
      <c r="OE151" s="39"/>
      <c r="OF151" s="39"/>
      <c r="OG151" s="39"/>
      <c r="OH151" s="39"/>
      <c r="OI151" s="39"/>
      <c r="OJ151" s="39"/>
      <c r="OK151" s="39"/>
      <c r="OL151" s="39"/>
      <c r="OM151" s="39"/>
      <c r="ON151" s="39"/>
      <c r="OO151" s="39"/>
      <c r="OP151" s="39"/>
      <c r="OQ151" s="39"/>
      <c r="OR151" s="39"/>
      <c r="OS151" s="39"/>
      <c r="OT151" s="39"/>
      <c r="OU151" s="39"/>
      <c r="OV151" s="39"/>
      <c r="OW151" s="39"/>
      <c r="OX151" s="39"/>
      <c r="OY151" s="39"/>
      <c r="OZ151" s="39"/>
      <c r="PA151" s="39"/>
      <c r="PB151" s="39"/>
      <c r="PC151" s="39"/>
      <c r="PD151" s="39"/>
      <c r="PE151" s="39"/>
      <c r="PF151" s="39"/>
      <c r="PG151" s="39"/>
      <c r="PH151" s="39"/>
      <c r="PI151" s="39"/>
      <c r="PJ151" s="39"/>
      <c r="PK151" s="39"/>
      <c r="PL151" s="39"/>
      <c r="PM151" s="39"/>
      <c r="PN151" s="39"/>
      <c r="PO151" s="39"/>
      <c r="PP151" s="39"/>
      <c r="PQ151" s="39"/>
      <c r="PR151" s="39"/>
      <c r="PS151" s="39"/>
      <c r="PT151" s="39"/>
      <c r="PU151" s="39"/>
      <c r="PV151" s="39"/>
      <c r="PW151" s="39"/>
      <c r="PX151" s="39"/>
      <c r="PY151" s="39"/>
      <c r="PZ151" s="39"/>
      <c r="QA151" s="39"/>
      <c r="QB151" s="39"/>
      <c r="QC151" s="39"/>
      <c r="QD151" s="39"/>
      <c r="QE151" s="39"/>
      <c r="QF151" s="39"/>
      <c r="QG151" s="39"/>
      <c r="QH151" s="39"/>
      <c r="QI151" s="39"/>
      <c r="QJ151" s="39"/>
      <c r="QK151" s="39"/>
      <c r="QL151" s="39"/>
      <c r="QM151" s="39"/>
      <c r="QN151" s="39"/>
      <c r="QO151" s="39"/>
      <c r="QP151" s="39"/>
      <c r="QQ151" s="39"/>
      <c r="QR151" s="39"/>
      <c r="QS151" s="39"/>
      <c r="QT151" s="39"/>
      <c r="QU151" s="39"/>
      <c r="QV151" s="39"/>
      <c r="QW151" s="39"/>
      <c r="QX151" s="39"/>
      <c r="QY151" s="39"/>
      <c r="QZ151" s="39"/>
      <c r="RA151" s="39"/>
      <c r="RB151" s="39"/>
      <c r="RC151" s="39"/>
      <c r="RD151" s="39"/>
      <c r="RE151" s="39"/>
      <c r="RF151" s="39"/>
      <c r="RG151" s="39"/>
      <c r="RH151" s="39"/>
      <c r="RI151" s="39"/>
      <c r="RJ151" s="39"/>
      <c r="RK151" s="39"/>
      <c r="RL151" s="39"/>
      <c r="RM151" s="39"/>
      <c r="RN151" s="39"/>
      <c r="RO151" s="39"/>
      <c r="RP151" s="39"/>
      <c r="RQ151" s="39"/>
      <c r="RR151" s="39"/>
      <c r="RS151" s="39"/>
      <c r="RT151" s="39"/>
      <c r="RU151" s="39"/>
      <c r="RV151" s="39"/>
      <c r="RW151" s="39"/>
      <c r="RX151" s="39"/>
      <c r="RY151" s="39"/>
      <c r="RZ151" s="39"/>
      <c r="SA151" s="39"/>
      <c r="SB151" s="39"/>
      <c r="SC151" s="39"/>
      <c r="SD151" s="39"/>
      <c r="SE151" s="39"/>
      <c r="SF151" s="39"/>
      <c r="SG151" s="39"/>
      <c r="SH151" s="39"/>
      <c r="SI151" s="39"/>
      <c r="SJ151" s="39"/>
      <c r="SK151" s="39"/>
      <c r="SL151" s="39"/>
      <c r="SM151" s="39"/>
      <c r="SN151" s="39"/>
      <c r="SO151" s="39"/>
      <c r="SP151" s="39"/>
      <c r="SQ151" s="39"/>
      <c r="SR151" s="39"/>
      <c r="SS151" s="39"/>
      <c r="ST151" s="39"/>
      <c r="SU151" s="39"/>
      <c r="SV151" s="39"/>
      <c r="SW151" s="39"/>
      <c r="SX151" s="39"/>
      <c r="SY151" s="39"/>
      <c r="SZ151" s="39"/>
      <c r="TA151" s="39"/>
      <c r="TB151" s="39"/>
      <c r="TC151" s="39"/>
      <c r="TD151" s="39"/>
      <c r="TE151" s="39"/>
      <c r="TF151" s="39"/>
      <c r="TG151" s="39"/>
      <c r="TH151" s="39"/>
      <c r="TI151" s="39"/>
      <c r="TJ151" s="39"/>
    </row>
    <row r="152" spans="1:530" s="23" customFormat="1" ht="45" x14ac:dyDescent="0.25">
      <c r="A152" s="43" t="s">
        <v>0</v>
      </c>
      <c r="B152" s="44" t="str">
        <f>'дод 4'!A14</f>
        <v>0160</v>
      </c>
      <c r="C152" s="44" t="str">
        <f>'дод 4'!B14</f>
        <v>0111</v>
      </c>
      <c r="D152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52" s="69">
        <f>F152+I152</f>
        <v>6157500</v>
      </c>
      <c r="F152" s="69">
        <f>6462800+10100-315400</f>
        <v>6157500</v>
      </c>
      <c r="G152" s="69">
        <f>5047300-258500</f>
        <v>4788800</v>
      </c>
      <c r="H152" s="69">
        <v>98300</v>
      </c>
      <c r="I152" s="69"/>
      <c r="J152" s="69">
        <f>L152+O152</f>
        <v>160000</v>
      </c>
      <c r="K152" s="69">
        <v>160000</v>
      </c>
      <c r="L152" s="69"/>
      <c r="M152" s="69"/>
      <c r="N152" s="69"/>
      <c r="O152" s="69">
        <v>160000</v>
      </c>
      <c r="P152" s="69">
        <f>E152+J152</f>
        <v>6317500</v>
      </c>
      <c r="Q152" s="14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  <c r="TJ152" s="26"/>
    </row>
    <row r="153" spans="1:530" s="31" customFormat="1" ht="34.5" customHeight="1" x14ac:dyDescent="0.2">
      <c r="A153" s="76" t="s">
        <v>39</v>
      </c>
      <c r="B153" s="74"/>
      <c r="C153" s="74"/>
      <c r="D153" s="30" t="s">
        <v>46</v>
      </c>
      <c r="E153" s="66">
        <f>E154</f>
        <v>3706717</v>
      </c>
      <c r="F153" s="66">
        <f t="shared" ref="F153:J153" si="75">F154</f>
        <v>3621811</v>
      </c>
      <c r="G153" s="66">
        <f t="shared" si="75"/>
        <v>1552300</v>
      </c>
      <c r="H153" s="66">
        <f t="shared" si="75"/>
        <v>0</v>
      </c>
      <c r="I153" s="66">
        <f t="shared" si="75"/>
        <v>84906</v>
      </c>
      <c r="J153" s="66">
        <f t="shared" si="75"/>
        <v>210387524.18000001</v>
      </c>
      <c r="K153" s="66">
        <f t="shared" ref="K153" si="76">K154</f>
        <v>196540252</v>
      </c>
      <c r="L153" s="66">
        <f t="shared" ref="L153" si="77">L154</f>
        <v>3200000</v>
      </c>
      <c r="M153" s="66">
        <f t="shared" ref="M153" si="78">M154</f>
        <v>2348000</v>
      </c>
      <c r="N153" s="66">
        <f t="shared" ref="N153" si="79">N154</f>
        <v>90600</v>
      </c>
      <c r="O153" s="66">
        <f t="shared" ref="O153:P153" si="80">O154</f>
        <v>207187524.18000001</v>
      </c>
      <c r="P153" s="66">
        <f t="shared" si="80"/>
        <v>214094241.18000001</v>
      </c>
      <c r="Q153" s="146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  <c r="IV153" s="38"/>
      <c r="IW153" s="38"/>
      <c r="IX153" s="38"/>
      <c r="IY153" s="38"/>
      <c r="IZ153" s="38"/>
      <c r="JA153" s="38"/>
      <c r="JB153" s="38"/>
      <c r="JC153" s="38"/>
      <c r="JD153" s="38"/>
      <c r="JE153" s="38"/>
      <c r="JF153" s="38"/>
      <c r="JG153" s="38"/>
      <c r="JH153" s="38"/>
      <c r="JI153" s="38"/>
      <c r="JJ153" s="38"/>
      <c r="JK153" s="38"/>
      <c r="JL153" s="38"/>
      <c r="JM153" s="38"/>
      <c r="JN153" s="38"/>
      <c r="JO153" s="38"/>
      <c r="JP153" s="38"/>
      <c r="JQ153" s="38"/>
      <c r="JR153" s="38"/>
      <c r="JS153" s="38"/>
      <c r="JT153" s="38"/>
      <c r="JU153" s="38"/>
      <c r="JV153" s="38"/>
      <c r="JW153" s="38"/>
      <c r="JX153" s="38"/>
      <c r="JY153" s="38"/>
      <c r="JZ153" s="38"/>
      <c r="KA153" s="38"/>
      <c r="KB153" s="38"/>
      <c r="KC153" s="38"/>
      <c r="KD153" s="38"/>
      <c r="KE153" s="38"/>
      <c r="KF153" s="38"/>
      <c r="KG153" s="38"/>
      <c r="KH153" s="38"/>
      <c r="KI153" s="38"/>
      <c r="KJ153" s="38"/>
      <c r="KK153" s="38"/>
      <c r="KL153" s="38"/>
      <c r="KM153" s="38"/>
      <c r="KN153" s="38"/>
      <c r="KO153" s="38"/>
      <c r="KP153" s="38"/>
      <c r="KQ153" s="38"/>
      <c r="KR153" s="38"/>
      <c r="KS153" s="38"/>
      <c r="KT153" s="38"/>
      <c r="KU153" s="38"/>
      <c r="KV153" s="38"/>
      <c r="KW153" s="38"/>
      <c r="KX153" s="38"/>
      <c r="KY153" s="38"/>
      <c r="KZ153" s="38"/>
      <c r="LA153" s="38"/>
      <c r="LB153" s="38"/>
      <c r="LC153" s="38"/>
      <c r="LD153" s="38"/>
      <c r="LE153" s="38"/>
      <c r="LF153" s="38"/>
      <c r="LG153" s="38"/>
      <c r="LH153" s="38"/>
      <c r="LI153" s="38"/>
      <c r="LJ153" s="38"/>
      <c r="LK153" s="38"/>
      <c r="LL153" s="38"/>
      <c r="LM153" s="38"/>
      <c r="LN153" s="38"/>
      <c r="LO153" s="38"/>
      <c r="LP153" s="38"/>
      <c r="LQ153" s="38"/>
      <c r="LR153" s="38"/>
      <c r="LS153" s="38"/>
      <c r="LT153" s="38"/>
      <c r="LU153" s="38"/>
      <c r="LV153" s="38"/>
      <c r="LW153" s="38"/>
      <c r="LX153" s="38"/>
      <c r="LY153" s="38"/>
      <c r="LZ153" s="38"/>
      <c r="MA153" s="38"/>
      <c r="MB153" s="38"/>
      <c r="MC153" s="38"/>
      <c r="MD153" s="38"/>
      <c r="ME153" s="38"/>
      <c r="MF153" s="38"/>
      <c r="MG153" s="38"/>
      <c r="MH153" s="38"/>
      <c r="MI153" s="38"/>
      <c r="MJ153" s="38"/>
      <c r="MK153" s="38"/>
      <c r="ML153" s="38"/>
      <c r="MM153" s="38"/>
      <c r="MN153" s="38"/>
      <c r="MO153" s="38"/>
      <c r="MP153" s="38"/>
      <c r="MQ153" s="38"/>
      <c r="MR153" s="38"/>
      <c r="MS153" s="38"/>
      <c r="MT153" s="38"/>
      <c r="MU153" s="38"/>
      <c r="MV153" s="38"/>
      <c r="MW153" s="38"/>
      <c r="MX153" s="38"/>
      <c r="MY153" s="38"/>
      <c r="MZ153" s="38"/>
      <c r="NA153" s="38"/>
      <c r="NB153" s="38"/>
      <c r="NC153" s="38"/>
      <c r="ND153" s="38"/>
      <c r="NE153" s="38"/>
      <c r="NF153" s="38"/>
      <c r="NG153" s="38"/>
      <c r="NH153" s="38"/>
      <c r="NI153" s="38"/>
      <c r="NJ153" s="38"/>
      <c r="NK153" s="38"/>
      <c r="NL153" s="38"/>
      <c r="NM153" s="38"/>
      <c r="NN153" s="38"/>
      <c r="NO153" s="38"/>
      <c r="NP153" s="38"/>
      <c r="NQ153" s="38"/>
      <c r="NR153" s="38"/>
      <c r="NS153" s="38"/>
      <c r="NT153" s="38"/>
      <c r="NU153" s="38"/>
      <c r="NV153" s="38"/>
      <c r="NW153" s="38"/>
      <c r="NX153" s="38"/>
      <c r="NY153" s="38"/>
      <c r="NZ153" s="38"/>
      <c r="OA153" s="38"/>
      <c r="OB153" s="38"/>
      <c r="OC153" s="38"/>
      <c r="OD153" s="38"/>
      <c r="OE153" s="38"/>
      <c r="OF153" s="38"/>
      <c r="OG153" s="38"/>
      <c r="OH153" s="38"/>
      <c r="OI153" s="38"/>
      <c r="OJ153" s="38"/>
      <c r="OK153" s="38"/>
      <c r="OL153" s="38"/>
      <c r="OM153" s="38"/>
      <c r="ON153" s="38"/>
      <c r="OO153" s="38"/>
      <c r="OP153" s="38"/>
      <c r="OQ153" s="38"/>
      <c r="OR153" s="38"/>
      <c r="OS153" s="38"/>
      <c r="OT153" s="38"/>
      <c r="OU153" s="38"/>
      <c r="OV153" s="38"/>
      <c r="OW153" s="38"/>
      <c r="OX153" s="38"/>
      <c r="OY153" s="38"/>
      <c r="OZ153" s="38"/>
      <c r="PA153" s="38"/>
      <c r="PB153" s="38"/>
      <c r="PC153" s="38"/>
      <c r="PD153" s="38"/>
      <c r="PE153" s="38"/>
      <c r="PF153" s="38"/>
      <c r="PG153" s="38"/>
      <c r="PH153" s="38"/>
      <c r="PI153" s="38"/>
      <c r="PJ153" s="38"/>
      <c r="PK153" s="38"/>
      <c r="PL153" s="38"/>
      <c r="PM153" s="38"/>
      <c r="PN153" s="38"/>
      <c r="PO153" s="38"/>
      <c r="PP153" s="38"/>
      <c r="PQ153" s="38"/>
      <c r="PR153" s="38"/>
      <c r="PS153" s="38"/>
      <c r="PT153" s="38"/>
      <c r="PU153" s="38"/>
      <c r="PV153" s="38"/>
      <c r="PW153" s="38"/>
      <c r="PX153" s="38"/>
      <c r="PY153" s="38"/>
      <c r="PZ153" s="38"/>
      <c r="QA153" s="38"/>
      <c r="QB153" s="38"/>
      <c r="QC153" s="38"/>
      <c r="QD153" s="38"/>
      <c r="QE153" s="38"/>
      <c r="QF153" s="38"/>
      <c r="QG153" s="38"/>
      <c r="QH153" s="38"/>
      <c r="QI153" s="38"/>
      <c r="QJ153" s="38"/>
      <c r="QK153" s="38"/>
      <c r="QL153" s="38"/>
      <c r="QM153" s="38"/>
      <c r="QN153" s="38"/>
      <c r="QO153" s="38"/>
      <c r="QP153" s="38"/>
      <c r="QQ153" s="38"/>
      <c r="QR153" s="38"/>
      <c r="QS153" s="38"/>
      <c r="QT153" s="38"/>
      <c r="QU153" s="38"/>
      <c r="QV153" s="38"/>
      <c r="QW153" s="38"/>
      <c r="QX153" s="38"/>
      <c r="QY153" s="38"/>
      <c r="QZ153" s="38"/>
      <c r="RA153" s="38"/>
      <c r="RB153" s="38"/>
      <c r="RC153" s="38"/>
      <c r="RD153" s="38"/>
      <c r="RE153" s="38"/>
      <c r="RF153" s="38"/>
      <c r="RG153" s="38"/>
      <c r="RH153" s="38"/>
      <c r="RI153" s="38"/>
      <c r="RJ153" s="38"/>
      <c r="RK153" s="38"/>
      <c r="RL153" s="38"/>
      <c r="RM153" s="38"/>
      <c r="RN153" s="38"/>
      <c r="RO153" s="38"/>
      <c r="RP153" s="38"/>
      <c r="RQ153" s="38"/>
      <c r="RR153" s="38"/>
      <c r="RS153" s="38"/>
      <c r="RT153" s="38"/>
      <c r="RU153" s="38"/>
      <c r="RV153" s="38"/>
      <c r="RW153" s="38"/>
      <c r="RX153" s="38"/>
      <c r="RY153" s="38"/>
      <c r="RZ153" s="38"/>
      <c r="SA153" s="38"/>
      <c r="SB153" s="38"/>
      <c r="SC153" s="38"/>
      <c r="SD153" s="38"/>
      <c r="SE153" s="38"/>
      <c r="SF153" s="38"/>
      <c r="SG153" s="38"/>
      <c r="SH153" s="38"/>
      <c r="SI153" s="38"/>
      <c r="SJ153" s="38"/>
      <c r="SK153" s="38"/>
      <c r="SL153" s="38"/>
      <c r="SM153" s="38"/>
      <c r="SN153" s="38"/>
      <c r="SO153" s="38"/>
      <c r="SP153" s="38"/>
      <c r="SQ153" s="38"/>
      <c r="SR153" s="38"/>
      <c r="SS153" s="38"/>
      <c r="ST153" s="38"/>
      <c r="SU153" s="38"/>
      <c r="SV153" s="38"/>
      <c r="SW153" s="38"/>
      <c r="SX153" s="38"/>
      <c r="SY153" s="38"/>
      <c r="SZ153" s="38"/>
      <c r="TA153" s="38"/>
      <c r="TB153" s="38"/>
      <c r="TC153" s="38"/>
      <c r="TD153" s="38"/>
      <c r="TE153" s="38"/>
      <c r="TF153" s="38"/>
      <c r="TG153" s="38"/>
      <c r="TH153" s="38"/>
      <c r="TI153" s="38"/>
      <c r="TJ153" s="38"/>
    </row>
    <row r="154" spans="1:530" s="40" customFormat="1" ht="38.25" customHeight="1" x14ac:dyDescent="0.25">
      <c r="A154" s="77" t="s">
        <v>40</v>
      </c>
      <c r="B154" s="75"/>
      <c r="C154" s="75"/>
      <c r="D154" s="33" t="s">
        <v>46</v>
      </c>
      <c r="E154" s="68">
        <f>SUM(E155+E156+E157+E158+E159+E160+E162+E163+E164+E165+E161+E166)</f>
        <v>3706717</v>
      </c>
      <c r="F154" s="68">
        <f t="shared" ref="F154:P154" si="81">SUM(F155+F156+F157+F158+F159+F160+F162+F163+F164+F165+F161+F166)</f>
        <v>3621811</v>
      </c>
      <c r="G154" s="68">
        <f t="shared" si="81"/>
        <v>1552300</v>
      </c>
      <c r="H154" s="68">
        <f t="shared" si="81"/>
        <v>0</v>
      </c>
      <c r="I154" s="68">
        <f t="shared" si="81"/>
        <v>84906</v>
      </c>
      <c r="J154" s="68">
        <f t="shared" si="81"/>
        <v>210387524.18000001</v>
      </c>
      <c r="K154" s="68">
        <f t="shared" si="81"/>
        <v>196540252</v>
      </c>
      <c r="L154" s="68">
        <f t="shared" si="81"/>
        <v>3200000</v>
      </c>
      <c r="M154" s="68">
        <f t="shared" si="81"/>
        <v>2348000</v>
      </c>
      <c r="N154" s="68">
        <f t="shared" si="81"/>
        <v>90600</v>
      </c>
      <c r="O154" s="68">
        <f t="shared" si="81"/>
        <v>207187524.18000001</v>
      </c>
      <c r="P154" s="68">
        <f t="shared" si="81"/>
        <v>214094241.18000001</v>
      </c>
      <c r="Q154" s="146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  <c r="IX154" s="39"/>
      <c r="IY154" s="39"/>
      <c r="IZ154" s="39"/>
      <c r="JA154" s="39"/>
      <c r="JB154" s="39"/>
      <c r="JC154" s="39"/>
      <c r="JD154" s="39"/>
      <c r="JE154" s="39"/>
      <c r="JF154" s="39"/>
      <c r="JG154" s="39"/>
      <c r="JH154" s="39"/>
      <c r="JI154" s="39"/>
      <c r="JJ154" s="39"/>
      <c r="JK154" s="39"/>
      <c r="JL154" s="39"/>
      <c r="JM154" s="39"/>
      <c r="JN154" s="39"/>
      <c r="JO154" s="39"/>
      <c r="JP154" s="39"/>
      <c r="JQ154" s="39"/>
      <c r="JR154" s="39"/>
      <c r="JS154" s="39"/>
      <c r="JT154" s="39"/>
      <c r="JU154" s="39"/>
      <c r="JV154" s="39"/>
      <c r="JW154" s="39"/>
      <c r="JX154" s="39"/>
      <c r="JY154" s="39"/>
      <c r="JZ154" s="39"/>
      <c r="KA154" s="39"/>
      <c r="KB154" s="39"/>
      <c r="KC154" s="39"/>
      <c r="KD154" s="39"/>
      <c r="KE154" s="39"/>
      <c r="KF154" s="39"/>
      <c r="KG154" s="39"/>
      <c r="KH154" s="39"/>
      <c r="KI154" s="39"/>
      <c r="KJ154" s="39"/>
      <c r="KK154" s="39"/>
      <c r="KL154" s="39"/>
      <c r="KM154" s="39"/>
      <c r="KN154" s="39"/>
      <c r="KO154" s="39"/>
      <c r="KP154" s="39"/>
      <c r="KQ154" s="39"/>
      <c r="KR154" s="39"/>
      <c r="KS154" s="39"/>
      <c r="KT154" s="39"/>
      <c r="KU154" s="39"/>
      <c r="KV154" s="39"/>
      <c r="KW154" s="39"/>
      <c r="KX154" s="39"/>
      <c r="KY154" s="39"/>
      <c r="KZ154" s="39"/>
      <c r="LA154" s="39"/>
      <c r="LB154" s="39"/>
      <c r="LC154" s="39"/>
      <c r="LD154" s="39"/>
      <c r="LE154" s="39"/>
      <c r="LF154" s="39"/>
      <c r="LG154" s="39"/>
      <c r="LH154" s="39"/>
      <c r="LI154" s="39"/>
      <c r="LJ154" s="39"/>
      <c r="LK154" s="39"/>
      <c r="LL154" s="39"/>
      <c r="LM154" s="39"/>
      <c r="LN154" s="39"/>
      <c r="LO154" s="39"/>
      <c r="LP154" s="39"/>
      <c r="LQ154" s="39"/>
      <c r="LR154" s="39"/>
      <c r="LS154" s="39"/>
      <c r="LT154" s="39"/>
      <c r="LU154" s="39"/>
      <c r="LV154" s="39"/>
      <c r="LW154" s="39"/>
      <c r="LX154" s="39"/>
      <c r="LY154" s="39"/>
      <c r="LZ154" s="39"/>
      <c r="MA154" s="39"/>
      <c r="MB154" s="39"/>
      <c r="MC154" s="39"/>
      <c r="MD154" s="39"/>
      <c r="ME154" s="39"/>
      <c r="MF154" s="39"/>
      <c r="MG154" s="39"/>
      <c r="MH154" s="39"/>
      <c r="MI154" s="39"/>
      <c r="MJ154" s="39"/>
      <c r="MK154" s="39"/>
      <c r="ML154" s="39"/>
      <c r="MM154" s="39"/>
      <c r="MN154" s="39"/>
      <c r="MO154" s="39"/>
      <c r="MP154" s="39"/>
      <c r="MQ154" s="39"/>
      <c r="MR154" s="39"/>
      <c r="MS154" s="39"/>
      <c r="MT154" s="39"/>
      <c r="MU154" s="39"/>
      <c r="MV154" s="39"/>
      <c r="MW154" s="39"/>
      <c r="MX154" s="39"/>
      <c r="MY154" s="39"/>
      <c r="MZ154" s="39"/>
      <c r="NA154" s="39"/>
      <c r="NB154" s="39"/>
      <c r="NC154" s="39"/>
      <c r="ND154" s="39"/>
      <c r="NE154" s="39"/>
      <c r="NF154" s="39"/>
      <c r="NG154" s="39"/>
      <c r="NH154" s="39"/>
      <c r="NI154" s="39"/>
      <c r="NJ154" s="39"/>
      <c r="NK154" s="39"/>
      <c r="NL154" s="39"/>
      <c r="NM154" s="39"/>
      <c r="NN154" s="39"/>
      <c r="NO154" s="39"/>
      <c r="NP154" s="39"/>
      <c r="NQ154" s="39"/>
      <c r="NR154" s="39"/>
      <c r="NS154" s="39"/>
      <c r="NT154" s="39"/>
      <c r="NU154" s="39"/>
      <c r="NV154" s="39"/>
      <c r="NW154" s="39"/>
      <c r="NX154" s="39"/>
      <c r="NY154" s="39"/>
      <c r="NZ154" s="39"/>
      <c r="OA154" s="39"/>
      <c r="OB154" s="39"/>
      <c r="OC154" s="39"/>
      <c r="OD154" s="39"/>
      <c r="OE154" s="39"/>
      <c r="OF154" s="39"/>
      <c r="OG154" s="39"/>
      <c r="OH154" s="39"/>
      <c r="OI154" s="39"/>
      <c r="OJ154" s="39"/>
      <c r="OK154" s="39"/>
      <c r="OL154" s="39"/>
      <c r="OM154" s="39"/>
      <c r="ON154" s="39"/>
      <c r="OO154" s="39"/>
      <c r="OP154" s="39"/>
      <c r="OQ154" s="39"/>
      <c r="OR154" s="39"/>
      <c r="OS154" s="39"/>
      <c r="OT154" s="39"/>
      <c r="OU154" s="39"/>
      <c r="OV154" s="39"/>
      <c r="OW154" s="39"/>
      <c r="OX154" s="39"/>
      <c r="OY154" s="39"/>
      <c r="OZ154" s="39"/>
      <c r="PA154" s="39"/>
      <c r="PB154" s="39"/>
      <c r="PC154" s="39"/>
      <c r="PD154" s="39"/>
      <c r="PE154" s="39"/>
      <c r="PF154" s="39"/>
      <c r="PG154" s="39"/>
      <c r="PH154" s="39"/>
      <c r="PI154" s="39"/>
      <c r="PJ154" s="39"/>
      <c r="PK154" s="39"/>
      <c r="PL154" s="39"/>
      <c r="PM154" s="39"/>
      <c r="PN154" s="39"/>
      <c r="PO154" s="39"/>
      <c r="PP154" s="39"/>
      <c r="PQ154" s="39"/>
      <c r="PR154" s="39"/>
      <c r="PS154" s="39"/>
      <c r="PT154" s="39"/>
      <c r="PU154" s="39"/>
      <c r="PV154" s="39"/>
      <c r="PW154" s="39"/>
      <c r="PX154" s="39"/>
      <c r="PY154" s="39"/>
      <c r="PZ154" s="39"/>
      <c r="QA154" s="39"/>
      <c r="QB154" s="39"/>
      <c r="QC154" s="39"/>
      <c r="QD154" s="39"/>
      <c r="QE154" s="39"/>
      <c r="QF154" s="39"/>
      <c r="QG154" s="39"/>
      <c r="QH154" s="39"/>
      <c r="QI154" s="39"/>
      <c r="QJ154" s="39"/>
      <c r="QK154" s="39"/>
      <c r="QL154" s="39"/>
      <c r="QM154" s="39"/>
      <c r="QN154" s="39"/>
      <c r="QO154" s="39"/>
      <c r="QP154" s="39"/>
      <c r="QQ154" s="39"/>
      <c r="QR154" s="39"/>
      <c r="QS154" s="39"/>
      <c r="QT154" s="39"/>
      <c r="QU154" s="39"/>
      <c r="QV154" s="39"/>
      <c r="QW154" s="39"/>
      <c r="QX154" s="39"/>
      <c r="QY154" s="39"/>
      <c r="QZ154" s="39"/>
      <c r="RA154" s="39"/>
      <c r="RB154" s="39"/>
      <c r="RC154" s="39"/>
      <c r="RD154" s="39"/>
      <c r="RE154" s="39"/>
      <c r="RF154" s="39"/>
      <c r="RG154" s="39"/>
      <c r="RH154" s="39"/>
      <c r="RI154" s="39"/>
      <c r="RJ154" s="39"/>
      <c r="RK154" s="39"/>
      <c r="RL154" s="39"/>
      <c r="RM154" s="39"/>
      <c r="RN154" s="39"/>
      <c r="RO154" s="39"/>
      <c r="RP154" s="39"/>
      <c r="RQ154" s="39"/>
      <c r="RR154" s="39"/>
      <c r="RS154" s="39"/>
      <c r="RT154" s="39"/>
      <c r="RU154" s="39"/>
      <c r="RV154" s="39"/>
      <c r="RW154" s="39"/>
      <c r="RX154" s="39"/>
      <c r="RY154" s="39"/>
      <c r="RZ154" s="39"/>
      <c r="SA154" s="39"/>
      <c r="SB154" s="39"/>
      <c r="SC154" s="39"/>
      <c r="SD154" s="39"/>
      <c r="SE154" s="39"/>
      <c r="SF154" s="39"/>
      <c r="SG154" s="39"/>
      <c r="SH154" s="39"/>
      <c r="SI154" s="39"/>
      <c r="SJ154" s="39"/>
      <c r="SK154" s="39"/>
      <c r="SL154" s="39"/>
      <c r="SM154" s="39"/>
      <c r="SN154" s="39"/>
      <c r="SO154" s="39"/>
      <c r="SP154" s="39"/>
      <c r="SQ154" s="39"/>
      <c r="SR154" s="39"/>
      <c r="SS154" s="39"/>
      <c r="ST154" s="39"/>
      <c r="SU154" s="39"/>
      <c r="SV154" s="39"/>
      <c r="SW154" s="39"/>
      <c r="SX154" s="39"/>
      <c r="SY154" s="39"/>
      <c r="SZ154" s="39"/>
      <c r="TA154" s="39"/>
      <c r="TB154" s="39"/>
      <c r="TC154" s="39"/>
      <c r="TD154" s="39"/>
      <c r="TE154" s="39"/>
      <c r="TF154" s="39"/>
      <c r="TG154" s="39"/>
      <c r="TH154" s="39"/>
      <c r="TI154" s="39"/>
      <c r="TJ154" s="39"/>
    </row>
    <row r="155" spans="1:530" s="23" customFormat="1" ht="44.25" customHeight="1" x14ac:dyDescent="0.25">
      <c r="A155" s="43" t="s">
        <v>170</v>
      </c>
      <c r="B155" s="44" t="str">
        <f>'дод 4'!A14</f>
        <v>0160</v>
      </c>
      <c r="C155" s="44" t="str">
        <f>'дод 4'!B14</f>
        <v>0111</v>
      </c>
      <c r="D155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55" s="69">
        <f t="shared" ref="E155:E166" si="82">F155+I155</f>
        <v>1893800</v>
      </c>
      <c r="F155" s="69">
        <f>1976700-82900</f>
        <v>1893800</v>
      </c>
      <c r="G155" s="69">
        <f>1620200-67900</f>
        <v>1552300</v>
      </c>
      <c r="H155" s="69"/>
      <c r="I155" s="69"/>
      <c r="J155" s="69">
        <f>L155+O155</f>
        <v>3200000</v>
      </c>
      <c r="K155" s="69"/>
      <c r="L155" s="69">
        <v>3200000</v>
      </c>
      <c r="M155" s="69">
        <v>2348000</v>
      </c>
      <c r="N155" s="69">
        <v>90600</v>
      </c>
      <c r="O155" s="69"/>
      <c r="P155" s="69">
        <f t="shared" ref="P155:P166" si="83">E155+J155</f>
        <v>5093800</v>
      </c>
      <c r="Q155" s="14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  <c r="TJ155" s="26"/>
    </row>
    <row r="156" spans="1:530" s="23" customFormat="1" ht="22.5" customHeight="1" x14ac:dyDescent="0.25">
      <c r="A156" s="43" t="s">
        <v>242</v>
      </c>
      <c r="B156" s="44" t="str">
        <f>'дод 4'!A88</f>
        <v>6030</v>
      </c>
      <c r="C156" s="44" t="str">
        <f>'дод 4'!B88</f>
        <v>0620</v>
      </c>
      <c r="D156" s="24" t="str">
        <f>'дод 4'!C88</f>
        <v>Організація благоустрою населених пунктів</v>
      </c>
      <c r="E156" s="69">
        <f t="shared" si="82"/>
        <v>0</v>
      </c>
      <c r="F156" s="69"/>
      <c r="G156" s="69"/>
      <c r="H156" s="69"/>
      <c r="I156" s="69"/>
      <c r="J156" s="69">
        <f t="shared" ref="J156:J171" si="84">L156+O156</f>
        <v>51250000</v>
      </c>
      <c r="K156" s="69">
        <f>60000000-5000000-3750000</f>
        <v>51250000</v>
      </c>
      <c r="L156" s="69"/>
      <c r="M156" s="69"/>
      <c r="N156" s="69"/>
      <c r="O156" s="69">
        <f>60000000-5000000-3750000</f>
        <v>51250000</v>
      </c>
      <c r="P156" s="69">
        <f t="shared" si="83"/>
        <v>51250000</v>
      </c>
      <c r="Q156" s="14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  <c r="TJ156" s="26"/>
    </row>
    <row r="157" spans="1:530" s="23" customFormat="1" ht="54.75" customHeight="1" x14ac:dyDescent="0.25">
      <c r="A157" s="43" t="s">
        <v>243</v>
      </c>
      <c r="B157" s="44" t="str">
        <f>'дод 4'!A89</f>
        <v>6084</v>
      </c>
      <c r="C157" s="44" t="str">
        <f>'дод 4'!B89</f>
        <v>0610</v>
      </c>
      <c r="D157" s="24" t="str">
        <f>'дод 4'!C89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57" s="69">
        <f t="shared" si="82"/>
        <v>84906</v>
      </c>
      <c r="F157" s="69"/>
      <c r="G157" s="69"/>
      <c r="H157" s="69"/>
      <c r="I157" s="69">
        <v>84906</v>
      </c>
      <c r="J157" s="69">
        <f t="shared" si="84"/>
        <v>77703.06</v>
      </c>
      <c r="K157" s="69"/>
      <c r="L157" s="71"/>
      <c r="M157" s="69"/>
      <c r="N157" s="69"/>
      <c r="O157" s="69">
        <f>46724+30979.06</f>
        <v>77703.06</v>
      </c>
      <c r="P157" s="69">
        <f t="shared" si="83"/>
        <v>162609.06</v>
      </c>
      <c r="Q157" s="14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  <c r="TJ157" s="26"/>
    </row>
    <row r="158" spans="1:530" s="23" customFormat="1" ht="33.75" customHeight="1" x14ac:dyDescent="0.25">
      <c r="A158" s="43" t="s">
        <v>318</v>
      </c>
      <c r="B158" s="44" t="str">
        <f>'дод 4'!A97</f>
        <v>7310</v>
      </c>
      <c r="C158" s="44" t="str">
        <f>'дод 4'!B97</f>
        <v>0443</v>
      </c>
      <c r="D158" s="24" t="str">
        <f>'дод 4'!C97</f>
        <v>Будівництво об'єктів житлово-комунального господарства</v>
      </c>
      <c r="E158" s="69">
        <f t="shared" si="82"/>
        <v>0</v>
      </c>
      <c r="F158" s="69"/>
      <c r="G158" s="69"/>
      <c r="H158" s="69"/>
      <c r="I158" s="69"/>
      <c r="J158" s="69">
        <f t="shared" si="84"/>
        <v>4590000</v>
      </c>
      <c r="K158" s="69">
        <f>3000000+1590000</f>
        <v>4590000</v>
      </c>
      <c r="L158" s="69"/>
      <c r="M158" s="69"/>
      <c r="N158" s="69"/>
      <c r="O158" s="69">
        <f>3000000+1590000</f>
        <v>4590000</v>
      </c>
      <c r="P158" s="69">
        <f t="shared" si="83"/>
        <v>4590000</v>
      </c>
      <c r="Q158" s="143">
        <v>18</v>
      </c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  <c r="TJ158" s="26"/>
    </row>
    <row r="159" spans="1:530" s="23" customFormat="1" ht="21.75" customHeight="1" x14ac:dyDescent="0.25">
      <c r="A159" s="43" t="s">
        <v>319</v>
      </c>
      <c r="B159" s="44" t="str">
        <f>'дод 4'!A98</f>
        <v>7321</v>
      </c>
      <c r="C159" s="44" t="str">
        <f>'дод 4'!B98</f>
        <v>0443</v>
      </c>
      <c r="D159" s="24" t="str">
        <f>'дод 4'!C98</f>
        <v>Будівництво освітніх установ та закладів</v>
      </c>
      <c r="E159" s="69">
        <f t="shared" si="82"/>
        <v>0</v>
      </c>
      <c r="F159" s="69"/>
      <c r="G159" s="69"/>
      <c r="H159" s="69"/>
      <c r="I159" s="69"/>
      <c r="J159" s="69">
        <f t="shared" si="84"/>
        <v>4000000</v>
      </c>
      <c r="K159" s="69">
        <f>9000000-5000000</f>
        <v>4000000</v>
      </c>
      <c r="L159" s="69"/>
      <c r="M159" s="69"/>
      <c r="N159" s="69"/>
      <c r="O159" s="69">
        <f>9000000-5000000</f>
        <v>4000000</v>
      </c>
      <c r="P159" s="69">
        <f t="shared" si="83"/>
        <v>4000000</v>
      </c>
      <c r="Q159" s="143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</row>
    <row r="160" spans="1:530" s="23" customFormat="1" ht="18" customHeight="1" x14ac:dyDescent="0.25">
      <c r="A160" s="43" t="s">
        <v>321</v>
      </c>
      <c r="B160" s="44" t="str">
        <f>'дод 4'!A99</f>
        <v>7322</v>
      </c>
      <c r="C160" s="44" t="str">
        <f>'дод 4'!B99</f>
        <v>0443</v>
      </c>
      <c r="D160" s="24" t="str">
        <f>'дод 4'!C99</f>
        <v>Будівництво медичних установ та закладів</v>
      </c>
      <c r="E160" s="69">
        <f t="shared" si="82"/>
        <v>0</v>
      </c>
      <c r="F160" s="69"/>
      <c r="G160" s="69"/>
      <c r="H160" s="69"/>
      <c r="I160" s="69"/>
      <c r="J160" s="69">
        <f t="shared" si="84"/>
        <v>4454849</v>
      </c>
      <c r="K160" s="69">
        <f>7000000-3286719+741568</f>
        <v>4454849</v>
      </c>
      <c r="L160" s="69"/>
      <c r="M160" s="69"/>
      <c r="N160" s="69"/>
      <c r="O160" s="69">
        <f>7000000-3286719+741568</f>
        <v>4454849</v>
      </c>
      <c r="P160" s="69">
        <f t="shared" si="83"/>
        <v>4454849</v>
      </c>
      <c r="Q160" s="143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  <c r="TJ160" s="26"/>
    </row>
    <row r="161" spans="1:530" s="23" customFormat="1" ht="30" x14ac:dyDescent="0.25">
      <c r="A161" s="43" t="s">
        <v>421</v>
      </c>
      <c r="B161" s="44">
        <f>'дод 4'!A100</f>
        <v>7325</v>
      </c>
      <c r="C161" s="44">
        <f>'дод 4'!B100</f>
        <v>443</v>
      </c>
      <c r="D161" s="24" t="str">
        <f>'дод 4'!C100</f>
        <v>Будівництво споруд, установ та закладів фізичної культури і спорту</v>
      </c>
      <c r="E161" s="69"/>
      <c r="F161" s="69"/>
      <c r="G161" s="69"/>
      <c r="H161" s="69"/>
      <c r="I161" s="69"/>
      <c r="J161" s="69">
        <f t="shared" si="84"/>
        <v>100000</v>
      </c>
      <c r="K161" s="69">
        <f>7000000-7000000+100000</f>
        <v>100000</v>
      </c>
      <c r="L161" s="69"/>
      <c r="M161" s="69"/>
      <c r="N161" s="69"/>
      <c r="O161" s="69">
        <f>7000000-7000000+100000</f>
        <v>100000</v>
      </c>
      <c r="P161" s="69">
        <f t="shared" si="83"/>
        <v>100000</v>
      </c>
      <c r="Q161" s="143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  <c r="TJ161" s="26"/>
    </row>
    <row r="162" spans="1:530" s="23" customFormat="1" ht="23.25" customHeight="1" x14ac:dyDescent="0.25">
      <c r="A162" s="43" t="s">
        <v>323</v>
      </c>
      <c r="B162" s="44" t="str">
        <f>'дод 4'!A101</f>
        <v>7330</v>
      </c>
      <c r="C162" s="44" t="str">
        <f>'дод 4'!B101</f>
        <v>0443</v>
      </c>
      <c r="D162" s="24" t="str">
        <f>'дод 4'!C101</f>
        <v>Будівництво інших об'єктів комунальної власності</v>
      </c>
      <c r="E162" s="69">
        <f t="shared" si="82"/>
        <v>0</v>
      </c>
      <c r="F162" s="69"/>
      <c r="G162" s="69"/>
      <c r="H162" s="69"/>
      <c r="I162" s="69"/>
      <c r="J162" s="69">
        <f t="shared" si="84"/>
        <v>52697855</v>
      </c>
      <c r="K162" s="69">
        <f>41200000+100000-1000000+300000+1000000+1000000-1800000+860151+8034260+1003444+2000000</f>
        <v>52697855</v>
      </c>
      <c r="L162" s="69"/>
      <c r="M162" s="69"/>
      <c r="N162" s="69"/>
      <c r="O162" s="69">
        <f>41200000+100000-1000000+300000+1000000+1000000-1800000+860151+8034260+1003444+2000000</f>
        <v>52697855</v>
      </c>
      <c r="P162" s="69">
        <f t="shared" si="83"/>
        <v>52697855</v>
      </c>
      <c r="Q162" s="143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  <c r="TJ162" s="26"/>
    </row>
    <row r="163" spans="1:530" s="23" customFormat="1" ht="44.25" customHeight="1" x14ac:dyDescent="0.25">
      <c r="A163" s="43" t="s">
        <v>448</v>
      </c>
      <c r="B163" s="44">
        <f>'дод 4'!A103</f>
        <v>7361</v>
      </c>
      <c r="C163" s="44" t="str">
        <f>'дод 4'!B103</f>
        <v>0490</v>
      </c>
      <c r="D163" s="24" t="str">
        <f>'дод 4'!C103</f>
        <v>Співфінансування інвестиційних проектів, що реалізуються за рахунок коштів державного фонду регіонального розвитку</v>
      </c>
      <c r="E163" s="69">
        <f t="shared" ref="E163" si="85">F163+I163</f>
        <v>0</v>
      </c>
      <c r="F163" s="69"/>
      <c r="G163" s="69"/>
      <c r="H163" s="69"/>
      <c r="I163" s="69"/>
      <c r="J163" s="69">
        <f t="shared" ref="J163" si="86">L163+O163</f>
        <v>5000000</v>
      </c>
      <c r="K163" s="69">
        <v>5000000</v>
      </c>
      <c r="L163" s="69"/>
      <c r="M163" s="69"/>
      <c r="N163" s="69"/>
      <c r="O163" s="69">
        <v>5000000</v>
      </c>
      <c r="P163" s="69">
        <f t="shared" si="83"/>
        <v>5000000</v>
      </c>
      <c r="Q163" s="143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  <c r="TJ163" s="26"/>
    </row>
    <row r="164" spans="1:530" s="23" customFormat="1" ht="42.75" customHeight="1" x14ac:dyDescent="0.25">
      <c r="A164" s="43" t="s">
        <v>437</v>
      </c>
      <c r="B164" s="44">
        <v>7363</v>
      </c>
      <c r="C164" s="43" t="s">
        <v>102</v>
      </c>
      <c r="D164" s="24" t="s">
        <v>438</v>
      </c>
      <c r="E164" s="69">
        <f t="shared" si="82"/>
        <v>0</v>
      </c>
      <c r="F164" s="69"/>
      <c r="G164" s="69"/>
      <c r="H164" s="69"/>
      <c r="I164" s="69"/>
      <c r="J164" s="69">
        <f t="shared" si="84"/>
        <v>95000</v>
      </c>
      <c r="K164" s="69">
        <v>95000</v>
      </c>
      <c r="L164" s="69"/>
      <c r="M164" s="69"/>
      <c r="N164" s="69"/>
      <c r="O164" s="69">
        <v>95000</v>
      </c>
      <c r="P164" s="69">
        <f t="shared" si="83"/>
        <v>95000</v>
      </c>
      <c r="Q164" s="143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</row>
    <row r="165" spans="1:530" s="23" customFormat="1" ht="21.75" customHeight="1" x14ac:dyDescent="0.25">
      <c r="A165" s="43" t="s">
        <v>177</v>
      </c>
      <c r="B165" s="44" t="str">
        <f>'дод 4'!A113</f>
        <v>7640</v>
      </c>
      <c r="C165" s="44" t="str">
        <f>'дод 4'!B113</f>
        <v>0470</v>
      </c>
      <c r="D165" s="24" t="str">
        <f>'дод 4'!C113</f>
        <v>Заходи з енергозбереження</v>
      </c>
      <c r="E165" s="69">
        <f t="shared" si="82"/>
        <v>1728011</v>
      </c>
      <c r="F165" s="69">
        <v>1728011</v>
      </c>
      <c r="G165" s="69"/>
      <c r="H165" s="69"/>
      <c r="I165" s="69"/>
      <c r="J165" s="69">
        <f t="shared" si="84"/>
        <v>84089000</v>
      </c>
      <c r="K165" s="69">
        <v>74352548</v>
      </c>
      <c r="L165" s="71"/>
      <c r="M165" s="69"/>
      <c r="N165" s="69"/>
      <c r="O165" s="69">
        <f>74352548+9736452</f>
        <v>84089000</v>
      </c>
      <c r="P165" s="69">
        <f t="shared" si="83"/>
        <v>85817011</v>
      </c>
      <c r="Q165" s="143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  <c r="TJ165" s="26"/>
    </row>
    <row r="166" spans="1:530" s="23" customFormat="1" ht="116.25" customHeight="1" x14ac:dyDescent="0.25">
      <c r="A166" s="43" t="s">
        <v>443</v>
      </c>
      <c r="B166" s="44">
        <v>7691</v>
      </c>
      <c r="C166" s="46" t="s">
        <v>102</v>
      </c>
      <c r="D166" s="3" t="s">
        <v>367</v>
      </c>
      <c r="E166" s="69">
        <f t="shared" si="82"/>
        <v>0</v>
      </c>
      <c r="F166" s="69"/>
      <c r="G166" s="69"/>
      <c r="H166" s="69"/>
      <c r="I166" s="69"/>
      <c r="J166" s="69">
        <f t="shared" si="84"/>
        <v>833117.12</v>
      </c>
      <c r="K166" s="69"/>
      <c r="L166" s="71"/>
      <c r="M166" s="69"/>
      <c r="N166" s="69"/>
      <c r="O166" s="69">
        <v>833117.12</v>
      </c>
      <c r="P166" s="69">
        <f t="shared" si="83"/>
        <v>833117.12</v>
      </c>
      <c r="Q166" s="143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  <c r="TJ166" s="26"/>
    </row>
    <row r="167" spans="1:530" s="31" customFormat="1" ht="35.25" customHeight="1" x14ac:dyDescent="0.2">
      <c r="A167" s="76" t="s">
        <v>244</v>
      </c>
      <c r="B167" s="74"/>
      <c r="C167" s="74"/>
      <c r="D167" s="30" t="s">
        <v>53</v>
      </c>
      <c r="E167" s="66">
        <f>E168</f>
        <v>9067800</v>
      </c>
      <c r="F167" s="66">
        <f t="shared" ref="F167:J167" si="87">F168</f>
        <v>9067800</v>
      </c>
      <c r="G167" s="66">
        <f t="shared" si="87"/>
        <v>6950200</v>
      </c>
      <c r="H167" s="66">
        <f t="shared" si="87"/>
        <v>92400</v>
      </c>
      <c r="I167" s="66">
        <f t="shared" si="87"/>
        <v>0</v>
      </c>
      <c r="J167" s="66">
        <f t="shared" si="87"/>
        <v>2696249.54</v>
      </c>
      <c r="K167" s="66">
        <f t="shared" ref="K167" si="88">K168</f>
        <v>0</v>
      </c>
      <c r="L167" s="66">
        <f t="shared" ref="L167" si="89">L168</f>
        <v>2396249.54</v>
      </c>
      <c r="M167" s="66">
        <f t="shared" ref="M167" si="90">M168</f>
        <v>0</v>
      </c>
      <c r="N167" s="66">
        <f t="shared" ref="N167" si="91">N168</f>
        <v>0</v>
      </c>
      <c r="O167" s="66">
        <f t="shared" ref="O167:P167" si="92">O168</f>
        <v>300000</v>
      </c>
      <c r="P167" s="66">
        <f t="shared" si="92"/>
        <v>11764049.539999999</v>
      </c>
      <c r="Q167" s="143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  <c r="IS167" s="38"/>
      <c r="IT167" s="38"/>
      <c r="IU167" s="38"/>
      <c r="IV167" s="38"/>
      <c r="IW167" s="38"/>
      <c r="IX167" s="38"/>
      <c r="IY167" s="38"/>
      <c r="IZ167" s="38"/>
      <c r="JA167" s="38"/>
      <c r="JB167" s="38"/>
      <c r="JC167" s="38"/>
      <c r="JD167" s="38"/>
      <c r="JE167" s="38"/>
      <c r="JF167" s="38"/>
      <c r="JG167" s="38"/>
      <c r="JH167" s="38"/>
      <c r="JI167" s="38"/>
      <c r="JJ167" s="38"/>
      <c r="JK167" s="38"/>
      <c r="JL167" s="38"/>
      <c r="JM167" s="38"/>
      <c r="JN167" s="38"/>
      <c r="JO167" s="38"/>
      <c r="JP167" s="38"/>
      <c r="JQ167" s="38"/>
      <c r="JR167" s="38"/>
      <c r="JS167" s="38"/>
      <c r="JT167" s="38"/>
      <c r="JU167" s="38"/>
      <c r="JV167" s="38"/>
      <c r="JW167" s="38"/>
      <c r="JX167" s="38"/>
      <c r="JY167" s="38"/>
      <c r="JZ167" s="38"/>
      <c r="KA167" s="38"/>
      <c r="KB167" s="38"/>
      <c r="KC167" s="38"/>
      <c r="KD167" s="38"/>
      <c r="KE167" s="38"/>
      <c r="KF167" s="38"/>
      <c r="KG167" s="38"/>
      <c r="KH167" s="38"/>
      <c r="KI167" s="38"/>
      <c r="KJ167" s="38"/>
      <c r="KK167" s="38"/>
      <c r="KL167" s="38"/>
      <c r="KM167" s="38"/>
      <c r="KN167" s="38"/>
      <c r="KO167" s="38"/>
      <c r="KP167" s="38"/>
      <c r="KQ167" s="38"/>
      <c r="KR167" s="38"/>
      <c r="KS167" s="38"/>
      <c r="KT167" s="38"/>
      <c r="KU167" s="38"/>
      <c r="KV167" s="38"/>
      <c r="KW167" s="38"/>
      <c r="KX167" s="38"/>
      <c r="KY167" s="38"/>
      <c r="KZ167" s="38"/>
      <c r="LA167" s="38"/>
      <c r="LB167" s="38"/>
      <c r="LC167" s="38"/>
      <c r="LD167" s="38"/>
      <c r="LE167" s="38"/>
      <c r="LF167" s="38"/>
      <c r="LG167" s="38"/>
      <c r="LH167" s="38"/>
      <c r="LI167" s="38"/>
      <c r="LJ167" s="38"/>
      <c r="LK167" s="38"/>
      <c r="LL167" s="38"/>
      <c r="LM167" s="38"/>
      <c r="LN167" s="38"/>
      <c r="LO167" s="38"/>
      <c r="LP167" s="38"/>
      <c r="LQ167" s="38"/>
      <c r="LR167" s="38"/>
      <c r="LS167" s="38"/>
      <c r="LT167" s="38"/>
      <c r="LU167" s="38"/>
      <c r="LV167" s="38"/>
      <c r="LW167" s="38"/>
      <c r="LX167" s="38"/>
      <c r="LY167" s="38"/>
      <c r="LZ167" s="38"/>
      <c r="MA167" s="38"/>
      <c r="MB167" s="38"/>
      <c r="MC167" s="38"/>
      <c r="MD167" s="38"/>
      <c r="ME167" s="38"/>
      <c r="MF167" s="38"/>
      <c r="MG167" s="38"/>
      <c r="MH167" s="38"/>
      <c r="MI167" s="38"/>
      <c r="MJ167" s="38"/>
      <c r="MK167" s="38"/>
      <c r="ML167" s="38"/>
      <c r="MM167" s="38"/>
      <c r="MN167" s="38"/>
      <c r="MO167" s="38"/>
      <c r="MP167" s="38"/>
      <c r="MQ167" s="38"/>
      <c r="MR167" s="38"/>
      <c r="MS167" s="38"/>
      <c r="MT167" s="38"/>
      <c r="MU167" s="38"/>
      <c r="MV167" s="38"/>
      <c r="MW167" s="38"/>
      <c r="MX167" s="38"/>
      <c r="MY167" s="38"/>
      <c r="MZ167" s="38"/>
      <c r="NA167" s="38"/>
      <c r="NB167" s="38"/>
      <c r="NC167" s="38"/>
      <c r="ND167" s="38"/>
      <c r="NE167" s="38"/>
      <c r="NF167" s="38"/>
      <c r="NG167" s="38"/>
      <c r="NH167" s="38"/>
      <c r="NI167" s="38"/>
      <c r="NJ167" s="38"/>
      <c r="NK167" s="38"/>
      <c r="NL167" s="38"/>
      <c r="NM167" s="38"/>
      <c r="NN167" s="38"/>
      <c r="NO167" s="38"/>
      <c r="NP167" s="38"/>
      <c r="NQ167" s="38"/>
      <c r="NR167" s="38"/>
      <c r="NS167" s="38"/>
      <c r="NT167" s="38"/>
      <c r="NU167" s="38"/>
      <c r="NV167" s="38"/>
      <c r="NW167" s="38"/>
      <c r="NX167" s="38"/>
      <c r="NY167" s="38"/>
      <c r="NZ167" s="38"/>
      <c r="OA167" s="38"/>
      <c r="OB167" s="38"/>
      <c r="OC167" s="38"/>
      <c r="OD167" s="38"/>
      <c r="OE167" s="38"/>
      <c r="OF167" s="38"/>
      <c r="OG167" s="38"/>
      <c r="OH167" s="38"/>
      <c r="OI167" s="38"/>
      <c r="OJ167" s="38"/>
      <c r="OK167" s="38"/>
      <c r="OL167" s="38"/>
      <c r="OM167" s="38"/>
      <c r="ON167" s="38"/>
      <c r="OO167" s="38"/>
      <c r="OP167" s="38"/>
      <c r="OQ167" s="38"/>
      <c r="OR167" s="38"/>
      <c r="OS167" s="38"/>
      <c r="OT167" s="38"/>
      <c r="OU167" s="38"/>
      <c r="OV167" s="38"/>
      <c r="OW167" s="38"/>
      <c r="OX167" s="38"/>
      <c r="OY167" s="38"/>
      <c r="OZ167" s="38"/>
      <c r="PA167" s="38"/>
      <c r="PB167" s="38"/>
      <c r="PC167" s="38"/>
      <c r="PD167" s="38"/>
      <c r="PE167" s="38"/>
      <c r="PF167" s="38"/>
      <c r="PG167" s="38"/>
      <c r="PH167" s="38"/>
      <c r="PI167" s="38"/>
      <c r="PJ167" s="38"/>
      <c r="PK167" s="38"/>
      <c r="PL167" s="38"/>
      <c r="PM167" s="38"/>
      <c r="PN167" s="38"/>
      <c r="PO167" s="38"/>
      <c r="PP167" s="38"/>
      <c r="PQ167" s="38"/>
      <c r="PR167" s="38"/>
      <c r="PS167" s="38"/>
      <c r="PT167" s="38"/>
      <c r="PU167" s="38"/>
      <c r="PV167" s="38"/>
      <c r="PW167" s="38"/>
      <c r="PX167" s="38"/>
      <c r="PY167" s="38"/>
      <c r="PZ167" s="38"/>
      <c r="QA167" s="38"/>
      <c r="QB167" s="38"/>
      <c r="QC167" s="38"/>
      <c r="QD167" s="38"/>
      <c r="QE167" s="38"/>
      <c r="QF167" s="38"/>
      <c r="QG167" s="38"/>
      <c r="QH167" s="38"/>
      <c r="QI167" s="38"/>
      <c r="QJ167" s="38"/>
      <c r="QK167" s="38"/>
      <c r="QL167" s="38"/>
      <c r="QM167" s="38"/>
      <c r="QN167" s="38"/>
      <c r="QO167" s="38"/>
      <c r="QP167" s="38"/>
      <c r="QQ167" s="38"/>
      <c r="QR167" s="38"/>
      <c r="QS167" s="38"/>
      <c r="QT167" s="38"/>
      <c r="QU167" s="38"/>
      <c r="QV167" s="38"/>
      <c r="QW167" s="38"/>
      <c r="QX167" s="38"/>
      <c r="QY167" s="38"/>
      <c r="QZ167" s="38"/>
      <c r="RA167" s="38"/>
      <c r="RB167" s="38"/>
      <c r="RC167" s="38"/>
      <c r="RD167" s="38"/>
      <c r="RE167" s="38"/>
      <c r="RF167" s="38"/>
      <c r="RG167" s="38"/>
      <c r="RH167" s="38"/>
      <c r="RI167" s="38"/>
      <c r="RJ167" s="38"/>
      <c r="RK167" s="38"/>
      <c r="RL167" s="38"/>
      <c r="RM167" s="38"/>
      <c r="RN167" s="38"/>
      <c r="RO167" s="38"/>
      <c r="RP167" s="38"/>
      <c r="RQ167" s="38"/>
      <c r="RR167" s="38"/>
      <c r="RS167" s="38"/>
      <c r="RT167" s="38"/>
      <c r="RU167" s="38"/>
      <c r="RV167" s="38"/>
      <c r="RW167" s="38"/>
      <c r="RX167" s="38"/>
      <c r="RY167" s="38"/>
      <c r="RZ167" s="38"/>
      <c r="SA167" s="38"/>
      <c r="SB167" s="38"/>
      <c r="SC167" s="38"/>
      <c r="SD167" s="38"/>
      <c r="SE167" s="38"/>
      <c r="SF167" s="38"/>
      <c r="SG167" s="38"/>
      <c r="SH167" s="38"/>
      <c r="SI167" s="38"/>
      <c r="SJ167" s="38"/>
      <c r="SK167" s="38"/>
      <c r="SL167" s="38"/>
      <c r="SM167" s="38"/>
      <c r="SN167" s="38"/>
      <c r="SO167" s="38"/>
      <c r="SP167" s="38"/>
      <c r="SQ167" s="38"/>
      <c r="SR167" s="38"/>
      <c r="SS167" s="38"/>
      <c r="ST167" s="38"/>
      <c r="SU167" s="38"/>
      <c r="SV167" s="38"/>
      <c r="SW167" s="38"/>
      <c r="SX167" s="38"/>
      <c r="SY167" s="38"/>
      <c r="SZ167" s="38"/>
      <c r="TA167" s="38"/>
      <c r="TB167" s="38"/>
      <c r="TC167" s="38"/>
      <c r="TD167" s="38"/>
      <c r="TE167" s="38"/>
      <c r="TF167" s="38"/>
      <c r="TG167" s="38"/>
      <c r="TH167" s="38"/>
      <c r="TI167" s="38"/>
      <c r="TJ167" s="38"/>
    </row>
    <row r="168" spans="1:530" s="40" customFormat="1" ht="41.25" customHeight="1" x14ac:dyDescent="0.25">
      <c r="A168" s="77" t="s">
        <v>245</v>
      </c>
      <c r="B168" s="75"/>
      <c r="C168" s="75"/>
      <c r="D168" s="33" t="s">
        <v>53</v>
      </c>
      <c r="E168" s="68">
        <f>E169+E170+E171</f>
        <v>9067800</v>
      </c>
      <c r="F168" s="68">
        <f t="shared" ref="F168:P168" si="93">F169+F170+F171</f>
        <v>9067800</v>
      </c>
      <c r="G168" s="68">
        <f t="shared" si="93"/>
        <v>6950200</v>
      </c>
      <c r="H168" s="68">
        <f t="shared" si="93"/>
        <v>92400</v>
      </c>
      <c r="I168" s="68">
        <f t="shared" si="93"/>
        <v>0</v>
      </c>
      <c r="J168" s="68">
        <f t="shared" si="93"/>
        <v>2696249.54</v>
      </c>
      <c r="K168" s="68">
        <f t="shared" si="93"/>
        <v>0</v>
      </c>
      <c r="L168" s="68">
        <f>L169+L170+L171</f>
        <v>2396249.54</v>
      </c>
      <c r="M168" s="68">
        <f t="shared" si="93"/>
        <v>0</v>
      </c>
      <c r="N168" s="68">
        <f t="shared" si="93"/>
        <v>0</v>
      </c>
      <c r="O168" s="68">
        <f t="shared" si="93"/>
        <v>300000</v>
      </c>
      <c r="P168" s="68">
        <f t="shared" si="93"/>
        <v>11764049.539999999</v>
      </c>
      <c r="Q168" s="143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  <c r="IW168" s="39"/>
      <c r="IX168" s="39"/>
      <c r="IY168" s="39"/>
      <c r="IZ168" s="39"/>
      <c r="JA168" s="39"/>
      <c r="JB168" s="39"/>
      <c r="JC168" s="39"/>
      <c r="JD168" s="39"/>
      <c r="JE168" s="39"/>
      <c r="JF168" s="39"/>
      <c r="JG168" s="39"/>
      <c r="JH168" s="39"/>
      <c r="JI168" s="39"/>
      <c r="JJ168" s="39"/>
      <c r="JK168" s="39"/>
      <c r="JL168" s="39"/>
      <c r="JM168" s="39"/>
      <c r="JN168" s="39"/>
      <c r="JO168" s="39"/>
      <c r="JP168" s="39"/>
      <c r="JQ168" s="39"/>
      <c r="JR168" s="39"/>
      <c r="JS168" s="39"/>
      <c r="JT168" s="39"/>
      <c r="JU168" s="39"/>
      <c r="JV168" s="39"/>
      <c r="JW168" s="39"/>
      <c r="JX168" s="39"/>
      <c r="JY168" s="39"/>
      <c r="JZ168" s="39"/>
      <c r="KA168" s="39"/>
      <c r="KB168" s="39"/>
      <c r="KC168" s="39"/>
      <c r="KD168" s="39"/>
      <c r="KE168" s="39"/>
      <c r="KF168" s="39"/>
      <c r="KG168" s="39"/>
      <c r="KH168" s="39"/>
      <c r="KI168" s="39"/>
      <c r="KJ168" s="39"/>
      <c r="KK168" s="39"/>
      <c r="KL168" s="39"/>
      <c r="KM168" s="39"/>
      <c r="KN168" s="39"/>
      <c r="KO168" s="39"/>
      <c r="KP168" s="39"/>
      <c r="KQ168" s="39"/>
      <c r="KR168" s="39"/>
      <c r="KS168" s="39"/>
      <c r="KT168" s="39"/>
      <c r="KU168" s="39"/>
      <c r="KV168" s="39"/>
      <c r="KW168" s="39"/>
      <c r="KX168" s="39"/>
      <c r="KY168" s="39"/>
      <c r="KZ168" s="39"/>
      <c r="LA168" s="39"/>
      <c r="LB168" s="39"/>
      <c r="LC168" s="39"/>
      <c r="LD168" s="39"/>
      <c r="LE168" s="39"/>
      <c r="LF168" s="39"/>
      <c r="LG168" s="39"/>
      <c r="LH168" s="39"/>
      <c r="LI168" s="39"/>
      <c r="LJ168" s="39"/>
      <c r="LK168" s="39"/>
      <c r="LL168" s="39"/>
      <c r="LM168" s="39"/>
      <c r="LN168" s="39"/>
      <c r="LO168" s="39"/>
      <c r="LP168" s="39"/>
      <c r="LQ168" s="39"/>
      <c r="LR168" s="39"/>
      <c r="LS168" s="39"/>
      <c r="LT168" s="39"/>
      <c r="LU168" s="39"/>
      <c r="LV168" s="39"/>
      <c r="LW168" s="39"/>
      <c r="LX168" s="39"/>
      <c r="LY168" s="39"/>
      <c r="LZ168" s="39"/>
      <c r="MA168" s="39"/>
      <c r="MB168" s="39"/>
      <c r="MC168" s="39"/>
      <c r="MD168" s="39"/>
      <c r="ME168" s="39"/>
      <c r="MF168" s="39"/>
      <c r="MG168" s="39"/>
      <c r="MH168" s="39"/>
      <c r="MI168" s="39"/>
      <c r="MJ168" s="39"/>
      <c r="MK168" s="39"/>
      <c r="ML168" s="39"/>
      <c r="MM168" s="39"/>
      <c r="MN168" s="39"/>
      <c r="MO168" s="39"/>
      <c r="MP168" s="39"/>
      <c r="MQ168" s="39"/>
      <c r="MR168" s="39"/>
      <c r="MS168" s="39"/>
      <c r="MT168" s="39"/>
      <c r="MU168" s="39"/>
      <c r="MV168" s="39"/>
      <c r="MW168" s="39"/>
      <c r="MX168" s="39"/>
      <c r="MY168" s="39"/>
      <c r="MZ168" s="39"/>
      <c r="NA168" s="39"/>
      <c r="NB168" s="39"/>
      <c r="NC168" s="39"/>
      <c r="ND168" s="39"/>
      <c r="NE168" s="39"/>
      <c r="NF168" s="39"/>
      <c r="NG168" s="39"/>
      <c r="NH168" s="39"/>
      <c r="NI168" s="39"/>
      <c r="NJ168" s="39"/>
      <c r="NK168" s="39"/>
      <c r="NL168" s="39"/>
      <c r="NM168" s="39"/>
      <c r="NN168" s="39"/>
      <c r="NO168" s="39"/>
      <c r="NP168" s="39"/>
      <c r="NQ168" s="39"/>
      <c r="NR168" s="39"/>
      <c r="NS168" s="39"/>
      <c r="NT168" s="39"/>
      <c r="NU168" s="39"/>
      <c r="NV168" s="39"/>
      <c r="NW168" s="39"/>
      <c r="NX168" s="39"/>
      <c r="NY168" s="39"/>
      <c r="NZ168" s="39"/>
      <c r="OA168" s="39"/>
      <c r="OB168" s="39"/>
      <c r="OC168" s="39"/>
      <c r="OD168" s="39"/>
      <c r="OE168" s="39"/>
      <c r="OF168" s="39"/>
      <c r="OG168" s="39"/>
      <c r="OH168" s="39"/>
      <c r="OI168" s="39"/>
      <c r="OJ168" s="39"/>
      <c r="OK168" s="39"/>
      <c r="OL168" s="39"/>
      <c r="OM168" s="39"/>
      <c r="ON168" s="39"/>
      <c r="OO168" s="39"/>
      <c r="OP168" s="39"/>
      <c r="OQ168" s="39"/>
      <c r="OR168" s="39"/>
      <c r="OS168" s="39"/>
      <c r="OT168" s="39"/>
      <c r="OU168" s="39"/>
      <c r="OV168" s="39"/>
      <c r="OW168" s="39"/>
      <c r="OX168" s="39"/>
      <c r="OY168" s="39"/>
      <c r="OZ168" s="39"/>
      <c r="PA168" s="39"/>
      <c r="PB168" s="39"/>
      <c r="PC168" s="39"/>
      <c r="PD168" s="39"/>
      <c r="PE168" s="39"/>
      <c r="PF168" s="39"/>
      <c r="PG168" s="39"/>
      <c r="PH168" s="39"/>
      <c r="PI168" s="39"/>
      <c r="PJ168" s="39"/>
      <c r="PK168" s="39"/>
      <c r="PL168" s="39"/>
      <c r="PM168" s="39"/>
      <c r="PN168" s="39"/>
      <c r="PO168" s="39"/>
      <c r="PP168" s="39"/>
      <c r="PQ168" s="39"/>
      <c r="PR168" s="39"/>
      <c r="PS168" s="39"/>
      <c r="PT168" s="39"/>
      <c r="PU168" s="39"/>
      <c r="PV168" s="39"/>
      <c r="PW168" s="39"/>
      <c r="PX168" s="39"/>
      <c r="PY168" s="39"/>
      <c r="PZ168" s="39"/>
      <c r="QA168" s="39"/>
      <c r="QB168" s="39"/>
      <c r="QC168" s="39"/>
      <c r="QD168" s="39"/>
      <c r="QE168" s="39"/>
      <c r="QF168" s="39"/>
      <c r="QG168" s="39"/>
      <c r="QH168" s="39"/>
      <c r="QI168" s="39"/>
      <c r="QJ168" s="39"/>
      <c r="QK168" s="39"/>
      <c r="QL168" s="39"/>
      <c r="QM168" s="39"/>
      <c r="QN168" s="39"/>
      <c r="QO168" s="39"/>
      <c r="QP168" s="39"/>
      <c r="QQ168" s="39"/>
      <c r="QR168" s="39"/>
      <c r="QS168" s="39"/>
      <c r="QT168" s="39"/>
      <c r="QU168" s="39"/>
      <c r="QV168" s="39"/>
      <c r="QW168" s="39"/>
      <c r="QX168" s="39"/>
      <c r="QY168" s="39"/>
      <c r="QZ168" s="39"/>
      <c r="RA168" s="39"/>
      <c r="RB168" s="39"/>
      <c r="RC168" s="39"/>
      <c r="RD168" s="39"/>
      <c r="RE168" s="39"/>
      <c r="RF168" s="39"/>
      <c r="RG168" s="39"/>
      <c r="RH168" s="39"/>
      <c r="RI168" s="39"/>
      <c r="RJ168" s="39"/>
      <c r="RK168" s="39"/>
      <c r="RL168" s="39"/>
      <c r="RM168" s="39"/>
      <c r="RN168" s="39"/>
      <c r="RO168" s="39"/>
      <c r="RP168" s="39"/>
      <c r="RQ168" s="39"/>
      <c r="RR168" s="39"/>
      <c r="RS168" s="39"/>
      <c r="RT168" s="39"/>
      <c r="RU168" s="39"/>
      <c r="RV168" s="39"/>
      <c r="RW168" s="39"/>
      <c r="RX168" s="39"/>
      <c r="RY168" s="39"/>
      <c r="RZ168" s="39"/>
      <c r="SA168" s="39"/>
      <c r="SB168" s="39"/>
      <c r="SC168" s="39"/>
      <c r="SD168" s="39"/>
      <c r="SE168" s="39"/>
      <c r="SF168" s="39"/>
      <c r="SG168" s="39"/>
      <c r="SH168" s="39"/>
      <c r="SI168" s="39"/>
      <c r="SJ168" s="39"/>
      <c r="SK168" s="39"/>
      <c r="SL168" s="39"/>
      <c r="SM168" s="39"/>
      <c r="SN168" s="39"/>
      <c r="SO168" s="39"/>
      <c r="SP168" s="39"/>
      <c r="SQ168" s="39"/>
      <c r="SR168" s="39"/>
      <c r="SS168" s="39"/>
      <c r="ST168" s="39"/>
      <c r="SU168" s="39"/>
      <c r="SV168" s="39"/>
      <c r="SW168" s="39"/>
      <c r="SX168" s="39"/>
      <c r="SY168" s="39"/>
      <c r="SZ168" s="39"/>
      <c r="TA168" s="39"/>
      <c r="TB168" s="39"/>
      <c r="TC168" s="39"/>
      <c r="TD168" s="39"/>
      <c r="TE168" s="39"/>
      <c r="TF168" s="39"/>
      <c r="TG168" s="39"/>
      <c r="TH168" s="39"/>
      <c r="TI168" s="39"/>
      <c r="TJ168" s="39"/>
    </row>
    <row r="169" spans="1:530" s="23" customFormat="1" ht="45" customHeight="1" x14ac:dyDescent="0.25">
      <c r="A169" s="43" t="s">
        <v>246</v>
      </c>
      <c r="B169" s="44" t="str">
        <f>'дод 4'!A14</f>
        <v>0160</v>
      </c>
      <c r="C169" s="44" t="str">
        <f>'дод 4'!B14</f>
        <v>0111</v>
      </c>
      <c r="D169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69" s="69">
        <f>F169+I169</f>
        <v>8892800</v>
      </c>
      <c r="F169" s="69">
        <f>8936200+12100+288619-394119+50000</f>
        <v>8892800</v>
      </c>
      <c r="G169" s="69">
        <f>7036700+236573-323073</f>
        <v>6950200</v>
      </c>
      <c r="H169" s="69">
        <v>92400</v>
      </c>
      <c r="I169" s="69"/>
      <c r="J169" s="69">
        <f t="shared" si="84"/>
        <v>0</v>
      </c>
      <c r="K169" s="69"/>
      <c r="L169" s="69"/>
      <c r="M169" s="69"/>
      <c r="N169" s="69"/>
      <c r="O169" s="69"/>
      <c r="P169" s="69">
        <f>E169+J169</f>
        <v>8892800</v>
      </c>
      <c r="Q169" s="143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  <c r="TJ169" s="26"/>
    </row>
    <row r="170" spans="1:530" s="23" customFormat="1" ht="34.5" customHeight="1" x14ac:dyDescent="0.25">
      <c r="A170" s="43" t="s">
        <v>363</v>
      </c>
      <c r="B170" s="44" t="str">
        <f>'дод 4'!A90</f>
        <v>6090</v>
      </c>
      <c r="C170" s="44" t="str">
        <f>'дод 4'!B90</f>
        <v>0640</v>
      </c>
      <c r="D170" s="24" t="str">
        <f>'дод 4'!C90</f>
        <v>Інша діяльність у сфері житлово-комунального господарства</v>
      </c>
      <c r="E170" s="69">
        <f>F170+I170</f>
        <v>175000</v>
      </c>
      <c r="F170" s="69">
        <v>175000</v>
      </c>
      <c r="G170" s="69"/>
      <c r="H170" s="69"/>
      <c r="I170" s="69"/>
      <c r="J170" s="69">
        <f t="shared" si="84"/>
        <v>0</v>
      </c>
      <c r="K170" s="69"/>
      <c r="L170" s="69"/>
      <c r="M170" s="69"/>
      <c r="N170" s="69"/>
      <c r="O170" s="69"/>
      <c r="P170" s="69">
        <f>E170+J170</f>
        <v>175000</v>
      </c>
      <c r="Q170" s="143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  <c r="TJ170" s="26"/>
    </row>
    <row r="171" spans="1:530" s="23" customFormat="1" ht="87.75" customHeight="1" x14ac:dyDescent="0.25">
      <c r="A171" s="52" t="s">
        <v>349</v>
      </c>
      <c r="B171" s="45" t="str">
        <f>'дод 4'!A118</f>
        <v>7691</v>
      </c>
      <c r="C171" s="45" t="str">
        <f>'дод 4'!B118</f>
        <v>0490</v>
      </c>
      <c r="D171" s="22" t="str">
        <f>'дод 4'!C118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171" s="69">
        <f>F171+I171</f>
        <v>0</v>
      </c>
      <c r="F171" s="69"/>
      <c r="G171" s="69"/>
      <c r="H171" s="69"/>
      <c r="I171" s="69"/>
      <c r="J171" s="69">
        <f t="shared" si="84"/>
        <v>2696249.54</v>
      </c>
      <c r="K171" s="69"/>
      <c r="L171" s="69">
        <f>1321371+1074878.54</f>
        <v>2396249.54</v>
      </c>
      <c r="M171" s="69"/>
      <c r="N171" s="69"/>
      <c r="O171" s="69">
        <v>300000</v>
      </c>
      <c r="P171" s="69">
        <f>E171+J171</f>
        <v>2696249.54</v>
      </c>
      <c r="Q171" s="143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  <c r="LD171" s="26"/>
      <c r="LE171" s="26"/>
      <c r="LF171" s="26"/>
      <c r="LG171" s="26"/>
      <c r="LH171" s="26"/>
      <c r="LI171" s="26"/>
      <c r="LJ171" s="26"/>
      <c r="LK171" s="26"/>
      <c r="LL171" s="26"/>
      <c r="LM171" s="26"/>
      <c r="LN171" s="26"/>
      <c r="LO171" s="26"/>
      <c r="LP171" s="26"/>
      <c r="LQ171" s="26"/>
      <c r="LR171" s="26"/>
      <c r="LS171" s="26"/>
      <c r="LT171" s="26"/>
      <c r="LU171" s="26"/>
      <c r="LV171" s="26"/>
      <c r="LW171" s="26"/>
      <c r="LX171" s="26"/>
      <c r="LY171" s="26"/>
      <c r="LZ171" s="26"/>
      <c r="MA171" s="26"/>
      <c r="MB171" s="26"/>
      <c r="MC171" s="26"/>
      <c r="MD171" s="26"/>
      <c r="ME171" s="26"/>
      <c r="MF171" s="26"/>
      <c r="MG171" s="26"/>
      <c r="MH171" s="26"/>
      <c r="MI171" s="26"/>
      <c r="MJ171" s="26"/>
      <c r="MK171" s="26"/>
      <c r="ML171" s="26"/>
      <c r="MM171" s="26"/>
      <c r="MN171" s="26"/>
      <c r="MO171" s="26"/>
      <c r="MP171" s="26"/>
      <c r="MQ171" s="26"/>
      <c r="MR171" s="26"/>
      <c r="MS171" s="26"/>
      <c r="MT171" s="26"/>
      <c r="MU171" s="26"/>
      <c r="MV171" s="26"/>
      <c r="MW171" s="26"/>
      <c r="MX171" s="26"/>
      <c r="MY171" s="26"/>
      <c r="MZ171" s="26"/>
      <c r="NA171" s="26"/>
      <c r="NB171" s="26"/>
      <c r="NC171" s="26"/>
      <c r="ND171" s="26"/>
      <c r="NE171" s="26"/>
      <c r="NF171" s="26"/>
      <c r="NG171" s="26"/>
      <c r="NH171" s="26"/>
      <c r="NI171" s="26"/>
      <c r="NJ171" s="26"/>
      <c r="NK171" s="26"/>
      <c r="NL171" s="26"/>
      <c r="NM171" s="26"/>
      <c r="NN171" s="26"/>
      <c r="NO171" s="26"/>
      <c r="NP171" s="26"/>
      <c r="NQ171" s="26"/>
      <c r="NR171" s="26"/>
      <c r="NS171" s="26"/>
      <c r="NT171" s="26"/>
      <c r="NU171" s="26"/>
      <c r="NV171" s="26"/>
      <c r="NW171" s="26"/>
      <c r="NX171" s="26"/>
      <c r="NY171" s="26"/>
      <c r="NZ171" s="26"/>
      <c r="OA171" s="26"/>
      <c r="OB171" s="26"/>
      <c r="OC171" s="26"/>
      <c r="OD171" s="26"/>
      <c r="OE171" s="26"/>
      <c r="OF171" s="26"/>
      <c r="OG171" s="26"/>
      <c r="OH171" s="26"/>
      <c r="OI171" s="26"/>
      <c r="OJ171" s="26"/>
      <c r="OK171" s="26"/>
      <c r="OL171" s="26"/>
      <c r="OM171" s="26"/>
      <c r="ON171" s="26"/>
      <c r="OO171" s="26"/>
      <c r="OP171" s="26"/>
      <c r="OQ171" s="26"/>
      <c r="OR171" s="26"/>
      <c r="OS171" s="26"/>
      <c r="OT171" s="26"/>
      <c r="OU171" s="26"/>
      <c r="OV171" s="26"/>
      <c r="OW171" s="26"/>
      <c r="OX171" s="26"/>
      <c r="OY171" s="26"/>
      <c r="OZ171" s="26"/>
      <c r="PA171" s="26"/>
      <c r="PB171" s="26"/>
      <c r="PC171" s="26"/>
      <c r="PD171" s="26"/>
      <c r="PE171" s="26"/>
      <c r="PF171" s="26"/>
      <c r="PG171" s="26"/>
      <c r="PH171" s="26"/>
      <c r="PI171" s="26"/>
      <c r="PJ171" s="26"/>
      <c r="PK171" s="26"/>
      <c r="PL171" s="26"/>
      <c r="PM171" s="26"/>
      <c r="PN171" s="26"/>
      <c r="PO171" s="26"/>
      <c r="PP171" s="26"/>
      <c r="PQ171" s="26"/>
      <c r="PR171" s="26"/>
      <c r="PS171" s="26"/>
      <c r="PT171" s="26"/>
      <c r="PU171" s="26"/>
      <c r="PV171" s="26"/>
      <c r="PW171" s="26"/>
      <c r="PX171" s="26"/>
      <c r="PY171" s="26"/>
      <c r="PZ171" s="26"/>
      <c r="QA171" s="26"/>
      <c r="QB171" s="26"/>
      <c r="QC171" s="26"/>
      <c r="QD171" s="26"/>
      <c r="QE171" s="26"/>
      <c r="QF171" s="26"/>
      <c r="QG171" s="26"/>
      <c r="QH171" s="26"/>
      <c r="QI171" s="26"/>
      <c r="QJ171" s="26"/>
      <c r="QK171" s="26"/>
      <c r="QL171" s="26"/>
      <c r="QM171" s="26"/>
      <c r="QN171" s="26"/>
      <c r="QO171" s="26"/>
      <c r="QP171" s="26"/>
      <c r="QQ171" s="26"/>
      <c r="QR171" s="26"/>
      <c r="QS171" s="26"/>
      <c r="QT171" s="26"/>
      <c r="QU171" s="26"/>
      <c r="QV171" s="26"/>
      <c r="QW171" s="26"/>
      <c r="QX171" s="26"/>
      <c r="QY171" s="26"/>
      <c r="QZ171" s="26"/>
      <c r="RA171" s="26"/>
      <c r="RB171" s="26"/>
      <c r="RC171" s="26"/>
      <c r="RD171" s="26"/>
      <c r="RE171" s="26"/>
      <c r="RF171" s="26"/>
      <c r="RG171" s="26"/>
      <c r="RH171" s="26"/>
      <c r="RI171" s="26"/>
      <c r="RJ171" s="26"/>
      <c r="RK171" s="26"/>
      <c r="RL171" s="26"/>
      <c r="RM171" s="26"/>
      <c r="RN171" s="26"/>
      <c r="RO171" s="26"/>
      <c r="RP171" s="26"/>
      <c r="RQ171" s="26"/>
      <c r="RR171" s="26"/>
      <c r="RS171" s="26"/>
      <c r="RT171" s="26"/>
      <c r="RU171" s="26"/>
      <c r="RV171" s="26"/>
      <c r="RW171" s="26"/>
      <c r="RX171" s="26"/>
      <c r="RY171" s="26"/>
      <c r="RZ171" s="26"/>
      <c r="SA171" s="26"/>
      <c r="SB171" s="26"/>
      <c r="SC171" s="26"/>
      <c r="SD171" s="26"/>
      <c r="SE171" s="26"/>
      <c r="SF171" s="26"/>
      <c r="SG171" s="26"/>
      <c r="SH171" s="26"/>
      <c r="SI171" s="26"/>
      <c r="SJ171" s="26"/>
      <c r="SK171" s="26"/>
      <c r="SL171" s="26"/>
      <c r="SM171" s="26"/>
      <c r="SN171" s="26"/>
      <c r="SO171" s="26"/>
      <c r="SP171" s="26"/>
      <c r="SQ171" s="26"/>
      <c r="SR171" s="26"/>
      <c r="SS171" s="26"/>
      <c r="ST171" s="26"/>
      <c r="SU171" s="26"/>
      <c r="SV171" s="26"/>
      <c r="SW171" s="26"/>
      <c r="SX171" s="26"/>
      <c r="SY171" s="26"/>
      <c r="SZ171" s="26"/>
      <c r="TA171" s="26"/>
      <c r="TB171" s="26"/>
      <c r="TC171" s="26"/>
      <c r="TD171" s="26"/>
      <c r="TE171" s="26"/>
      <c r="TF171" s="26"/>
      <c r="TG171" s="26"/>
      <c r="TH171" s="26"/>
      <c r="TI171" s="26"/>
      <c r="TJ171" s="26"/>
    </row>
    <row r="172" spans="1:530" s="31" customFormat="1" ht="36.75" customHeight="1" x14ac:dyDescent="0.2">
      <c r="A172" s="76" t="s">
        <v>249</v>
      </c>
      <c r="B172" s="74"/>
      <c r="C172" s="74"/>
      <c r="D172" s="30" t="s">
        <v>56</v>
      </c>
      <c r="E172" s="66">
        <f>E173</f>
        <v>4531018</v>
      </c>
      <c r="F172" s="66">
        <f t="shared" ref="F172:J173" si="94">F173</f>
        <v>4531018</v>
      </c>
      <c r="G172" s="66">
        <f t="shared" si="94"/>
        <v>3516425</v>
      </c>
      <c r="H172" s="66">
        <f t="shared" si="94"/>
        <v>52700</v>
      </c>
      <c r="I172" s="66">
        <f t="shared" si="94"/>
        <v>0</v>
      </c>
      <c r="J172" s="66">
        <f t="shared" si="94"/>
        <v>0</v>
      </c>
      <c r="K172" s="66">
        <f t="shared" ref="K172:K173" si="95">K173</f>
        <v>0</v>
      </c>
      <c r="L172" s="66">
        <f t="shared" ref="L172:L173" si="96">L173</f>
        <v>0</v>
      </c>
      <c r="M172" s="66">
        <f t="shared" ref="M172:M173" si="97">M173</f>
        <v>0</v>
      </c>
      <c r="N172" s="66">
        <f t="shared" ref="N172:N173" si="98">N173</f>
        <v>0</v>
      </c>
      <c r="O172" s="66">
        <f t="shared" ref="O172:P173" si="99">O173</f>
        <v>0</v>
      </c>
      <c r="P172" s="66">
        <f t="shared" si="99"/>
        <v>4531018</v>
      </c>
      <c r="Q172" s="143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  <c r="IW172" s="38"/>
      <c r="IX172" s="38"/>
      <c r="IY172" s="38"/>
      <c r="IZ172" s="38"/>
      <c r="JA172" s="38"/>
      <c r="JB172" s="38"/>
      <c r="JC172" s="38"/>
      <c r="JD172" s="38"/>
      <c r="JE172" s="38"/>
      <c r="JF172" s="38"/>
      <c r="JG172" s="38"/>
      <c r="JH172" s="38"/>
      <c r="JI172" s="38"/>
      <c r="JJ172" s="38"/>
      <c r="JK172" s="38"/>
      <c r="JL172" s="38"/>
      <c r="JM172" s="38"/>
      <c r="JN172" s="38"/>
      <c r="JO172" s="38"/>
      <c r="JP172" s="38"/>
      <c r="JQ172" s="38"/>
      <c r="JR172" s="38"/>
      <c r="JS172" s="38"/>
      <c r="JT172" s="38"/>
      <c r="JU172" s="38"/>
      <c r="JV172" s="38"/>
      <c r="JW172" s="38"/>
      <c r="JX172" s="38"/>
      <c r="JY172" s="38"/>
      <c r="JZ172" s="38"/>
      <c r="KA172" s="38"/>
      <c r="KB172" s="38"/>
      <c r="KC172" s="38"/>
      <c r="KD172" s="38"/>
      <c r="KE172" s="38"/>
      <c r="KF172" s="38"/>
      <c r="KG172" s="38"/>
      <c r="KH172" s="38"/>
      <c r="KI172" s="38"/>
      <c r="KJ172" s="38"/>
      <c r="KK172" s="38"/>
      <c r="KL172" s="38"/>
      <c r="KM172" s="38"/>
      <c r="KN172" s="38"/>
      <c r="KO172" s="38"/>
      <c r="KP172" s="38"/>
      <c r="KQ172" s="38"/>
      <c r="KR172" s="38"/>
      <c r="KS172" s="38"/>
      <c r="KT172" s="38"/>
      <c r="KU172" s="38"/>
      <c r="KV172" s="38"/>
      <c r="KW172" s="38"/>
      <c r="KX172" s="38"/>
      <c r="KY172" s="38"/>
      <c r="KZ172" s="38"/>
      <c r="LA172" s="38"/>
      <c r="LB172" s="38"/>
      <c r="LC172" s="38"/>
      <c r="LD172" s="38"/>
      <c r="LE172" s="38"/>
      <c r="LF172" s="38"/>
      <c r="LG172" s="38"/>
      <c r="LH172" s="38"/>
      <c r="LI172" s="38"/>
      <c r="LJ172" s="38"/>
      <c r="LK172" s="38"/>
      <c r="LL172" s="38"/>
      <c r="LM172" s="38"/>
      <c r="LN172" s="38"/>
      <c r="LO172" s="38"/>
      <c r="LP172" s="38"/>
      <c r="LQ172" s="38"/>
      <c r="LR172" s="38"/>
      <c r="LS172" s="38"/>
      <c r="LT172" s="38"/>
      <c r="LU172" s="38"/>
      <c r="LV172" s="38"/>
      <c r="LW172" s="38"/>
      <c r="LX172" s="38"/>
      <c r="LY172" s="38"/>
      <c r="LZ172" s="38"/>
      <c r="MA172" s="38"/>
      <c r="MB172" s="38"/>
      <c r="MC172" s="38"/>
      <c r="MD172" s="38"/>
      <c r="ME172" s="38"/>
      <c r="MF172" s="38"/>
      <c r="MG172" s="38"/>
      <c r="MH172" s="38"/>
      <c r="MI172" s="38"/>
      <c r="MJ172" s="38"/>
      <c r="MK172" s="38"/>
      <c r="ML172" s="38"/>
      <c r="MM172" s="38"/>
      <c r="MN172" s="38"/>
      <c r="MO172" s="38"/>
      <c r="MP172" s="38"/>
      <c r="MQ172" s="38"/>
      <c r="MR172" s="38"/>
      <c r="MS172" s="38"/>
      <c r="MT172" s="38"/>
      <c r="MU172" s="38"/>
      <c r="MV172" s="38"/>
      <c r="MW172" s="38"/>
      <c r="MX172" s="38"/>
      <c r="MY172" s="38"/>
      <c r="MZ172" s="38"/>
      <c r="NA172" s="38"/>
      <c r="NB172" s="38"/>
      <c r="NC172" s="38"/>
      <c r="ND172" s="38"/>
      <c r="NE172" s="38"/>
      <c r="NF172" s="38"/>
      <c r="NG172" s="38"/>
      <c r="NH172" s="38"/>
      <c r="NI172" s="38"/>
      <c r="NJ172" s="38"/>
      <c r="NK172" s="38"/>
      <c r="NL172" s="38"/>
      <c r="NM172" s="38"/>
      <c r="NN172" s="38"/>
      <c r="NO172" s="38"/>
      <c r="NP172" s="38"/>
      <c r="NQ172" s="38"/>
      <c r="NR172" s="38"/>
      <c r="NS172" s="38"/>
      <c r="NT172" s="38"/>
      <c r="NU172" s="38"/>
      <c r="NV172" s="38"/>
      <c r="NW172" s="38"/>
      <c r="NX172" s="38"/>
      <c r="NY172" s="38"/>
      <c r="NZ172" s="38"/>
      <c r="OA172" s="38"/>
      <c r="OB172" s="38"/>
      <c r="OC172" s="38"/>
      <c r="OD172" s="38"/>
      <c r="OE172" s="38"/>
      <c r="OF172" s="38"/>
      <c r="OG172" s="38"/>
      <c r="OH172" s="38"/>
      <c r="OI172" s="38"/>
      <c r="OJ172" s="38"/>
      <c r="OK172" s="38"/>
      <c r="OL172" s="38"/>
      <c r="OM172" s="38"/>
      <c r="ON172" s="38"/>
      <c r="OO172" s="38"/>
      <c r="OP172" s="38"/>
      <c r="OQ172" s="38"/>
      <c r="OR172" s="38"/>
      <c r="OS172" s="38"/>
      <c r="OT172" s="38"/>
      <c r="OU172" s="38"/>
      <c r="OV172" s="38"/>
      <c r="OW172" s="38"/>
      <c r="OX172" s="38"/>
      <c r="OY172" s="38"/>
      <c r="OZ172" s="38"/>
      <c r="PA172" s="38"/>
      <c r="PB172" s="38"/>
      <c r="PC172" s="38"/>
      <c r="PD172" s="38"/>
      <c r="PE172" s="38"/>
      <c r="PF172" s="38"/>
      <c r="PG172" s="38"/>
      <c r="PH172" s="38"/>
      <c r="PI172" s="38"/>
      <c r="PJ172" s="38"/>
      <c r="PK172" s="38"/>
      <c r="PL172" s="38"/>
      <c r="PM172" s="38"/>
      <c r="PN172" s="38"/>
      <c r="PO172" s="38"/>
      <c r="PP172" s="38"/>
      <c r="PQ172" s="38"/>
      <c r="PR172" s="38"/>
      <c r="PS172" s="38"/>
      <c r="PT172" s="38"/>
      <c r="PU172" s="38"/>
      <c r="PV172" s="38"/>
      <c r="PW172" s="38"/>
      <c r="PX172" s="38"/>
      <c r="PY172" s="38"/>
      <c r="PZ172" s="38"/>
      <c r="QA172" s="38"/>
      <c r="QB172" s="38"/>
      <c r="QC172" s="38"/>
      <c r="QD172" s="38"/>
      <c r="QE172" s="38"/>
      <c r="QF172" s="38"/>
      <c r="QG172" s="38"/>
      <c r="QH172" s="38"/>
      <c r="QI172" s="38"/>
      <c r="QJ172" s="38"/>
      <c r="QK172" s="38"/>
      <c r="QL172" s="38"/>
      <c r="QM172" s="38"/>
      <c r="QN172" s="38"/>
      <c r="QO172" s="38"/>
      <c r="QP172" s="38"/>
      <c r="QQ172" s="38"/>
      <c r="QR172" s="38"/>
      <c r="QS172" s="38"/>
      <c r="QT172" s="38"/>
      <c r="QU172" s="38"/>
      <c r="QV172" s="38"/>
      <c r="QW172" s="38"/>
      <c r="QX172" s="38"/>
      <c r="QY172" s="38"/>
      <c r="QZ172" s="38"/>
      <c r="RA172" s="38"/>
      <c r="RB172" s="38"/>
      <c r="RC172" s="38"/>
      <c r="RD172" s="38"/>
      <c r="RE172" s="38"/>
      <c r="RF172" s="38"/>
      <c r="RG172" s="38"/>
      <c r="RH172" s="38"/>
      <c r="RI172" s="38"/>
      <c r="RJ172" s="38"/>
      <c r="RK172" s="38"/>
      <c r="RL172" s="38"/>
      <c r="RM172" s="38"/>
      <c r="RN172" s="38"/>
      <c r="RO172" s="38"/>
      <c r="RP172" s="38"/>
      <c r="RQ172" s="38"/>
      <c r="RR172" s="38"/>
      <c r="RS172" s="38"/>
      <c r="RT172" s="38"/>
      <c r="RU172" s="38"/>
      <c r="RV172" s="38"/>
      <c r="RW172" s="38"/>
      <c r="RX172" s="38"/>
      <c r="RY172" s="38"/>
      <c r="RZ172" s="38"/>
      <c r="SA172" s="38"/>
      <c r="SB172" s="38"/>
      <c r="SC172" s="38"/>
      <c r="SD172" s="38"/>
      <c r="SE172" s="38"/>
      <c r="SF172" s="38"/>
      <c r="SG172" s="38"/>
      <c r="SH172" s="38"/>
      <c r="SI172" s="38"/>
      <c r="SJ172" s="38"/>
      <c r="SK172" s="38"/>
      <c r="SL172" s="38"/>
      <c r="SM172" s="38"/>
      <c r="SN172" s="38"/>
      <c r="SO172" s="38"/>
      <c r="SP172" s="38"/>
      <c r="SQ172" s="38"/>
      <c r="SR172" s="38"/>
      <c r="SS172" s="38"/>
      <c r="ST172" s="38"/>
      <c r="SU172" s="38"/>
      <c r="SV172" s="38"/>
      <c r="SW172" s="38"/>
      <c r="SX172" s="38"/>
      <c r="SY172" s="38"/>
      <c r="SZ172" s="38"/>
      <c r="TA172" s="38"/>
      <c r="TB172" s="38"/>
      <c r="TC172" s="38"/>
      <c r="TD172" s="38"/>
      <c r="TE172" s="38"/>
      <c r="TF172" s="38"/>
      <c r="TG172" s="38"/>
      <c r="TH172" s="38"/>
      <c r="TI172" s="38"/>
      <c r="TJ172" s="38"/>
    </row>
    <row r="173" spans="1:530" s="40" customFormat="1" ht="35.25" customHeight="1" x14ac:dyDescent="0.25">
      <c r="A173" s="77" t="s">
        <v>247</v>
      </c>
      <c r="B173" s="75"/>
      <c r="C173" s="75"/>
      <c r="D173" s="33" t="s">
        <v>56</v>
      </c>
      <c r="E173" s="68">
        <f>E174</f>
        <v>4531018</v>
      </c>
      <c r="F173" s="68">
        <f t="shared" si="94"/>
        <v>4531018</v>
      </c>
      <c r="G173" s="68">
        <f t="shared" si="94"/>
        <v>3516425</v>
      </c>
      <c r="H173" s="68">
        <f t="shared" si="94"/>
        <v>52700</v>
      </c>
      <c r="I173" s="68">
        <f t="shared" si="94"/>
        <v>0</v>
      </c>
      <c r="J173" s="68">
        <f t="shared" si="94"/>
        <v>0</v>
      </c>
      <c r="K173" s="68">
        <f t="shared" si="95"/>
        <v>0</v>
      </c>
      <c r="L173" s="68">
        <f t="shared" si="96"/>
        <v>0</v>
      </c>
      <c r="M173" s="68">
        <f t="shared" si="97"/>
        <v>0</v>
      </c>
      <c r="N173" s="68">
        <f t="shared" si="98"/>
        <v>0</v>
      </c>
      <c r="O173" s="68">
        <f t="shared" si="99"/>
        <v>0</v>
      </c>
      <c r="P173" s="68">
        <f t="shared" si="99"/>
        <v>4531018</v>
      </c>
      <c r="Q173" s="143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  <c r="IW173" s="39"/>
      <c r="IX173" s="39"/>
      <c r="IY173" s="39"/>
      <c r="IZ173" s="39"/>
      <c r="JA173" s="39"/>
      <c r="JB173" s="39"/>
      <c r="JC173" s="39"/>
      <c r="JD173" s="39"/>
      <c r="JE173" s="39"/>
      <c r="JF173" s="39"/>
      <c r="JG173" s="39"/>
      <c r="JH173" s="39"/>
      <c r="JI173" s="39"/>
      <c r="JJ173" s="39"/>
      <c r="JK173" s="39"/>
      <c r="JL173" s="39"/>
      <c r="JM173" s="39"/>
      <c r="JN173" s="39"/>
      <c r="JO173" s="39"/>
      <c r="JP173" s="39"/>
      <c r="JQ173" s="39"/>
      <c r="JR173" s="39"/>
      <c r="JS173" s="39"/>
      <c r="JT173" s="39"/>
      <c r="JU173" s="39"/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39"/>
      <c r="KH173" s="39"/>
      <c r="KI173" s="39"/>
      <c r="KJ173" s="39"/>
      <c r="KK173" s="39"/>
      <c r="KL173" s="39"/>
      <c r="KM173" s="39"/>
      <c r="KN173" s="39"/>
      <c r="KO173" s="39"/>
      <c r="KP173" s="39"/>
      <c r="KQ173" s="39"/>
      <c r="KR173" s="39"/>
      <c r="KS173" s="39"/>
      <c r="KT173" s="39"/>
      <c r="KU173" s="39"/>
      <c r="KV173" s="39"/>
      <c r="KW173" s="39"/>
      <c r="KX173" s="39"/>
      <c r="KY173" s="39"/>
      <c r="KZ173" s="39"/>
      <c r="LA173" s="39"/>
      <c r="LB173" s="39"/>
      <c r="LC173" s="39"/>
      <c r="LD173" s="39"/>
      <c r="LE173" s="39"/>
      <c r="LF173" s="39"/>
      <c r="LG173" s="39"/>
      <c r="LH173" s="39"/>
      <c r="LI173" s="39"/>
      <c r="LJ173" s="39"/>
      <c r="LK173" s="39"/>
      <c r="LL173" s="39"/>
      <c r="LM173" s="39"/>
      <c r="LN173" s="39"/>
      <c r="LO173" s="39"/>
      <c r="LP173" s="39"/>
      <c r="LQ173" s="39"/>
      <c r="LR173" s="39"/>
      <c r="LS173" s="39"/>
      <c r="LT173" s="39"/>
      <c r="LU173" s="39"/>
      <c r="LV173" s="39"/>
      <c r="LW173" s="39"/>
      <c r="LX173" s="39"/>
      <c r="LY173" s="39"/>
      <c r="LZ173" s="39"/>
      <c r="MA173" s="39"/>
      <c r="MB173" s="39"/>
      <c r="MC173" s="39"/>
      <c r="MD173" s="39"/>
      <c r="ME173" s="39"/>
      <c r="MF173" s="39"/>
      <c r="MG173" s="39"/>
      <c r="MH173" s="39"/>
      <c r="MI173" s="39"/>
      <c r="MJ173" s="39"/>
      <c r="MK173" s="39"/>
      <c r="ML173" s="39"/>
      <c r="MM173" s="39"/>
      <c r="MN173" s="39"/>
      <c r="MO173" s="39"/>
      <c r="MP173" s="39"/>
      <c r="MQ173" s="39"/>
      <c r="MR173" s="39"/>
      <c r="MS173" s="39"/>
      <c r="MT173" s="39"/>
      <c r="MU173" s="39"/>
      <c r="MV173" s="39"/>
      <c r="MW173" s="39"/>
      <c r="MX173" s="39"/>
      <c r="MY173" s="39"/>
      <c r="MZ173" s="39"/>
      <c r="NA173" s="39"/>
      <c r="NB173" s="39"/>
      <c r="NC173" s="39"/>
      <c r="ND173" s="39"/>
      <c r="NE173" s="39"/>
      <c r="NF173" s="39"/>
      <c r="NG173" s="39"/>
      <c r="NH173" s="39"/>
      <c r="NI173" s="39"/>
      <c r="NJ173" s="39"/>
      <c r="NK173" s="39"/>
      <c r="NL173" s="39"/>
      <c r="NM173" s="39"/>
      <c r="NN173" s="39"/>
      <c r="NO173" s="39"/>
      <c r="NP173" s="39"/>
      <c r="NQ173" s="39"/>
      <c r="NR173" s="39"/>
      <c r="NS173" s="39"/>
      <c r="NT173" s="39"/>
      <c r="NU173" s="39"/>
      <c r="NV173" s="39"/>
      <c r="NW173" s="39"/>
      <c r="NX173" s="39"/>
      <c r="NY173" s="39"/>
      <c r="NZ173" s="39"/>
      <c r="OA173" s="39"/>
      <c r="OB173" s="39"/>
      <c r="OC173" s="39"/>
      <c r="OD173" s="39"/>
      <c r="OE173" s="39"/>
      <c r="OF173" s="39"/>
      <c r="OG173" s="39"/>
      <c r="OH173" s="39"/>
      <c r="OI173" s="39"/>
      <c r="OJ173" s="39"/>
      <c r="OK173" s="39"/>
      <c r="OL173" s="39"/>
      <c r="OM173" s="39"/>
      <c r="ON173" s="39"/>
      <c r="OO173" s="39"/>
      <c r="OP173" s="39"/>
      <c r="OQ173" s="39"/>
      <c r="OR173" s="39"/>
      <c r="OS173" s="39"/>
      <c r="OT173" s="39"/>
      <c r="OU173" s="39"/>
      <c r="OV173" s="39"/>
      <c r="OW173" s="39"/>
      <c r="OX173" s="39"/>
      <c r="OY173" s="39"/>
      <c r="OZ173" s="39"/>
      <c r="PA173" s="39"/>
      <c r="PB173" s="39"/>
      <c r="PC173" s="39"/>
      <c r="PD173" s="39"/>
      <c r="PE173" s="39"/>
      <c r="PF173" s="39"/>
      <c r="PG173" s="39"/>
      <c r="PH173" s="39"/>
      <c r="PI173" s="39"/>
      <c r="PJ173" s="39"/>
      <c r="PK173" s="39"/>
      <c r="PL173" s="39"/>
      <c r="PM173" s="39"/>
      <c r="PN173" s="39"/>
      <c r="PO173" s="39"/>
      <c r="PP173" s="39"/>
      <c r="PQ173" s="39"/>
      <c r="PR173" s="39"/>
      <c r="PS173" s="39"/>
      <c r="PT173" s="39"/>
      <c r="PU173" s="39"/>
      <c r="PV173" s="39"/>
      <c r="PW173" s="39"/>
      <c r="PX173" s="39"/>
      <c r="PY173" s="39"/>
      <c r="PZ173" s="39"/>
      <c r="QA173" s="39"/>
      <c r="QB173" s="39"/>
      <c r="QC173" s="39"/>
      <c r="QD173" s="39"/>
      <c r="QE173" s="39"/>
      <c r="QF173" s="39"/>
      <c r="QG173" s="39"/>
      <c r="QH173" s="39"/>
      <c r="QI173" s="39"/>
      <c r="QJ173" s="39"/>
      <c r="QK173" s="39"/>
      <c r="QL173" s="39"/>
      <c r="QM173" s="39"/>
      <c r="QN173" s="39"/>
      <c r="QO173" s="39"/>
      <c r="QP173" s="39"/>
      <c r="QQ173" s="39"/>
      <c r="QR173" s="39"/>
      <c r="QS173" s="39"/>
      <c r="QT173" s="39"/>
      <c r="QU173" s="39"/>
      <c r="QV173" s="39"/>
      <c r="QW173" s="39"/>
      <c r="QX173" s="39"/>
      <c r="QY173" s="39"/>
      <c r="QZ173" s="39"/>
      <c r="RA173" s="39"/>
      <c r="RB173" s="39"/>
      <c r="RC173" s="39"/>
      <c r="RD173" s="39"/>
      <c r="RE173" s="39"/>
      <c r="RF173" s="39"/>
      <c r="RG173" s="39"/>
      <c r="RH173" s="39"/>
      <c r="RI173" s="39"/>
      <c r="RJ173" s="39"/>
      <c r="RK173" s="39"/>
      <c r="RL173" s="39"/>
      <c r="RM173" s="39"/>
      <c r="RN173" s="39"/>
      <c r="RO173" s="39"/>
      <c r="RP173" s="39"/>
      <c r="RQ173" s="39"/>
      <c r="RR173" s="39"/>
      <c r="RS173" s="39"/>
      <c r="RT173" s="39"/>
      <c r="RU173" s="39"/>
      <c r="RV173" s="39"/>
      <c r="RW173" s="39"/>
      <c r="RX173" s="39"/>
      <c r="RY173" s="39"/>
      <c r="RZ173" s="39"/>
      <c r="SA173" s="39"/>
      <c r="SB173" s="39"/>
      <c r="SC173" s="39"/>
      <c r="SD173" s="39"/>
      <c r="SE173" s="39"/>
      <c r="SF173" s="39"/>
      <c r="SG173" s="39"/>
      <c r="SH173" s="39"/>
      <c r="SI173" s="39"/>
      <c r="SJ173" s="39"/>
      <c r="SK173" s="39"/>
      <c r="SL173" s="39"/>
      <c r="SM173" s="39"/>
      <c r="SN173" s="39"/>
      <c r="SO173" s="39"/>
      <c r="SP173" s="39"/>
      <c r="SQ173" s="39"/>
      <c r="SR173" s="39"/>
      <c r="SS173" s="39"/>
      <c r="ST173" s="39"/>
      <c r="SU173" s="39"/>
      <c r="SV173" s="39"/>
      <c r="SW173" s="39"/>
      <c r="SX173" s="39"/>
      <c r="SY173" s="39"/>
      <c r="SZ173" s="39"/>
      <c r="TA173" s="39"/>
      <c r="TB173" s="39"/>
      <c r="TC173" s="39"/>
      <c r="TD173" s="39"/>
      <c r="TE173" s="39"/>
      <c r="TF173" s="39"/>
      <c r="TG173" s="39"/>
      <c r="TH173" s="39"/>
      <c r="TI173" s="39"/>
      <c r="TJ173" s="39"/>
    </row>
    <row r="174" spans="1:530" s="23" customFormat="1" ht="43.5" customHeight="1" x14ac:dyDescent="0.25">
      <c r="A174" s="43" t="s">
        <v>248</v>
      </c>
      <c r="B174" s="44" t="str">
        <f>'дод 4'!A14</f>
        <v>0160</v>
      </c>
      <c r="C174" s="44" t="str">
        <f>'дод 4'!B14</f>
        <v>0111</v>
      </c>
      <c r="D174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74" s="69">
        <f>F174+I174</f>
        <v>4531018</v>
      </c>
      <c r="F174" s="69">
        <f>4985700+21800-233000-243482</f>
        <v>4531018</v>
      </c>
      <c r="G174" s="69">
        <f>3907000-191000-199575</f>
        <v>3516425</v>
      </c>
      <c r="H174" s="69">
        <v>52700</v>
      </c>
      <c r="I174" s="69"/>
      <c r="J174" s="69">
        <f>L174+O174</f>
        <v>0</v>
      </c>
      <c r="K174" s="69"/>
      <c r="L174" s="69"/>
      <c r="M174" s="69"/>
      <c r="N174" s="69"/>
      <c r="O174" s="69"/>
      <c r="P174" s="69">
        <f>E174+J174</f>
        <v>4531018</v>
      </c>
      <c r="Q174" s="143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  <c r="TJ174" s="26"/>
    </row>
    <row r="175" spans="1:530" s="31" customFormat="1" ht="37.5" customHeight="1" x14ac:dyDescent="0.2">
      <c r="A175" s="76" t="s">
        <v>250</v>
      </c>
      <c r="B175" s="74"/>
      <c r="C175" s="74"/>
      <c r="D175" s="30" t="s">
        <v>52</v>
      </c>
      <c r="E175" s="66">
        <f>E176</f>
        <v>20393000</v>
      </c>
      <c r="F175" s="66">
        <f t="shared" ref="F175:J175" si="100">F176</f>
        <v>19775000</v>
      </c>
      <c r="G175" s="66">
        <f t="shared" si="100"/>
        <v>13931300</v>
      </c>
      <c r="H175" s="66">
        <f t="shared" si="100"/>
        <v>314600</v>
      </c>
      <c r="I175" s="66">
        <f t="shared" si="100"/>
        <v>618000</v>
      </c>
      <c r="J175" s="66">
        <f t="shared" si="100"/>
        <v>100000</v>
      </c>
      <c r="K175" s="66">
        <f t="shared" ref="K175" si="101">K176</f>
        <v>100000</v>
      </c>
      <c r="L175" s="66">
        <f t="shared" ref="L175" si="102">L176</f>
        <v>0</v>
      </c>
      <c r="M175" s="66">
        <f t="shared" ref="M175" si="103">M176</f>
        <v>0</v>
      </c>
      <c r="N175" s="66">
        <f t="shared" ref="N175" si="104">N176</f>
        <v>0</v>
      </c>
      <c r="O175" s="66">
        <f t="shared" ref="O175" si="105">O176</f>
        <v>100000</v>
      </c>
      <c r="P175" s="66">
        <f>P176</f>
        <v>20493000</v>
      </c>
      <c r="Q175" s="143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  <c r="IW175" s="38"/>
      <c r="IX175" s="38"/>
      <c r="IY175" s="38"/>
      <c r="IZ175" s="38"/>
      <c r="JA175" s="38"/>
      <c r="JB175" s="38"/>
      <c r="JC175" s="38"/>
      <c r="JD175" s="38"/>
      <c r="JE175" s="38"/>
      <c r="JF175" s="38"/>
      <c r="JG175" s="38"/>
      <c r="JH175" s="38"/>
      <c r="JI175" s="38"/>
      <c r="JJ175" s="38"/>
      <c r="JK175" s="38"/>
      <c r="JL175" s="38"/>
      <c r="JM175" s="38"/>
      <c r="JN175" s="38"/>
      <c r="JO175" s="38"/>
      <c r="JP175" s="38"/>
      <c r="JQ175" s="38"/>
      <c r="JR175" s="38"/>
      <c r="JS175" s="38"/>
      <c r="JT175" s="38"/>
      <c r="JU175" s="38"/>
      <c r="JV175" s="38"/>
      <c r="JW175" s="38"/>
      <c r="JX175" s="38"/>
      <c r="JY175" s="38"/>
      <c r="JZ175" s="38"/>
      <c r="KA175" s="38"/>
      <c r="KB175" s="38"/>
      <c r="KC175" s="38"/>
      <c r="KD175" s="38"/>
      <c r="KE175" s="38"/>
      <c r="KF175" s="38"/>
      <c r="KG175" s="38"/>
      <c r="KH175" s="38"/>
      <c r="KI175" s="38"/>
      <c r="KJ175" s="38"/>
      <c r="KK175" s="38"/>
      <c r="KL175" s="38"/>
      <c r="KM175" s="38"/>
      <c r="KN175" s="38"/>
      <c r="KO175" s="38"/>
      <c r="KP175" s="38"/>
      <c r="KQ175" s="38"/>
      <c r="KR175" s="38"/>
      <c r="KS175" s="38"/>
      <c r="KT175" s="38"/>
      <c r="KU175" s="38"/>
      <c r="KV175" s="38"/>
      <c r="KW175" s="38"/>
      <c r="KX175" s="38"/>
      <c r="KY175" s="38"/>
      <c r="KZ175" s="38"/>
      <c r="LA175" s="38"/>
      <c r="LB175" s="38"/>
      <c r="LC175" s="38"/>
      <c r="LD175" s="38"/>
      <c r="LE175" s="38"/>
      <c r="LF175" s="38"/>
      <c r="LG175" s="38"/>
      <c r="LH175" s="38"/>
      <c r="LI175" s="38"/>
      <c r="LJ175" s="38"/>
      <c r="LK175" s="38"/>
      <c r="LL175" s="38"/>
      <c r="LM175" s="38"/>
      <c r="LN175" s="38"/>
      <c r="LO175" s="38"/>
      <c r="LP175" s="38"/>
      <c r="LQ175" s="38"/>
      <c r="LR175" s="38"/>
      <c r="LS175" s="38"/>
      <c r="LT175" s="38"/>
      <c r="LU175" s="38"/>
      <c r="LV175" s="38"/>
      <c r="LW175" s="38"/>
      <c r="LX175" s="38"/>
      <c r="LY175" s="38"/>
      <c r="LZ175" s="38"/>
      <c r="MA175" s="38"/>
      <c r="MB175" s="38"/>
      <c r="MC175" s="38"/>
      <c r="MD175" s="38"/>
      <c r="ME175" s="38"/>
      <c r="MF175" s="38"/>
      <c r="MG175" s="38"/>
      <c r="MH175" s="38"/>
      <c r="MI175" s="38"/>
      <c r="MJ175" s="38"/>
      <c r="MK175" s="38"/>
      <c r="ML175" s="38"/>
      <c r="MM175" s="38"/>
      <c r="MN175" s="38"/>
      <c r="MO175" s="38"/>
      <c r="MP175" s="38"/>
      <c r="MQ175" s="38"/>
      <c r="MR175" s="38"/>
      <c r="MS175" s="38"/>
      <c r="MT175" s="38"/>
      <c r="MU175" s="38"/>
      <c r="MV175" s="38"/>
      <c r="MW175" s="38"/>
      <c r="MX175" s="38"/>
      <c r="MY175" s="38"/>
      <c r="MZ175" s="38"/>
      <c r="NA175" s="38"/>
      <c r="NB175" s="38"/>
      <c r="NC175" s="38"/>
      <c r="ND175" s="38"/>
      <c r="NE175" s="38"/>
      <c r="NF175" s="38"/>
      <c r="NG175" s="38"/>
      <c r="NH175" s="3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38"/>
      <c r="OC175" s="38"/>
      <c r="OD175" s="38"/>
      <c r="OE175" s="38"/>
      <c r="OF175" s="38"/>
      <c r="OG175" s="38"/>
      <c r="OH175" s="38"/>
      <c r="OI175" s="38"/>
      <c r="OJ175" s="38"/>
      <c r="OK175" s="38"/>
      <c r="OL175" s="38"/>
      <c r="OM175" s="38"/>
      <c r="ON175" s="38"/>
      <c r="OO175" s="38"/>
      <c r="OP175" s="38"/>
      <c r="OQ175" s="38"/>
      <c r="OR175" s="38"/>
      <c r="OS175" s="38"/>
      <c r="OT175" s="38"/>
      <c r="OU175" s="38"/>
      <c r="OV175" s="38"/>
      <c r="OW175" s="38"/>
      <c r="OX175" s="38"/>
      <c r="OY175" s="38"/>
      <c r="OZ175" s="38"/>
      <c r="PA175" s="38"/>
      <c r="PB175" s="38"/>
      <c r="PC175" s="38"/>
      <c r="PD175" s="38"/>
      <c r="PE175" s="38"/>
      <c r="PF175" s="38"/>
      <c r="PG175" s="38"/>
      <c r="PH175" s="38"/>
      <c r="PI175" s="38"/>
      <c r="PJ175" s="38"/>
      <c r="PK175" s="38"/>
      <c r="PL175" s="38"/>
      <c r="PM175" s="38"/>
      <c r="PN175" s="38"/>
      <c r="PO175" s="38"/>
      <c r="PP175" s="38"/>
      <c r="PQ175" s="38"/>
      <c r="PR175" s="38"/>
      <c r="PS175" s="38"/>
      <c r="PT175" s="38"/>
      <c r="PU175" s="38"/>
      <c r="PV175" s="38"/>
      <c r="PW175" s="38"/>
      <c r="PX175" s="38"/>
      <c r="PY175" s="38"/>
      <c r="PZ175" s="38"/>
      <c r="QA175" s="38"/>
      <c r="QB175" s="38"/>
      <c r="QC175" s="38"/>
      <c r="QD175" s="38"/>
      <c r="QE175" s="38"/>
      <c r="QF175" s="38"/>
      <c r="QG175" s="38"/>
      <c r="QH175" s="38"/>
      <c r="QI175" s="38"/>
      <c r="QJ175" s="38"/>
      <c r="QK175" s="38"/>
      <c r="QL175" s="38"/>
      <c r="QM175" s="38"/>
      <c r="QN175" s="38"/>
      <c r="QO175" s="38"/>
      <c r="QP175" s="38"/>
      <c r="QQ175" s="38"/>
      <c r="QR175" s="38"/>
      <c r="QS175" s="38"/>
      <c r="QT175" s="38"/>
      <c r="QU175" s="38"/>
      <c r="QV175" s="38"/>
      <c r="QW175" s="38"/>
      <c r="QX175" s="38"/>
      <c r="QY175" s="38"/>
      <c r="QZ175" s="38"/>
      <c r="RA175" s="38"/>
      <c r="RB175" s="38"/>
      <c r="RC175" s="38"/>
      <c r="RD175" s="38"/>
      <c r="RE175" s="38"/>
      <c r="RF175" s="38"/>
      <c r="RG175" s="38"/>
      <c r="RH175" s="38"/>
      <c r="RI175" s="38"/>
      <c r="RJ175" s="38"/>
      <c r="RK175" s="38"/>
      <c r="RL175" s="38"/>
      <c r="RM175" s="38"/>
      <c r="RN175" s="38"/>
      <c r="RO175" s="38"/>
      <c r="RP175" s="38"/>
      <c r="RQ175" s="38"/>
      <c r="RR175" s="38"/>
      <c r="RS175" s="38"/>
      <c r="RT175" s="38"/>
      <c r="RU175" s="38"/>
      <c r="RV175" s="38"/>
      <c r="RW175" s="38"/>
      <c r="RX175" s="38"/>
      <c r="RY175" s="38"/>
      <c r="RZ175" s="38"/>
      <c r="SA175" s="38"/>
      <c r="SB175" s="38"/>
      <c r="SC175" s="38"/>
      <c r="SD175" s="38"/>
      <c r="SE175" s="38"/>
      <c r="SF175" s="38"/>
      <c r="SG175" s="38"/>
      <c r="SH175" s="38"/>
      <c r="SI175" s="38"/>
      <c r="SJ175" s="38"/>
      <c r="SK175" s="38"/>
      <c r="SL175" s="38"/>
      <c r="SM175" s="38"/>
      <c r="SN175" s="38"/>
      <c r="SO175" s="38"/>
      <c r="SP175" s="38"/>
      <c r="SQ175" s="38"/>
      <c r="SR175" s="38"/>
      <c r="SS175" s="38"/>
      <c r="ST175" s="38"/>
      <c r="SU175" s="38"/>
      <c r="SV175" s="38"/>
      <c r="SW175" s="38"/>
      <c r="SX175" s="38"/>
      <c r="SY175" s="38"/>
      <c r="SZ175" s="38"/>
      <c r="TA175" s="38"/>
      <c r="TB175" s="38"/>
      <c r="TC175" s="38"/>
      <c r="TD175" s="38"/>
      <c r="TE175" s="38"/>
      <c r="TF175" s="38"/>
      <c r="TG175" s="38"/>
      <c r="TH175" s="38"/>
      <c r="TI175" s="38"/>
      <c r="TJ175" s="38"/>
    </row>
    <row r="176" spans="1:530" s="40" customFormat="1" ht="37.5" customHeight="1" x14ac:dyDescent="0.25">
      <c r="A176" s="77" t="s">
        <v>251</v>
      </c>
      <c r="B176" s="75"/>
      <c r="C176" s="75"/>
      <c r="D176" s="33" t="s">
        <v>52</v>
      </c>
      <c r="E176" s="68">
        <f>E177+E178++E179+E180+E181+E182</f>
        <v>20393000</v>
      </c>
      <c r="F176" s="68">
        <f t="shared" ref="F176:P176" si="106">F177+F178++F179+F180+F181+F182</f>
        <v>19775000</v>
      </c>
      <c r="G176" s="68">
        <f t="shared" si="106"/>
        <v>13931300</v>
      </c>
      <c r="H176" s="68">
        <f t="shared" si="106"/>
        <v>314600</v>
      </c>
      <c r="I176" s="68">
        <f t="shared" si="106"/>
        <v>618000</v>
      </c>
      <c r="J176" s="68">
        <f t="shared" si="106"/>
        <v>100000</v>
      </c>
      <c r="K176" s="68">
        <f>K177+K178++K179+K180+K181+K182</f>
        <v>100000</v>
      </c>
      <c r="L176" s="68">
        <f t="shared" si="106"/>
        <v>0</v>
      </c>
      <c r="M176" s="68">
        <f t="shared" si="106"/>
        <v>0</v>
      </c>
      <c r="N176" s="68">
        <f t="shared" si="106"/>
        <v>0</v>
      </c>
      <c r="O176" s="68">
        <f t="shared" si="106"/>
        <v>100000</v>
      </c>
      <c r="P176" s="68">
        <f t="shared" si="106"/>
        <v>20493000</v>
      </c>
      <c r="Q176" s="143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/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/>
      <c r="KN176" s="39"/>
      <c r="KO176" s="39"/>
      <c r="KP176" s="39"/>
      <c r="KQ176" s="39"/>
      <c r="KR176" s="39"/>
      <c r="KS176" s="39"/>
      <c r="KT176" s="39"/>
      <c r="KU176" s="39"/>
      <c r="KV176" s="39"/>
      <c r="KW176" s="39"/>
      <c r="KX176" s="39"/>
      <c r="KY176" s="39"/>
      <c r="KZ176" s="39"/>
      <c r="LA176" s="39"/>
      <c r="LB176" s="39"/>
      <c r="LC176" s="39"/>
      <c r="LD176" s="39"/>
      <c r="LE176" s="39"/>
      <c r="LF176" s="39"/>
      <c r="LG176" s="39"/>
      <c r="LH176" s="39"/>
      <c r="LI176" s="39"/>
      <c r="LJ176" s="39"/>
      <c r="LK176" s="39"/>
      <c r="LL176" s="39"/>
      <c r="LM176" s="39"/>
      <c r="LN176" s="39"/>
      <c r="LO176" s="39"/>
      <c r="LP176" s="39"/>
      <c r="LQ176" s="39"/>
      <c r="LR176" s="39"/>
      <c r="LS176" s="39"/>
      <c r="LT176" s="39"/>
      <c r="LU176" s="39"/>
      <c r="LV176" s="39"/>
      <c r="LW176" s="39"/>
      <c r="LX176" s="39"/>
      <c r="LY176" s="39"/>
      <c r="LZ176" s="39"/>
      <c r="MA176" s="39"/>
      <c r="MB176" s="39"/>
      <c r="MC176" s="39"/>
      <c r="MD176" s="39"/>
      <c r="ME176" s="39"/>
      <c r="MF176" s="39"/>
      <c r="MG176" s="39"/>
      <c r="MH176" s="39"/>
      <c r="MI176" s="39"/>
      <c r="MJ176" s="39"/>
      <c r="MK176" s="39"/>
      <c r="ML176" s="39"/>
      <c r="MM176" s="39"/>
      <c r="MN176" s="39"/>
      <c r="MO176" s="39"/>
      <c r="MP176" s="39"/>
      <c r="MQ176" s="39"/>
      <c r="MR176" s="39"/>
      <c r="MS176" s="39"/>
      <c r="MT176" s="39"/>
      <c r="MU176" s="39"/>
      <c r="MV176" s="39"/>
      <c r="MW176" s="39"/>
      <c r="MX176" s="39"/>
      <c r="MY176" s="39"/>
      <c r="MZ176" s="39"/>
      <c r="NA176" s="39"/>
      <c r="NB176" s="39"/>
      <c r="NC176" s="39"/>
      <c r="ND176" s="39"/>
      <c r="NE176" s="39"/>
      <c r="NF176" s="39"/>
      <c r="NG176" s="39"/>
      <c r="NH176" s="39"/>
      <c r="NI176" s="39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/>
      <c r="NT176" s="39"/>
      <c r="NU176" s="39"/>
      <c r="NV176" s="39"/>
      <c r="NW176" s="39"/>
      <c r="NX176" s="39"/>
      <c r="NY176" s="39"/>
      <c r="NZ176" s="39"/>
      <c r="OA176" s="39"/>
      <c r="OB176" s="39"/>
      <c r="OC176" s="39"/>
      <c r="OD176" s="39"/>
      <c r="OE176" s="39"/>
      <c r="OF176" s="39"/>
      <c r="OG176" s="39"/>
      <c r="OH176" s="39"/>
      <c r="OI176" s="39"/>
      <c r="OJ176" s="39"/>
      <c r="OK176" s="39"/>
      <c r="OL176" s="39"/>
      <c r="OM176" s="39"/>
      <c r="ON176" s="39"/>
      <c r="OO176" s="39"/>
      <c r="OP176" s="39"/>
      <c r="OQ176" s="39"/>
      <c r="OR176" s="39"/>
      <c r="OS176" s="39"/>
      <c r="OT176" s="39"/>
      <c r="OU176" s="39"/>
      <c r="OV176" s="39"/>
      <c r="OW176" s="39"/>
      <c r="OX176" s="39"/>
      <c r="OY176" s="39"/>
      <c r="OZ176" s="39"/>
      <c r="PA176" s="39"/>
      <c r="PB176" s="39"/>
      <c r="PC176" s="39"/>
      <c r="PD176" s="39"/>
      <c r="PE176" s="39"/>
      <c r="PF176" s="39"/>
      <c r="PG176" s="39"/>
      <c r="PH176" s="39"/>
      <c r="PI176" s="39"/>
      <c r="PJ176" s="39"/>
      <c r="PK176" s="39"/>
      <c r="PL176" s="39"/>
      <c r="PM176" s="39"/>
      <c r="PN176" s="39"/>
      <c r="PO176" s="39"/>
      <c r="PP176" s="39"/>
      <c r="PQ176" s="39"/>
      <c r="PR176" s="39"/>
      <c r="PS176" s="39"/>
      <c r="PT176" s="39"/>
      <c r="PU176" s="39"/>
      <c r="PV176" s="39"/>
      <c r="PW176" s="39"/>
      <c r="PX176" s="39"/>
      <c r="PY176" s="39"/>
      <c r="PZ176" s="39"/>
      <c r="QA176" s="39"/>
      <c r="QB176" s="39"/>
      <c r="QC176" s="39"/>
      <c r="QD176" s="39"/>
      <c r="QE176" s="39"/>
      <c r="QF176" s="39"/>
      <c r="QG176" s="39"/>
      <c r="QH176" s="39"/>
      <c r="QI176" s="39"/>
      <c r="QJ176" s="39"/>
      <c r="QK176" s="39"/>
      <c r="QL176" s="39"/>
      <c r="QM176" s="39"/>
      <c r="QN176" s="39"/>
      <c r="QO176" s="39"/>
      <c r="QP176" s="39"/>
      <c r="QQ176" s="39"/>
      <c r="QR176" s="39"/>
      <c r="QS176" s="39"/>
      <c r="QT176" s="39"/>
      <c r="QU176" s="39"/>
      <c r="QV176" s="39"/>
      <c r="QW176" s="39"/>
      <c r="QX176" s="39"/>
      <c r="QY176" s="39"/>
      <c r="QZ176" s="39"/>
      <c r="RA176" s="39"/>
      <c r="RB176" s="39"/>
      <c r="RC176" s="39"/>
      <c r="RD176" s="39"/>
      <c r="RE176" s="39"/>
      <c r="RF176" s="39"/>
      <c r="RG176" s="39"/>
      <c r="RH176" s="39"/>
      <c r="RI176" s="39"/>
      <c r="RJ176" s="39"/>
      <c r="RK176" s="39"/>
      <c r="RL176" s="39"/>
      <c r="RM176" s="39"/>
      <c r="RN176" s="39"/>
      <c r="RO176" s="39"/>
      <c r="RP176" s="39"/>
      <c r="RQ176" s="39"/>
      <c r="RR176" s="39"/>
      <c r="RS176" s="39"/>
      <c r="RT176" s="39"/>
      <c r="RU176" s="39"/>
      <c r="RV176" s="39"/>
      <c r="RW176" s="39"/>
      <c r="RX176" s="39"/>
      <c r="RY176" s="39"/>
      <c r="RZ176" s="39"/>
      <c r="SA176" s="39"/>
      <c r="SB176" s="39"/>
      <c r="SC176" s="39"/>
      <c r="SD176" s="39"/>
      <c r="SE176" s="39"/>
      <c r="SF176" s="39"/>
      <c r="SG176" s="39"/>
      <c r="SH176" s="39"/>
      <c r="SI176" s="39"/>
      <c r="SJ176" s="39"/>
      <c r="SK176" s="39"/>
      <c r="SL176" s="39"/>
      <c r="SM176" s="39"/>
      <c r="SN176" s="39"/>
      <c r="SO176" s="39"/>
      <c r="SP176" s="39"/>
      <c r="SQ176" s="39"/>
      <c r="SR176" s="39"/>
      <c r="SS176" s="39"/>
      <c r="ST176" s="39"/>
      <c r="SU176" s="39"/>
      <c r="SV176" s="39"/>
      <c r="SW176" s="39"/>
      <c r="SX176" s="39"/>
      <c r="SY176" s="39"/>
      <c r="SZ176" s="39"/>
      <c r="TA176" s="39"/>
      <c r="TB176" s="39"/>
      <c r="TC176" s="39"/>
      <c r="TD176" s="39"/>
      <c r="TE176" s="39"/>
      <c r="TF176" s="39"/>
      <c r="TG176" s="39"/>
      <c r="TH176" s="39"/>
      <c r="TI176" s="39"/>
      <c r="TJ176" s="39"/>
    </row>
    <row r="177" spans="1:530" s="23" customFormat="1" ht="47.25" customHeight="1" x14ac:dyDescent="0.25">
      <c r="A177" s="43" t="s">
        <v>252</v>
      </c>
      <c r="B177" s="44" t="str">
        <f>'дод 4'!A14</f>
        <v>0160</v>
      </c>
      <c r="C177" s="44" t="str">
        <f>'дод 4'!B14</f>
        <v>0111</v>
      </c>
      <c r="D177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77" s="69">
        <f t="shared" ref="E177:E182" si="107">F177+I177</f>
        <v>17983000</v>
      </c>
      <c r="F177" s="69">
        <f>18803900+108500-929400</f>
        <v>17983000</v>
      </c>
      <c r="G177" s="69">
        <f>14693100-761800</f>
        <v>13931300</v>
      </c>
      <c r="H177" s="69">
        <v>314600</v>
      </c>
      <c r="I177" s="69"/>
      <c r="J177" s="69">
        <f>L177+O177</f>
        <v>25000</v>
      </c>
      <c r="K177" s="69">
        <v>25000</v>
      </c>
      <c r="L177" s="69"/>
      <c r="M177" s="69"/>
      <c r="N177" s="69"/>
      <c r="O177" s="69">
        <v>25000</v>
      </c>
      <c r="P177" s="69">
        <f t="shared" ref="P177:P182" si="108">E177+J177</f>
        <v>18008000</v>
      </c>
      <c r="Q177" s="143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  <c r="TJ177" s="26"/>
    </row>
    <row r="178" spans="1:530" s="28" customFormat="1" ht="29.25" customHeight="1" x14ac:dyDescent="0.25">
      <c r="A178" s="43" t="s">
        <v>253</v>
      </c>
      <c r="B178" s="44" t="str">
        <f>'дод 4'!A94</f>
        <v>7130</v>
      </c>
      <c r="C178" s="44" t="str">
        <f>'дод 4'!B94</f>
        <v>0421</v>
      </c>
      <c r="D178" s="24" t="str">
        <f>'дод 4'!C94</f>
        <v>Здійснення заходів із землеустрою</v>
      </c>
      <c r="E178" s="69">
        <f t="shared" si="107"/>
        <v>700000</v>
      </c>
      <c r="F178" s="69">
        <v>700000</v>
      </c>
      <c r="G178" s="69"/>
      <c r="H178" s="69"/>
      <c r="I178" s="69"/>
      <c r="J178" s="69">
        <f t="shared" ref="J178:J182" si="109">L178+O178</f>
        <v>0</v>
      </c>
      <c r="K178" s="69"/>
      <c r="L178" s="69"/>
      <c r="M178" s="69"/>
      <c r="N178" s="69"/>
      <c r="O178" s="69"/>
      <c r="P178" s="69">
        <f t="shared" si="108"/>
        <v>700000</v>
      </c>
      <c r="Q178" s="143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  <c r="IW178" s="37"/>
      <c r="IX178" s="37"/>
      <c r="IY178" s="37"/>
      <c r="IZ178" s="37"/>
      <c r="JA178" s="37"/>
      <c r="JB178" s="37"/>
      <c r="JC178" s="37"/>
      <c r="JD178" s="37"/>
      <c r="JE178" s="37"/>
      <c r="JF178" s="37"/>
      <c r="JG178" s="37"/>
      <c r="JH178" s="37"/>
      <c r="JI178" s="37"/>
      <c r="JJ178" s="37"/>
      <c r="JK178" s="37"/>
      <c r="JL178" s="37"/>
      <c r="JM178" s="37"/>
      <c r="JN178" s="37"/>
      <c r="JO178" s="37"/>
      <c r="JP178" s="37"/>
      <c r="JQ178" s="37"/>
      <c r="JR178" s="37"/>
      <c r="JS178" s="37"/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/>
      <c r="KT178" s="37"/>
      <c r="KU178" s="37"/>
      <c r="KV178" s="37"/>
      <c r="KW178" s="37"/>
      <c r="KX178" s="37"/>
      <c r="KY178" s="37"/>
      <c r="KZ178" s="37"/>
      <c r="LA178" s="37"/>
      <c r="LB178" s="37"/>
      <c r="LC178" s="37"/>
      <c r="LD178" s="37"/>
      <c r="LE178" s="37"/>
      <c r="LF178" s="37"/>
      <c r="LG178" s="37"/>
      <c r="LH178" s="37"/>
      <c r="LI178" s="37"/>
      <c r="LJ178" s="37"/>
      <c r="LK178" s="37"/>
      <c r="LL178" s="37"/>
      <c r="LM178" s="37"/>
      <c r="LN178" s="37"/>
      <c r="LO178" s="37"/>
      <c r="LP178" s="37"/>
      <c r="LQ178" s="37"/>
      <c r="LR178" s="37"/>
      <c r="LS178" s="37"/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/>
      <c r="ML178" s="37"/>
      <c r="MM178" s="37"/>
      <c r="MN178" s="37"/>
      <c r="MO178" s="37"/>
      <c r="MP178" s="37"/>
      <c r="MQ178" s="37"/>
      <c r="MR178" s="37"/>
      <c r="MS178" s="37"/>
      <c r="MT178" s="37"/>
      <c r="MU178" s="37"/>
      <c r="MV178" s="37"/>
      <c r="MW178" s="37"/>
      <c r="MX178" s="37"/>
      <c r="MY178" s="37"/>
      <c r="MZ178" s="37"/>
      <c r="NA178" s="37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  <c r="NQ178" s="37"/>
      <c r="NR178" s="37"/>
      <c r="NS178" s="37"/>
      <c r="NT178" s="37"/>
      <c r="NU178" s="37"/>
      <c r="NV178" s="37"/>
      <c r="NW178" s="37"/>
      <c r="NX178" s="37"/>
      <c r="NY178" s="37"/>
      <c r="NZ178" s="37"/>
      <c r="OA178" s="37"/>
      <c r="OB178" s="37"/>
      <c r="OC178" s="37"/>
      <c r="OD178" s="37"/>
      <c r="OE178" s="37"/>
      <c r="OF178" s="37"/>
      <c r="OG178" s="37"/>
      <c r="OH178" s="37"/>
      <c r="OI178" s="37"/>
      <c r="OJ178" s="37"/>
      <c r="OK178" s="37"/>
      <c r="OL178" s="37"/>
      <c r="OM178" s="37"/>
      <c r="ON178" s="37"/>
      <c r="OO178" s="37"/>
      <c r="OP178" s="37"/>
      <c r="OQ178" s="37"/>
      <c r="OR178" s="37"/>
      <c r="OS178" s="37"/>
      <c r="OT178" s="37"/>
      <c r="OU178" s="37"/>
      <c r="OV178" s="37"/>
      <c r="OW178" s="37"/>
      <c r="OX178" s="37"/>
      <c r="OY178" s="37"/>
      <c r="OZ178" s="37"/>
      <c r="PA178" s="37"/>
      <c r="PB178" s="37"/>
      <c r="PC178" s="37"/>
      <c r="PD178" s="37"/>
      <c r="PE178" s="37"/>
      <c r="PF178" s="37"/>
      <c r="PG178" s="37"/>
      <c r="PH178" s="37"/>
      <c r="PI178" s="37"/>
      <c r="PJ178" s="37"/>
      <c r="PK178" s="37"/>
      <c r="PL178" s="37"/>
      <c r="PM178" s="37"/>
      <c r="PN178" s="37"/>
      <c r="PO178" s="37"/>
      <c r="PP178" s="37"/>
      <c r="PQ178" s="37"/>
      <c r="PR178" s="37"/>
      <c r="PS178" s="37"/>
      <c r="PT178" s="37"/>
      <c r="PU178" s="37"/>
      <c r="PV178" s="37"/>
      <c r="PW178" s="37"/>
      <c r="PX178" s="37"/>
      <c r="PY178" s="37"/>
      <c r="PZ178" s="37"/>
      <c r="QA178" s="37"/>
      <c r="QB178" s="37"/>
      <c r="QC178" s="37"/>
      <c r="QD178" s="37"/>
      <c r="QE178" s="37"/>
      <c r="QF178" s="37"/>
      <c r="QG178" s="37"/>
      <c r="QH178" s="37"/>
      <c r="QI178" s="37"/>
      <c r="QJ178" s="37"/>
      <c r="QK178" s="37"/>
      <c r="QL178" s="37"/>
      <c r="QM178" s="37"/>
      <c r="QN178" s="37"/>
      <c r="QO178" s="37"/>
      <c r="QP178" s="37"/>
      <c r="QQ178" s="37"/>
      <c r="QR178" s="37"/>
      <c r="QS178" s="37"/>
      <c r="QT178" s="37"/>
      <c r="QU178" s="37"/>
      <c r="QV178" s="37"/>
      <c r="QW178" s="37"/>
      <c r="QX178" s="37"/>
      <c r="QY178" s="37"/>
      <c r="QZ178" s="37"/>
      <c r="RA178" s="37"/>
      <c r="RB178" s="37"/>
      <c r="RC178" s="37"/>
      <c r="RD178" s="37"/>
      <c r="RE178" s="37"/>
      <c r="RF178" s="37"/>
      <c r="RG178" s="37"/>
      <c r="RH178" s="37"/>
      <c r="RI178" s="37"/>
      <c r="RJ178" s="37"/>
      <c r="RK178" s="37"/>
      <c r="RL178" s="37"/>
      <c r="RM178" s="37"/>
      <c r="RN178" s="37"/>
      <c r="RO178" s="37"/>
      <c r="RP178" s="37"/>
      <c r="RQ178" s="37"/>
      <c r="RR178" s="37"/>
      <c r="RS178" s="37"/>
      <c r="RT178" s="37"/>
      <c r="RU178" s="37"/>
      <c r="RV178" s="37"/>
      <c r="RW178" s="37"/>
      <c r="RX178" s="37"/>
      <c r="RY178" s="37"/>
      <c r="RZ178" s="37"/>
      <c r="SA178" s="37"/>
      <c r="SB178" s="37"/>
      <c r="SC178" s="37"/>
      <c r="SD178" s="37"/>
      <c r="SE178" s="37"/>
      <c r="SF178" s="37"/>
      <c r="SG178" s="37"/>
      <c r="SH178" s="37"/>
      <c r="SI178" s="37"/>
      <c r="SJ178" s="37"/>
      <c r="SK178" s="37"/>
      <c r="SL178" s="37"/>
      <c r="SM178" s="37"/>
      <c r="SN178" s="37"/>
      <c r="SO178" s="37"/>
      <c r="SP178" s="37"/>
      <c r="SQ178" s="37"/>
      <c r="SR178" s="37"/>
      <c r="SS178" s="37"/>
      <c r="ST178" s="37"/>
      <c r="SU178" s="37"/>
      <c r="SV178" s="37"/>
      <c r="SW178" s="37"/>
      <c r="SX178" s="37"/>
      <c r="SY178" s="37"/>
      <c r="SZ178" s="37"/>
      <c r="TA178" s="37"/>
      <c r="TB178" s="37"/>
      <c r="TC178" s="37"/>
      <c r="TD178" s="37"/>
      <c r="TE178" s="37"/>
      <c r="TF178" s="37"/>
      <c r="TG178" s="37"/>
      <c r="TH178" s="37"/>
      <c r="TI178" s="37"/>
      <c r="TJ178" s="37"/>
    </row>
    <row r="179" spans="1:530" s="23" customFormat="1" ht="27" customHeight="1" x14ac:dyDescent="0.25">
      <c r="A179" s="52" t="s">
        <v>254</v>
      </c>
      <c r="B179" s="45" t="str">
        <f>'дод 4'!A112</f>
        <v>7610</v>
      </c>
      <c r="C179" s="45" t="str">
        <f>'дод 4'!B112</f>
        <v>0411</v>
      </c>
      <c r="D179" s="22" t="str">
        <f>'дод 4'!C112</f>
        <v>Сприяння розвитку малого та середнього підприємництва</v>
      </c>
      <c r="E179" s="69">
        <f t="shared" si="107"/>
        <v>1020000</v>
      </c>
      <c r="F179" s="69">
        <f>220000+182000</f>
        <v>402000</v>
      </c>
      <c r="G179" s="69"/>
      <c r="H179" s="69"/>
      <c r="I179" s="69">
        <f>1000000-200000-182000</f>
        <v>618000</v>
      </c>
      <c r="J179" s="69">
        <f t="shared" si="109"/>
        <v>0</v>
      </c>
      <c r="K179" s="69"/>
      <c r="L179" s="69"/>
      <c r="M179" s="69"/>
      <c r="N179" s="69"/>
      <c r="O179" s="69"/>
      <c r="P179" s="69">
        <f t="shared" si="108"/>
        <v>1020000</v>
      </c>
      <c r="Q179" s="143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  <c r="TJ179" s="26"/>
    </row>
    <row r="180" spans="1:530" s="23" customFormat="1" ht="37.5" customHeight="1" x14ac:dyDescent="0.25">
      <c r="A180" s="52" t="s">
        <v>309</v>
      </c>
      <c r="B180" s="45" t="str">
        <f>'дод 4'!A114</f>
        <v>7650</v>
      </c>
      <c r="C180" s="45" t="str">
        <f>'дод 4'!B114</f>
        <v>0490</v>
      </c>
      <c r="D180" s="22" t="str">
        <f>'дод 4'!C114</f>
        <v>Проведення експертної грошової оцінки земельної ділянки чи права на неї</v>
      </c>
      <c r="E180" s="69">
        <f t="shared" si="107"/>
        <v>0</v>
      </c>
      <c r="F180" s="69"/>
      <c r="G180" s="69"/>
      <c r="H180" s="69"/>
      <c r="I180" s="69"/>
      <c r="J180" s="69">
        <f t="shared" si="109"/>
        <v>30000</v>
      </c>
      <c r="K180" s="69">
        <v>30000</v>
      </c>
      <c r="L180" s="69"/>
      <c r="M180" s="69"/>
      <c r="N180" s="69"/>
      <c r="O180" s="69">
        <v>30000</v>
      </c>
      <c r="P180" s="69">
        <f t="shared" si="108"/>
        <v>30000</v>
      </c>
      <c r="Q180" s="143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  <c r="TJ180" s="26"/>
    </row>
    <row r="181" spans="1:530" s="23" customFormat="1" ht="51.75" customHeight="1" x14ac:dyDescent="0.25">
      <c r="A181" s="52" t="s">
        <v>311</v>
      </c>
      <c r="B181" s="45" t="str">
        <f>'дод 4'!A115</f>
        <v>7660</v>
      </c>
      <c r="C181" s="45" t="str">
        <f>'дод 4'!B115</f>
        <v>0490</v>
      </c>
      <c r="D181" s="22" t="str">
        <f>'дод 4'!C115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181" s="69">
        <f t="shared" si="107"/>
        <v>0</v>
      </c>
      <c r="F181" s="69"/>
      <c r="G181" s="69"/>
      <c r="H181" s="69"/>
      <c r="I181" s="69"/>
      <c r="J181" s="69">
        <f t="shared" si="109"/>
        <v>45000</v>
      </c>
      <c r="K181" s="69">
        <v>45000</v>
      </c>
      <c r="L181" s="69"/>
      <c r="M181" s="69"/>
      <c r="N181" s="69"/>
      <c r="O181" s="69">
        <v>45000</v>
      </c>
      <c r="P181" s="69">
        <f t="shared" si="108"/>
        <v>45000</v>
      </c>
      <c r="Q181" s="143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  <c r="TJ181" s="26"/>
    </row>
    <row r="182" spans="1:530" s="23" customFormat="1" ht="23.25" customHeight="1" x14ac:dyDescent="0.25">
      <c r="A182" s="52" t="s">
        <v>306</v>
      </c>
      <c r="B182" s="45" t="str">
        <f>'дод 4'!A119</f>
        <v>7693</v>
      </c>
      <c r="C182" s="45" t="str">
        <f>'дод 4'!B119</f>
        <v>0490</v>
      </c>
      <c r="D182" s="22" t="str">
        <f>'дод 4'!C119</f>
        <v>Інші заходи, пов'язані з економічною діяльністю</v>
      </c>
      <c r="E182" s="69">
        <f t="shared" si="107"/>
        <v>690000</v>
      </c>
      <c r="F182" s="69">
        <f>490000+200000</f>
        <v>690000</v>
      </c>
      <c r="G182" s="69"/>
      <c r="H182" s="69"/>
      <c r="I182" s="69"/>
      <c r="J182" s="69">
        <f t="shared" si="109"/>
        <v>0</v>
      </c>
      <c r="K182" s="69"/>
      <c r="L182" s="69"/>
      <c r="M182" s="69"/>
      <c r="N182" s="69"/>
      <c r="O182" s="69"/>
      <c r="P182" s="69">
        <f t="shared" si="108"/>
        <v>690000</v>
      </c>
      <c r="Q182" s="143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  <c r="TJ182" s="26"/>
    </row>
    <row r="183" spans="1:530" s="31" customFormat="1" ht="36" customHeight="1" x14ac:dyDescent="0.2">
      <c r="A183" s="76" t="s">
        <v>255</v>
      </c>
      <c r="B183" s="74"/>
      <c r="C183" s="74"/>
      <c r="D183" s="30" t="s">
        <v>54</v>
      </c>
      <c r="E183" s="66">
        <f>E184</f>
        <v>147462055</v>
      </c>
      <c r="F183" s="66">
        <f t="shared" ref="F183:J183" si="110">F184</f>
        <v>127319665</v>
      </c>
      <c r="G183" s="66">
        <f t="shared" si="110"/>
        <v>13922900</v>
      </c>
      <c r="H183" s="66">
        <f t="shared" si="110"/>
        <v>244400</v>
      </c>
      <c r="I183" s="66">
        <f t="shared" si="110"/>
        <v>0</v>
      </c>
      <c r="J183" s="66">
        <f t="shared" si="110"/>
        <v>93500</v>
      </c>
      <c r="K183" s="66">
        <f t="shared" ref="K183" si="111">K184</f>
        <v>0</v>
      </c>
      <c r="L183" s="66">
        <f t="shared" ref="L183" si="112">L184</f>
        <v>93500</v>
      </c>
      <c r="M183" s="66">
        <f t="shared" ref="M183" si="113">M184</f>
        <v>0</v>
      </c>
      <c r="N183" s="66">
        <f t="shared" ref="N183" si="114">N184</f>
        <v>0</v>
      </c>
      <c r="O183" s="66">
        <f t="shared" ref="O183:P183" si="115">O184</f>
        <v>0</v>
      </c>
      <c r="P183" s="66">
        <f t="shared" si="115"/>
        <v>147555555</v>
      </c>
      <c r="Q183" s="143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/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38"/>
      <c r="PM183" s="38"/>
      <c r="PN183" s="38"/>
      <c r="PO183" s="38"/>
      <c r="PP183" s="38"/>
      <c r="PQ183" s="38"/>
      <c r="PR183" s="38"/>
      <c r="PS183" s="38"/>
      <c r="PT183" s="38"/>
      <c r="PU183" s="38"/>
      <c r="PV183" s="38"/>
      <c r="PW183" s="38"/>
      <c r="PX183" s="38"/>
      <c r="PY183" s="38"/>
      <c r="PZ183" s="38"/>
      <c r="QA183" s="38"/>
      <c r="QB183" s="38"/>
      <c r="QC183" s="38"/>
      <c r="QD183" s="38"/>
      <c r="QE183" s="38"/>
      <c r="QF183" s="38"/>
      <c r="QG183" s="38"/>
      <c r="QH183" s="38"/>
      <c r="QI183" s="38"/>
      <c r="QJ183" s="38"/>
      <c r="QK183" s="38"/>
      <c r="QL183" s="38"/>
      <c r="QM183" s="38"/>
      <c r="QN183" s="38"/>
      <c r="QO183" s="38"/>
      <c r="QP183" s="38"/>
      <c r="QQ183" s="38"/>
      <c r="QR183" s="38"/>
      <c r="QS183" s="38"/>
      <c r="QT183" s="38"/>
      <c r="QU183" s="38"/>
      <c r="QV183" s="38"/>
      <c r="QW183" s="38"/>
      <c r="QX183" s="38"/>
      <c r="QY183" s="38"/>
      <c r="QZ183" s="38"/>
      <c r="RA183" s="38"/>
      <c r="RB183" s="38"/>
      <c r="RC183" s="38"/>
      <c r="RD183" s="38"/>
      <c r="RE183" s="38"/>
      <c r="RF183" s="38"/>
      <c r="RG183" s="38"/>
      <c r="RH183" s="38"/>
      <c r="RI183" s="38"/>
      <c r="RJ183" s="38"/>
      <c r="RK183" s="38"/>
      <c r="RL183" s="38"/>
      <c r="RM183" s="38"/>
      <c r="RN183" s="38"/>
      <c r="RO183" s="38"/>
      <c r="RP183" s="38"/>
      <c r="RQ183" s="38"/>
      <c r="RR183" s="38"/>
      <c r="RS183" s="38"/>
      <c r="RT183" s="38"/>
      <c r="RU183" s="38"/>
      <c r="RV183" s="38"/>
      <c r="RW183" s="38"/>
      <c r="RX183" s="38"/>
      <c r="RY183" s="38"/>
      <c r="RZ183" s="38"/>
      <c r="SA183" s="38"/>
      <c r="SB183" s="38"/>
      <c r="SC183" s="38"/>
      <c r="SD183" s="38"/>
      <c r="SE183" s="38"/>
      <c r="SF183" s="38"/>
      <c r="SG183" s="38"/>
      <c r="SH183" s="38"/>
      <c r="SI183" s="38"/>
      <c r="SJ183" s="38"/>
      <c r="SK183" s="38"/>
      <c r="SL183" s="38"/>
      <c r="SM183" s="38"/>
      <c r="SN183" s="38"/>
      <c r="SO183" s="38"/>
      <c r="SP183" s="38"/>
      <c r="SQ183" s="38"/>
      <c r="SR183" s="38"/>
      <c r="SS183" s="38"/>
      <c r="ST183" s="38"/>
      <c r="SU183" s="38"/>
      <c r="SV183" s="38"/>
      <c r="SW183" s="38"/>
      <c r="SX183" s="38"/>
      <c r="SY183" s="38"/>
      <c r="SZ183" s="38"/>
      <c r="TA183" s="38"/>
      <c r="TB183" s="38"/>
      <c r="TC183" s="38"/>
      <c r="TD183" s="38"/>
      <c r="TE183" s="38"/>
      <c r="TF183" s="38"/>
      <c r="TG183" s="38"/>
      <c r="TH183" s="38"/>
      <c r="TI183" s="38"/>
      <c r="TJ183" s="38"/>
    </row>
    <row r="184" spans="1:530" s="40" customFormat="1" ht="36" customHeight="1" x14ac:dyDescent="0.25">
      <c r="A184" s="77" t="s">
        <v>256</v>
      </c>
      <c r="B184" s="75"/>
      <c r="C184" s="75"/>
      <c r="D184" s="33" t="s">
        <v>54</v>
      </c>
      <c r="E184" s="68">
        <f>SUM(E185+E186+E187+E189+E190+E191+E192+E188)</f>
        <v>147462055</v>
      </c>
      <c r="F184" s="68">
        <f t="shared" ref="F184:P184" si="116">SUM(F185+F186+F187+F189+F190+F191+F192+F188)</f>
        <v>127319665</v>
      </c>
      <c r="G184" s="68">
        <f t="shared" si="116"/>
        <v>13922900</v>
      </c>
      <c r="H184" s="68">
        <f t="shared" si="116"/>
        <v>244400</v>
      </c>
      <c r="I184" s="68">
        <f t="shared" si="116"/>
        <v>0</v>
      </c>
      <c r="J184" s="68">
        <f t="shared" si="116"/>
        <v>93500</v>
      </c>
      <c r="K184" s="68">
        <f t="shared" si="116"/>
        <v>0</v>
      </c>
      <c r="L184" s="68">
        <f t="shared" si="116"/>
        <v>93500</v>
      </c>
      <c r="M184" s="68">
        <f t="shared" si="116"/>
        <v>0</v>
      </c>
      <c r="N184" s="68">
        <f t="shared" si="116"/>
        <v>0</v>
      </c>
      <c r="O184" s="68">
        <f t="shared" si="116"/>
        <v>0</v>
      </c>
      <c r="P184" s="68">
        <f t="shared" si="116"/>
        <v>147555555</v>
      </c>
      <c r="Q184" s="144">
        <v>19</v>
      </c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  <c r="IX184" s="39"/>
      <c r="IY184" s="39"/>
      <c r="IZ184" s="39"/>
      <c r="JA184" s="39"/>
      <c r="JB184" s="39"/>
      <c r="JC184" s="39"/>
      <c r="JD184" s="39"/>
      <c r="JE184" s="39"/>
      <c r="JF184" s="39"/>
      <c r="JG184" s="39"/>
      <c r="JH184" s="39"/>
      <c r="JI184" s="39"/>
      <c r="JJ184" s="39"/>
      <c r="JK184" s="39"/>
      <c r="JL184" s="39"/>
      <c r="JM184" s="39"/>
      <c r="JN184" s="39"/>
      <c r="JO184" s="39"/>
      <c r="JP184" s="39"/>
      <c r="JQ184" s="39"/>
      <c r="JR184" s="39"/>
      <c r="JS184" s="39"/>
      <c r="JT184" s="39"/>
      <c r="JU184" s="39"/>
      <c r="JV184" s="39"/>
      <c r="JW184" s="39"/>
      <c r="JX184" s="39"/>
      <c r="JY184" s="39"/>
      <c r="JZ184" s="39"/>
      <c r="KA184" s="39"/>
      <c r="KB184" s="39"/>
      <c r="KC184" s="39"/>
      <c r="KD184" s="39"/>
      <c r="KE184" s="39"/>
      <c r="KF184" s="39"/>
      <c r="KG184" s="39"/>
      <c r="KH184" s="39"/>
      <c r="KI184" s="39"/>
      <c r="KJ184" s="39"/>
      <c r="KK184" s="39"/>
      <c r="KL184" s="39"/>
      <c r="KM184" s="39"/>
      <c r="KN184" s="39"/>
      <c r="KO184" s="39"/>
      <c r="KP184" s="39"/>
      <c r="KQ184" s="39"/>
      <c r="KR184" s="39"/>
      <c r="KS184" s="39"/>
      <c r="KT184" s="39"/>
      <c r="KU184" s="39"/>
      <c r="KV184" s="39"/>
      <c r="KW184" s="39"/>
      <c r="KX184" s="39"/>
      <c r="KY184" s="39"/>
      <c r="KZ184" s="39"/>
      <c r="LA184" s="39"/>
      <c r="LB184" s="39"/>
      <c r="LC184" s="39"/>
      <c r="LD184" s="39"/>
      <c r="LE184" s="39"/>
      <c r="LF184" s="39"/>
      <c r="LG184" s="39"/>
      <c r="LH184" s="39"/>
      <c r="LI184" s="39"/>
      <c r="LJ184" s="39"/>
      <c r="LK184" s="39"/>
      <c r="LL184" s="39"/>
      <c r="LM184" s="39"/>
      <c r="LN184" s="39"/>
      <c r="LO184" s="39"/>
      <c r="LP184" s="39"/>
      <c r="LQ184" s="39"/>
      <c r="LR184" s="39"/>
      <c r="LS184" s="39"/>
      <c r="LT184" s="39"/>
      <c r="LU184" s="39"/>
      <c r="LV184" s="39"/>
      <c r="LW184" s="39"/>
      <c r="LX184" s="39"/>
      <c r="LY184" s="39"/>
      <c r="LZ184" s="39"/>
      <c r="MA184" s="39"/>
      <c r="MB184" s="39"/>
      <c r="MC184" s="39"/>
      <c r="MD184" s="39"/>
      <c r="ME184" s="39"/>
      <c r="MF184" s="39"/>
      <c r="MG184" s="39"/>
      <c r="MH184" s="39"/>
      <c r="MI184" s="39"/>
      <c r="MJ184" s="39"/>
      <c r="MK184" s="39"/>
      <c r="ML184" s="39"/>
      <c r="MM184" s="39"/>
      <c r="MN184" s="39"/>
      <c r="MO184" s="39"/>
      <c r="MP184" s="39"/>
      <c r="MQ184" s="39"/>
      <c r="MR184" s="39"/>
      <c r="MS184" s="39"/>
      <c r="MT184" s="39"/>
      <c r="MU184" s="39"/>
      <c r="MV184" s="39"/>
      <c r="MW184" s="39"/>
      <c r="MX184" s="39"/>
      <c r="MY184" s="39"/>
      <c r="MZ184" s="39"/>
      <c r="NA184" s="39"/>
      <c r="NB184" s="39"/>
      <c r="NC184" s="39"/>
      <c r="ND184" s="39"/>
      <c r="NE184" s="39"/>
      <c r="NF184" s="39"/>
      <c r="NG184" s="39"/>
      <c r="NH184" s="39"/>
      <c r="NI184" s="39"/>
      <c r="NJ184" s="39"/>
      <c r="NK184" s="39"/>
      <c r="NL184" s="39"/>
      <c r="NM184" s="39"/>
      <c r="NN184" s="39"/>
      <c r="NO184" s="39"/>
      <c r="NP184" s="39"/>
      <c r="NQ184" s="39"/>
      <c r="NR184" s="39"/>
      <c r="NS184" s="39"/>
      <c r="NT184" s="39"/>
      <c r="NU184" s="39"/>
      <c r="NV184" s="39"/>
      <c r="NW184" s="39"/>
      <c r="NX184" s="39"/>
      <c r="NY184" s="39"/>
      <c r="NZ184" s="39"/>
      <c r="OA184" s="39"/>
      <c r="OB184" s="39"/>
      <c r="OC184" s="39"/>
      <c r="OD184" s="39"/>
      <c r="OE184" s="39"/>
      <c r="OF184" s="39"/>
      <c r="OG184" s="39"/>
      <c r="OH184" s="39"/>
      <c r="OI184" s="39"/>
      <c r="OJ184" s="39"/>
      <c r="OK184" s="39"/>
      <c r="OL184" s="39"/>
      <c r="OM184" s="39"/>
      <c r="ON184" s="39"/>
      <c r="OO184" s="39"/>
      <c r="OP184" s="39"/>
      <c r="OQ184" s="39"/>
      <c r="OR184" s="39"/>
      <c r="OS184" s="39"/>
      <c r="OT184" s="39"/>
      <c r="OU184" s="39"/>
      <c r="OV184" s="39"/>
      <c r="OW184" s="39"/>
      <c r="OX184" s="39"/>
      <c r="OY184" s="39"/>
      <c r="OZ184" s="39"/>
      <c r="PA184" s="39"/>
      <c r="PB184" s="39"/>
      <c r="PC184" s="39"/>
      <c r="PD184" s="39"/>
      <c r="PE184" s="39"/>
      <c r="PF184" s="39"/>
      <c r="PG184" s="39"/>
      <c r="PH184" s="39"/>
      <c r="PI184" s="39"/>
      <c r="PJ184" s="39"/>
      <c r="PK184" s="39"/>
      <c r="PL184" s="39"/>
      <c r="PM184" s="39"/>
      <c r="PN184" s="39"/>
      <c r="PO184" s="39"/>
      <c r="PP184" s="39"/>
      <c r="PQ184" s="39"/>
      <c r="PR184" s="39"/>
      <c r="PS184" s="39"/>
      <c r="PT184" s="39"/>
      <c r="PU184" s="39"/>
      <c r="PV184" s="39"/>
      <c r="PW184" s="39"/>
      <c r="PX184" s="39"/>
      <c r="PY184" s="39"/>
      <c r="PZ184" s="39"/>
      <c r="QA184" s="39"/>
      <c r="QB184" s="39"/>
      <c r="QC184" s="39"/>
      <c r="QD184" s="39"/>
      <c r="QE184" s="39"/>
      <c r="QF184" s="39"/>
      <c r="QG184" s="39"/>
      <c r="QH184" s="39"/>
      <c r="QI184" s="39"/>
      <c r="QJ184" s="39"/>
      <c r="QK184" s="39"/>
      <c r="QL184" s="39"/>
      <c r="QM184" s="39"/>
      <c r="QN184" s="39"/>
      <c r="QO184" s="39"/>
      <c r="QP184" s="39"/>
      <c r="QQ184" s="39"/>
      <c r="QR184" s="39"/>
      <c r="QS184" s="39"/>
      <c r="QT184" s="39"/>
      <c r="QU184" s="39"/>
      <c r="QV184" s="39"/>
      <c r="QW184" s="39"/>
      <c r="QX184" s="39"/>
      <c r="QY184" s="39"/>
      <c r="QZ184" s="39"/>
      <c r="RA184" s="39"/>
      <c r="RB184" s="39"/>
      <c r="RC184" s="39"/>
      <c r="RD184" s="39"/>
      <c r="RE184" s="39"/>
      <c r="RF184" s="39"/>
      <c r="RG184" s="39"/>
      <c r="RH184" s="39"/>
      <c r="RI184" s="39"/>
      <c r="RJ184" s="39"/>
      <c r="RK184" s="39"/>
      <c r="RL184" s="39"/>
      <c r="RM184" s="39"/>
      <c r="RN184" s="39"/>
      <c r="RO184" s="39"/>
      <c r="RP184" s="39"/>
      <c r="RQ184" s="39"/>
      <c r="RR184" s="39"/>
      <c r="RS184" s="39"/>
      <c r="RT184" s="39"/>
      <c r="RU184" s="39"/>
      <c r="RV184" s="39"/>
      <c r="RW184" s="39"/>
      <c r="RX184" s="39"/>
      <c r="RY184" s="39"/>
      <c r="RZ184" s="39"/>
      <c r="SA184" s="39"/>
      <c r="SB184" s="39"/>
      <c r="SC184" s="39"/>
      <c r="SD184" s="39"/>
      <c r="SE184" s="39"/>
      <c r="SF184" s="39"/>
      <c r="SG184" s="39"/>
      <c r="SH184" s="39"/>
      <c r="SI184" s="39"/>
      <c r="SJ184" s="39"/>
      <c r="SK184" s="39"/>
      <c r="SL184" s="39"/>
      <c r="SM184" s="39"/>
      <c r="SN184" s="39"/>
      <c r="SO184" s="39"/>
      <c r="SP184" s="39"/>
      <c r="SQ184" s="39"/>
      <c r="SR184" s="39"/>
      <c r="SS184" s="39"/>
      <c r="ST184" s="39"/>
      <c r="SU184" s="39"/>
      <c r="SV184" s="39"/>
      <c r="SW184" s="39"/>
      <c r="SX184" s="39"/>
      <c r="SY184" s="39"/>
      <c r="SZ184" s="39"/>
      <c r="TA184" s="39"/>
      <c r="TB184" s="39"/>
      <c r="TC184" s="39"/>
      <c r="TD184" s="39"/>
      <c r="TE184" s="39"/>
      <c r="TF184" s="39"/>
      <c r="TG184" s="39"/>
      <c r="TH184" s="39"/>
      <c r="TI184" s="39"/>
      <c r="TJ184" s="39"/>
    </row>
    <row r="185" spans="1:530" s="23" customFormat="1" ht="42" customHeight="1" x14ac:dyDescent="0.25">
      <c r="A185" s="43" t="s">
        <v>257</v>
      </c>
      <c r="B185" s="44" t="str">
        <f>'дод 4'!A14</f>
        <v>0160</v>
      </c>
      <c r="C185" s="44" t="str">
        <f>'дод 4'!B14</f>
        <v>0111</v>
      </c>
      <c r="D185" s="22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85" s="69">
        <f t="shared" ref="E185:E190" si="117">F185+I185</f>
        <v>17857800</v>
      </c>
      <c r="F185" s="69">
        <f>18669000+46200-857400</f>
        <v>17857800</v>
      </c>
      <c r="G185" s="69">
        <f>14625700-702800</f>
        <v>13922900</v>
      </c>
      <c r="H185" s="69">
        <v>244400</v>
      </c>
      <c r="I185" s="69"/>
      <c r="J185" s="69">
        <f>L185+O185</f>
        <v>0</v>
      </c>
      <c r="K185" s="69"/>
      <c r="L185" s="69"/>
      <c r="M185" s="69"/>
      <c r="N185" s="69"/>
      <c r="O185" s="69"/>
      <c r="P185" s="69">
        <f t="shared" ref="P185:P192" si="118">E185+J185</f>
        <v>17857800</v>
      </c>
      <c r="Q185" s="144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  <c r="TJ185" s="26"/>
    </row>
    <row r="186" spans="1:530" s="23" customFormat="1" ht="18.75" customHeight="1" x14ac:dyDescent="0.25">
      <c r="A186" s="43" t="s">
        <v>300</v>
      </c>
      <c r="B186" s="44" t="str">
        <f>'дод 4'!A113</f>
        <v>7640</v>
      </c>
      <c r="C186" s="44" t="str">
        <f>'дод 4'!B113</f>
        <v>0470</v>
      </c>
      <c r="D186" s="24" t="str">
        <f>'дод 4'!C113</f>
        <v>Заходи з енергозбереження</v>
      </c>
      <c r="E186" s="69">
        <f t="shared" si="117"/>
        <v>345000</v>
      </c>
      <c r="F186" s="69">
        <v>345000</v>
      </c>
      <c r="G186" s="69"/>
      <c r="H186" s="69"/>
      <c r="I186" s="69"/>
      <c r="J186" s="69">
        <f t="shared" ref="J186:J192" si="119">L186+O186</f>
        <v>0</v>
      </c>
      <c r="K186" s="69"/>
      <c r="L186" s="69"/>
      <c r="M186" s="69"/>
      <c r="N186" s="69"/>
      <c r="O186" s="69"/>
      <c r="P186" s="69">
        <f t="shared" si="118"/>
        <v>345000</v>
      </c>
      <c r="Q186" s="144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  <c r="TJ186" s="26"/>
    </row>
    <row r="187" spans="1:530" s="23" customFormat="1" ht="24" customHeight="1" x14ac:dyDescent="0.25">
      <c r="A187" s="43" t="s">
        <v>387</v>
      </c>
      <c r="B187" s="44" t="str">
        <f>'дод 4'!A119</f>
        <v>7693</v>
      </c>
      <c r="C187" s="44" t="str">
        <f>'дод 4'!B119</f>
        <v>0490</v>
      </c>
      <c r="D187" s="24" t="str">
        <f>'дод 4'!C119</f>
        <v>Інші заходи, пов'язані з економічною діяльністю</v>
      </c>
      <c r="E187" s="69">
        <f t="shared" si="117"/>
        <v>213200</v>
      </c>
      <c r="F187" s="69">
        <v>213200</v>
      </c>
      <c r="G187" s="69"/>
      <c r="H187" s="69"/>
      <c r="I187" s="69"/>
      <c r="J187" s="69">
        <f t="shared" si="119"/>
        <v>0</v>
      </c>
      <c r="K187" s="69"/>
      <c r="L187" s="69"/>
      <c r="M187" s="69"/>
      <c r="N187" s="69"/>
      <c r="O187" s="69"/>
      <c r="P187" s="69">
        <f t="shared" si="118"/>
        <v>213200</v>
      </c>
      <c r="Q187" s="144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  <c r="TJ187" s="26"/>
    </row>
    <row r="188" spans="1:530" s="23" customFormat="1" ht="33.75" customHeight="1" x14ac:dyDescent="0.25">
      <c r="A188" s="43">
        <v>3718330</v>
      </c>
      <c r="B188" s="44">
        <f>'дод 4'!A129</f>
        <v>8330</v>
      </c>
      <c r="C188" s="44">
        <f>'дод 4'!B129</f>
        <v>540</v>
      </c>
      <c r="D188" s="24" t="str">
        <f>'дод 4'!C129</f>
        <v xml:space="preserve">Інша діяльність у сфері екології та охорони природних ресурсів </v>
      </c>
      <c r="E188" s="69">
        <f t="shared" si="117"/>
        <v>75000</v>
      </c>
      <c r="F188" s="69">
        <v>75000</v>
      </c>
      <c r="G188" s="69"/>
      <c r="H188" s="69"/>
      <c r="I188" s="69"/>
      <c r="J188" s="69">
        <f t="shared" si="119"/>
        <v>0</v>
      </c>
      <c r="K188" s="69"/>
      <c r="L188" s="69"/>
      <c r="M188" s="69"/>
      <c r="N188" s="69"/>
      <c r="O188" s="69"/>
      <c r="P188" s="69">
        <f t="shared" si="118"/>
        <v>75000</v>
      </c>
      <c r="Q188" s="144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  <c r="TJ188" s="26"/>
    </row>
    <row r="189" spans="1:530" s="23" customFormat="1" ht="26.25" customHeight="1" x14ac:dyDescent="0.25">
      <c r="A189" s="43" t="s">
        <v>258</v>
      </c>
      <c r="B189" s="44" t="str">
        <f>'дод 4'!A130</f>
        <v>8340</v>
      </c>
      <c r="C189" s="43" t="str">
        <f>'дод 4'!B130</f>
        <v>0540</v>
      </c>
      <c r="D189" s="24" t="str">
        <f>'дод 4'!C130</f>
        <v>Природоохоронні заходи за рахунок цільових фондів</v>
      </c>
      <c r="E189" s="69">
        <f t="shared" si="117"/>
        <v>0</v>
      </c>
      <c r="F189" s="69"/>
      <c r="G189" s="69"/>
      <c r="H189" s="69"/>
      <c r="I189" s="69"/>
      <c r="J189" s="69">
        <f t="shared" si="119"/>
        <v>93500</v>
      </c>
      <c r="K189" s="69"/>
      <c r="L189" s="69">
        <f>45000+48500</f>
        <v>93500</v>
      </c>
      <c r="M189" s="69"/>
      <c r="N189" s="69"/>
      <c r="O189" s="69"/>
      <c r="P189" s="69">
        <f t="shared" si="118"/>
        <v>93500</v>
      </c>
      <c r="Q189" s="144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  <c r="TJ189" s="26"/>
    </row>
    <row r="190" spans="1:530" s="23" customFormat="1" ht="27" customHeight="1" x14ac:dyDescent="0.25">
      <c r="A190" s="43" t="s">
        <v>259</v>
      </c>
      <c r="B190" s="44" t="str">
        <f>'дод 4'!A133</f>
        <v>8600</v>
      </c>
      <c r="C190" s="44" t="str">
        <f>'дод 4'!B133</f>
        <v>0170</v>
      </c>
      <c r="D190" s="24" t="str">
        <f>'дод 4'!C133</f>
        <v>Обслуговування місцевого боргу</v>
      </c>
      <c r="E190" s="69">
        <f t="shared" si="117"/>
        <v>712065</v>
      </c>
      <c r="F190" s="69">
        <f>28187+238378+445500</f>
        <v>712065</v>
      </c>
      <c r="G190" s="69"/>
      <c r="H190" s="69"/>
      <c r="I190" s="69"/>
      <c r="J190" s="69">
        <f t="shared" si="119"/>
        <v>0</v>
      </c>
      <c r="K190" s="69"/>
      <c r="L190" s="69"/>
      <c r="M190" s="69"/>
      <c r="N190" s="69"/>
      <c r="O190" s="69"/>
      <c r="P190" s="69">
        <f t="shared" si="118"/>
        <v>712065</v>
      </c>
      <c r="Q190" s="144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  <c r="TJ190" s="26"/>
    </row>
    <row r="191" spans="1:530" s="23" customFormat="1" ht="21" customHeight="1" x14ac:dyDescent="0.25">
      <c r="A191" s="43" t="s">
        <v>273</v>
      </c>
      <c r="B191" s="44" t="str">
        <f>'дод 4'!A134</f>
        <v>8700</v>
      </c>
      <c r="C191" s="44" t="str">
        <f>'дод 4'!B134</f>
        <v>0133</v>
      </c>
      <c r="D191" s="24" t="str">
        <f>'дод 4'!C134</f>
        <v>Резервний фонд</v>
      </c>
      <c r="E191" s="69">
        <f>20000000+40000+102390</f>
        <v>20142390</v>
      </c>
      <c r="F191" s="69"/>
      <c r="G191" s="69"/>
      <c r="H191" s="69"/>
      <c r="I191" s="69"/>
      <c r="J191" s="69">
        <f t="shared" si="119"/>
        <v>0</v>
      </c>
      <c r="K191" s="69"/>
      <c r="L191" s="69"/>
      <c r="M191" s="69"/>
      <c r="N191" s="69"/>
      <c r="O191" s="69"/>
      <c r="P191" s="69">
        <f t="shared" si="118"/>
        <v>20142390</v>
      </c>
      <c r="Q191" s="144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  <c r="TJ191" s="26"/>
    </row>
    <row r="192" spans="1:530" s="23" customFormat="1" ht="22.5" customHeight="1" x14ac:dyDescent="0.25">
      <c r="A192" s="43" t="s">
        <v>274</v>
      </c>
      <c r="B192" s="44" t="str">
        <f>'дод 4'!A137</f>
        <v>9110</v>
      </c>
      <c r="C192" s="44" t="str">
        <f>'дод 4'!B137</f>
        <v>0180</v>
      </c>
      <c r="D192" s="24" t="str">
        <f>'дод 4'!C137</f>
        <v>Реверсна дотація</v>
      </c>
      <c r="E192" s="69">
        <f>F192+I192</f>
        <v>108116600</v>
      </c>
      <c r="F192" s="69">
        <v>108116600</v>
      </c>
      <c r="G192" s="69"/>
      <c r="H192" s="69"/>
      <c r="I192" s="69"/>
      <c r="J192" s="69">
        <f t="shared" si="119"/>
        <v>0</v>
      </c>
      <c r="K192" s="69"/>
      <c r="L192" s="69"/>
      <c r="M192" s="69"/>
      <c r="N192" s="69"/>
      <c r="O192" s="69"/>
      <c r="P192" s="69">
        <f t="shared" si="118"/>
        <v>108116600</v>
      </c>
      <c r="Q192" s="144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  <c r="TJ192" s="26"/>
    </row>
    <row r="193" spans="1:530" s="31" customFormat="1" ht="24.75" customHeight="1" x14ac:dyDescent="0.2">
      <c r="A193" s="90"/>
      <c r="B193" s="74"/>
      <c r="C193" s="79"/>
      <c r="D193" s="30" t="s">
        <v>27</v>
      </c>
      <c r="E193" s="66">
        <f>E13+E45+E71+E89+E111+E116+E126+E150+E153+E167+E172+E175+E183</f>
        <v>2037109141.0700002</v>
      </c>
      <c r="F193" s="66">
        <f t="shared" ref="F193:P193" si="120">F13+F45+F71+F89+F111+F116+F126+F150+F153+F167+F172+F175+F183</f>
        <v>1971965313.0700002</v>
      </c>
      <c r="G193" s="66">
        <f t="shared" si="120"/>
        <v>908809662</v>
      </c>
      <c r="H193" s="66">
        <f t="shared" si="120"/>
        <v>121640963</v>
      </c>
      <c r="I193" s="66">
        <f t="shared" si="120"/>
        <v>45001438</v>
      </c>
      <c r="J193" s="66">
        <f t="shared" si="120"/>
        <v>555259626.6099999</v>
      </c>
      <c r="K193" s="66">
        <f t="shared" si="120"/>
        <v>474608379.96999997</v>
      </c>
      <c r="L193" s="66">
        <f t="shared" si="120"/>
        <v>64683011.010000005</v>
      </c>
      <c r="M193" s="66">
        <f t="shared" si="120"/>
        <v>9012497</v>
      </c>
      <c r="N193" s="66">
        <f t="shared" si="120"/>
        <v>3810541</v>
      </c>
      <c r="O193" s="66">
        <f t="shared" si="120"/>
        <v>490576615.59999996</v>
      </c>
      <c r="P193" s="66">
        <f t="shared" si="120"/>
        <v>2592368767.6799998</v>
      </c>
      <c r="Q193" s="144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  <c r="IV193" s="38"/>
      <c r="IW193" s="38"/>
      <c r="IX193" s="38"/>
      <c r="IY193" s="38"/>
      <c r="IZ193" s="38"/>
      <c r="JA193" s="38"/>
      <c r="JB193" s="38"/>
      <c r="JC193" s="38"/>
      <c r="JD193" s="38"/>
      <c r="JE193" s="38"/>
      <c r="JF193" s="38"/>
      <c r="JG193" s="38"/>
      <c r="JH193" s="38"/>
      <c r="JI193" s="38"/>
      <c r="JJ193" s="38"/>
      <c r="JK193" s="38"/>
      <c r="JL193" s="38"/>
      <c r="JM193" s="38"/>
      <c r="JN193" s="38"/>
      <c r="JO193" s="38"/>
      <c r="JP193" s="38"/>
      <c r="JQ193" s="38"/>
      <c r="JR193" s="38"/>
      <c r="JS193" s="38"/>
      <c r="JT193" s="38"/>
      <c r="JU193" s="38"/>
      <c r="JV193" s="38"/>
      <c r="JW193" s="38"/>
      <c r="JX193" s="38"/>
      <c r="JY193" s="38"/>
      <c r="JZ193" s="38"/>
      <c r="KA193" s="38"/>
      <c r="KB193" s="38"/>
      <c r="KC193" s="38"/>
      <c r="KD193" s="38"/>
      <c r="KE193" s="38"/>
      <c r="KF193" s="38"/>
      <c r="KG193" s="38"/>
      <c r="KH193" s="38"/>
      <c r="KI193" s="38"/>
      <c r="KJ193" s="38"/>
      <c r="KK193" s="38"/>
      <c r="KL193" s="38"/>
      <c r="KM193" s="38"/>
      <c r="KN193" s="38"/>
      <c r="KO193" s="38"/>
      <c r="KP193" s="38"/>
      <c r="KQ193" s="38"/>
      <c r="KR193" s="38"/>
      <c r="KS193" s="38"/>
      <c r="KT193" s="38"/>
      <c r="KU193" s="38"/>
      <c r="KV193" s="38"/>
      <c r="KW193" s="38"/>
      <c r="KX193" s="38"/>
      <c r="KY193" s="38"/>
      <c r="KZ193" s="38"/>
      <c r="LA193" s="38"/>
      <c r="LB193" s="38"/>
      <c r="LC193" s="38"/>
      <c r="LD193" s="38"/>
      <c r="LE193" s="38"/>
      <c r="LF193" s="38"/>
      <c r="LG193" s="38"/>
      <c r="LH193" s="38"/>
      <c r="LI193" s="38"/>
      <c r="LJ193" s="38"/>
      <c r="LK193" s="38"/>
      <c r="LL193" s="38"/>
      <c r="LM193" s="38"/>
      <c r="LN193" s="38"/>
      <c r="LO193" s="38"/>
      <c r="LP193" s="38"/>
      <c r="LQ193" s="38"/>
      <c r="LR193" s="38"/>
      <c r="LS193" s="38"/>
      <c r="LT193" s="38"/>
      <c r="LU193" s="38"/>
      <c r="LV193" s="38"/>
      <c r="LW193" s="38"/>
      <c r="LX193" s="38"/>
      <c r="LY193" s="38"/>
      <c r="LZ193" s="38"/>
      <c r="MA193" s="38"/>
      <c r="MB193" s="38"/>
      <c r="MC193" s="38"/>
      <c r="MD193" s="38"/>
      <c r="ME193" s="38"/>
      <c r="MF193" s="38"/>
      <c r="MG193" s="38"/>
      <c r="MH193" s="38"/>
      <c r="MI193" s="38"/>
      <c r="MJ193" s="38"/>
      <c r="MK193" s="38"/>
      <c r="ML193" s="38"/>
      <c r="MM193" s="38"/>
      <c r="MN193" s="38"/>
      <c r="MO193" s="38"/>
      <c r="MP193" s="38"/>
      <c r="MQ193" s="38"/>
      <c r="MR193" s="38"/>
      <c r="MS193" s="38"/>
      <c r="MT193" s="38"/>
      <c r="MU193" s="38"/>
      <c r="MV193" s="38"/>
      <c r="MW193" s="38"/>
      <c r="MX193" s="38"/>
      <c r="MY193" s="38"/>
      <c r="MZ193" s="38"/>
      <c r="NA193" s="38"/>
      <c r="NB193" s="38"/>
      <c r="NC193" s="38"/>
      <c r="ND193" s="38"/>
      <c r="NE193" s="38"/>
      <c r="NF193" s="38"/>
      <c r="NG193" s="38"/>
      <c r="NH193" s="38"/>
      <c r="NI193" s="38"/>
      <c r="NJ193" s="38"/>
      <c r="NK193" s="38"/>
      <c r="NL193" s="38"/>
      <c r="NM193" s="38"/>
      <c r="NN193" s="38"/>
      <c r="NO193" s="38"/>
      <c r="NP193" s="38"/>
      <c r="NQ193" s="38"/>
      <c r="NR193" s="38"/>
      <c r="NS193" s="38"/>
      <c r="NT193" s="38"/>
      <c r="NU193" s="38"/>
      <c r="NV193" s="38"/>
      <c r="NW193" s="38"/>
      <c r="NX193" s="38"/>
      <c r="NY193" s="38"/>
      <c r="NZ193" s="38"/>
      <c r="OA193" s="38"/>
      <c r="OB193" s="38"/>
      <c r="OC193" s="38"/>
      <c r="OD193" s="38"/>
      <c r="OE193" s="38"/>
      <c r="OF193" s="38"/>
      <c r="OG193" s="38"/>
      <c r="OH193" s="38"/>
      <c r="OI193" s="38"/>
      <c r="OJ193" s="38"/>
      <c r="OK193" s="38"/>
      <c r="OL193" s="38"/>
      <c r="OM193" s="38"/>
      <c r="ON193" s="38"/>
      <c r="OO193" s="38"/>
      <c r="OP193" s="38"/>
      <c r="OQ193" s="38"/>
      <c r="OR193" s="38"/>
      <c r="OS193" s="38"/>
      <c r="OT193" s="38"/>
      <c r="OU193" s="38"/>
      <c r="OV193" s="38"/>
      <c r="OW193" s="38"/>
      <c r="OX193" s="38"/>
      <c r="OY193" s="38"/>
      <c r="OZ193" s="38"/>
      <c r="PA193" s="38"/>
      <c r="PB193" s="38"/>
      <c r="PC193" s="38"/>
      <c r="PD193" s="38"/>
      <c r="PE193" s="38"/>
      <c r="PF193" s="38"/>
      <c r="PG193" s="38"/>
      <c r="PH193" s="38"/>
      <c r="PI193" s="38"/>
      <c r="PJ193" s="38"/>
      <c r="PK193" s="38"/>
      <c r="PL193" s="38"/>
      <c r="PM193" s="38"/>
      <c r="PN193" s="38"/>
      <c r="PO193" s="38"/>
      <c r="PP193" s="38"/>
      <c r="PQ193" s="38"/>
      <c r="PR193" s="38"/>
      <c r="PS193" s="38"/>
      <c r="PT193" s="38"/>
      <c r="PU193" s="38"/>
      <c r="PV193" s="38"/>
      <c r="PW193" s="38"/>
      <c r="PX193" s="38"/>
      <c r="PY193" s="38"/>
      <c r="PZ193" s="38"/>
      <c r="QA193" s="38"/>
      <c r="QB193" s="38"/>
      <c r="QC193" s="38"/>
      <c r="QD193" s="38"/>
      <c r="QE193" s="38"/>
      <c r="QF193" s="38"/>
      <c r="QG193" s="38"/>
      <c r="QH193" s="38"/>
      <c r="QI193" s="38"/>
      <c r="QJ193" s="38"/>
      <c r="QK193" s="38"/>
      <c r="QL193" s="38"/>
      <c r="QM193" s="38"/>
      <c r="QN193" s="38"/>
      <c r="QO193" s="38"/>
      <c r="QP193" s="38"/>
      <c r="QQ193" s="38"/>
      <c r="QR193" s="38"/>
      <c r="QS193" s="38"/>
      <c r="QT193" s="38"/>
      <c r="QU193" s="38"/>
      <c r="QV193" s="38"/>
      <c r="QW193" s="38"/>
      <c r="QX193" s="38"/>
      <c r="QY193" s="38"/>
      <c r="QZ193" s="38"/>
      <c r="RA193" s="38"/>
      <c r="RB193" s="38"/>
      <c r="RC193" s="38"/>
      <c r="RD193" s="38"/>
      <c r="RE193" s="38"/>
      <c r="RF193" s="38"/>
      <c r="RG193" s="38"/>
      <c r="RH193" s="38"/>
      <c r="RI193" s="38"/>
      <c r="RJ193" s="38"/>
      <c r="RK193" s="38"/>
      <c r="RL193" s="38"/>
      <c r="RM193" s="38"/>
      <c r="RN193" s="38"/>
      <c r="RO193" s="38"/>
      <c r="RP193" s="38"/>
      <c r="RQ193" s="38"/>
      <c r="RR193" s="38"/>
      <c r="RS193" s="38"/>
      <c r="RT193" s="38"/>
      <c r="RU193" s="38"/>
      <c r="RV193" s="38"/>
      <c r="RW193" s="38"/>
      <c r="RX193" s="38"/>
      <c r="RY193" s="38"/>
      <c r="RZ193" s="38"/>
      <c r="SA193" s="38"/>
      <c r="SB193" s="38"/>
      <c r="SC193" s="38"/>
      <c r="SD193" s="38"/>
      <c r="SE193" s="38"/>
      <c r="SF193" s="38"/>
      <c r="SG193" s="38"/>
      <c r="SH193" s="38"/>
      <c r="SI193" s="38"/>
      <c r="SJ193" s="38"/>
      <c r="SK193" s="38"/>
      <c r="SL193" s="38"/>
      <c r="SM193" s="38"/>
      <c r="SN193" s="38"/>
      <c r="SO193" s="38"/>
      <c r="SP193" s="38"/>
      <c r="SQ193" s="38"/>
      <c r="SR193" s="38"/>
      <c r="SS193" s="38"/>
      <c r="ST193" s="38"/>
      <c r="SU193" s="38"/>
      <c r="SV193" s="38"/>
      <c r="SW193" s="38"/>
      <c r="SX193" s="38"/>
      <c r="SY193" s="38"/>
      <c r="SZ193" s="38"/>
      <c r="TA193" s="38"/>
      <c r="TB193" s="38"/>
      <c r="TC193" s="38"/>
      <c r="TD193" s="38"/>
      <c r="TE193" s="38"/>
      <c r="TF193" s="38"/>
      <c r="TG193" s="38"/>
      <c r="TH193" s="38"/>
      <c r="TI193" s="38"/>
      <c r="TJ193" s="38"/>
    </row>
    <row r="194" spans="1:530" s="31" customFormat="1" ht="20.25" customHeight="1" x14ac:dyDescent="0.2">
      <c r="A194" s="90"/>
      <c r="B194" s="74"/>
      <c r="C194" s="79"/>
      <c r="D194" s="30" t="s">
        <v>308</v>
      </c>
      <c r="E194" s="66">
        <f>E47+E73+E144</f>
        <v>433222465</v>
      </c>
      <c r="F194" s="66">
        <f t="shared" ref="F194:P194" si="121">F47+F73+F144</f>
        <v>433222465</v>
      </c>
      <c r="G194" s="66">
        <f t="shared" si="121"/>
        <v>307031030</v>
      </c>
      <c r="H194" s="66">
        <f t="shared" si="121"/>
        <v>0</v>
      </c>
      <c r="I194" s="66">
        <f t="shared" si="121"/>
        <v>0</v>
      </c>
      <c r="J194" s="66">
        <f t="shared" si="121"/>
        <v>2015506.9300000002</v>
      </c>
      <c r="K194" s="66">
        <f t="shared" si="121"/>
        <v>2015506.9300000002</v>
      </c>
      <c r="L194" s="66">
        <f t="shared" si="121"/>
        <v>0</v>
      </c>
      <c r="M194" s="66">
        <f t="shared" si="121"/>
        <v>0</v>
      </c>
      <c r="N194" s="66">
        <f t="shared" si="121"/>
        <v>0</v>
      </c>
      <c r="O194" s="66">
        <f t="shared" si="121"/>
        <v>2015506.9300000002</v>
      </c>
      <c r="P194" s="66">
        <f t="shared" si="121"/>
        <v>435237971.93000001</v>
      </c>
      <c r="Q194" s="144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  <c r="IV194" s="38"/>
      <c r="IW194" s="38"/>
      <c r="IX194" s="38"/>
      <c r="IY194" s="38"/>
      <c r="IZ194" s="38"/>
      <c r="JA194" s="38"/>
      <c r="JB194" s="38"/>
      <c r="JC194" s="38"/>
      <c r="JD194" s="38"/>
      <c r="JE194" s="38"/>
      <c r="JF194" s="38"/>
      <c r="JG194" s="38"/>
      <c r="JH194" s="38"/>
      <c r="JI194" s="38"/>
      <c r="JJ194" s="38"/>
      <c r="JK194" s="38"/>
      <c r="JL194" s="38"/>
      <c r="JM194" s="38"/>
      <c r="JN194" s="38"/>
      <c r="JO194" s="38"/>
      <c r="JP194" s="38"/>
      <c r="JQ194" s="38"/>
      <c r="JR194" s="38"/>
      <c r="JS194" s="38"/>
      <c r="JT194" s="38"/>
      <c r="JU194" s="38"/>
      <c r="JV194" s="38"/>
      <c r="JW194" s="38"/>
      <c r="JX194" s="38"/>
      <c r="JY194" s="38"/>
      <c r="JZ194" s="38"/>
      <c r="KA194" s="38"/>
      <c r="KB194" s="38"/>
      <c r="KC194" s="38"/>
      <c r="KD194" s="38"/>
      <c r="KE194" s="38"/>
      <c r="KF194" s="38"/>
      <c r="KG194" s="38"/>
      <c r="KH194" s="38"/>
      <c r="KI194" s="38"/>
      <c r="KJ194" s="38"/>
      <c r="KK194" s="38"/>
      <c r="KL194" s="38"/>
      <c r="KM194" s="38"/>
      <c r="KN194" s="38"/>
      <c r="KO194" s="38"/>
      <c r="KP194" s="38"/>
      <c r="KQ194" s="38"/>
      <c r="KR194" s="38"/>
      <c r="KS194" s="38"/>
      <c r="KT194" s="38"/>
      <c r="KU194" s="38"/>
      <c r="KV194" s="38"/>
      <c r="KW194" s="38"/>
      <c r="KX194" s="38"/>
      <c r="KY194" s="38"/>
      <c r="KZ194" s="38"/>
      <c r="LA194" s="38"/>
      <c r="LB194" s="38"/>
      <c r="LC194" s="38"/>
      <c r="LD194" s="38"/>
      <c r="LE194" s="38"/>
      <c r="LF194" s="38"/>
      <c r="LG194" s="38"/>
      <c r="LH194" s="38"/>
      <c r="LI194" s="38"/>
      <c r="LJ194" s="38"/>
      <c r="LK194" s="38"/>
      <c r="LL194" s="38"/>
      <c r="LM194" s="38"/>
      <c r="LN194" s="38"/>
      <c r="LO194" s="38"/>
      <c r="LP194" s="38"/>
      <c r="LQ194" s="38"/>
      <c r="LR194" s="38"/>
      <c r="LS194" s="38"/>
      <c r="LT194" s="38"/>
      <c r="LU194" s="38"/>
      <c r="LV194" s="38"/>
      <c r="LW194" s="38"/>
      <c r="LX194" s="38"/>
      <c r="LY194" s="38"/>
      <c r="LZ194" s="38"/>
      <c r="MA194" s="38"/>
      <c r="MB194" s="38"/>
      <c r="MC194" s="38"/>
      <c r="MD194" s="38"/>
      <c r="ME194" s="38"/>
      <c r="MF194" s="38"/>
      <c r="MG194" s="38"/>
      <c r="MH194" s="38"/>
      <c r="MI194" s="38"/>
      <c r="MJ194" s="38"/>
      <c r="MK194" s="38"/>
      <c r="ML194" s="38"/>
      <c r="MM194" s="38"/>
      <c r="MN194" s="38"/>
      <c r="MO194" s="38"/>
      <c r="MP194" s="38"/>
      <c r="MQ194" s="38"/>
      <c r="MR194" s="38"/>
      <c r="MS194" s="38"/>
      <c r="MT194" s="38"/>
      <c r="MU194" s="38"/>
      <c r="MV194" s="38"/>
      <c r="MW194" s="38"/>
      <c r="MX194" s="38"/>
      <c r="MY194" s="38"/>
      <c r="MZ194" s="38"/>
      <c r="NA194" s="38"/>
      <c r="NB194" s="38"/>
      <c r="NC194" s="38"/>
      <c r="ND194" s="38"/>
      <c r="NE194" s="38"/>
      <c r="NF194" s="38"/>
      <c r="NG194" s="38"/>
      <c r="NH194" s="3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38"/>
      <c r="OI194" s="38"/>
      <c r="OJ194" s="38"/>
      <c r="OK194" s="38"/>
      <c r="OL194" s="38"/>
      <c r="OM194" s="38"/>
      <c r="ON194" s="38"/>
      <c r="OO194" s="38"/>
      <c r="OP194" s="38"/>
      <c r="OQ194" s="38"/>
      <c r="OR194" s="38"/>
      <c r="OS194" s="38"/>
      <c r="OT194" s="38"/>
      <c r="OU194" s="38"/>
      <c r="OV194" s="38"/>
      <c r="OW194" s="38"/>
      <c r="OX194" s="38"/>
      <c r="OY194" s="38"/>
      <c r="OZ194" s="38"/>
      <c r="PA194" s="38"/>
      <c r="PB194" s="38"/>
      <c r="PC194" s="38"/>
      <c r="PD194" s="38"/>
      <c r="PE194" s="38"/>
      <c r="PF194" s="38"/>
      <c r="PG194" s="38"/>
      <c r="PH194" s="38"/>
      <c r="PI194" s="38"/>
      <c r="PJ194" s="38"/>
      <c r="PK194" s="38"/>
      <c r="PL194" s="38"/>
      <c r="PM194" s="38"/>
      <c r="PN194" s="38"/>
      <c r="PO194" s="38"/>
      <c r="PP194" s="38"/>
      <c r="PQ194" s="38"/>
      <c r="PR194" s="38"/>
      <c r="PS194" s="38"/>
      <c r="PT194" s="38"/>
      <c r="PU194" s="38"/>
      <c r="PV194" s="38"/>
      <c r="PW194" s="38"/>
      <c r="PX194" s="38"/>
      <c r="PY194" s="38"/>
      <c r="PZ194" s="38"/>
      <c r="QA194" s="38"/>
      <c r="QB194" s="38"/>
      <c r="QC194" s="38"/>
      <c r="QD194" s="38"/>
      <c r="QE194" s="38"/>
      <c r="QF194" s="38"/>
      <c r="QG194" s="38"/>
      <c r="QH194" s="38"/>
      <c r="QI194" s="38"/>
      <c r="QJ194" s="38"/>
      <c r="QK194" s="38"/>
      <c r="QL194" s="38"/>
      <c r="QM194" s="38"/>
      <c r="QN194" s="38"/>
      <c r="QO194" s="38"/>
      <c r="QP194" s="38"/>
      <c r="QQ194" s="38"/>
      <c r="QR194" s="38"/>
      <c r="QS194" s="38"/>
      <c r="QT194" s="38"/>
      <c r="QU194" s="38"/>
      <c r="QV194" s="38"/>
      <c r="QW194" s="38"/>
      <c r="QX194" s="38"/>
      <c r="QY194" s="38"/>
      <c r="QZ194" s="38"/>
      <c r="RA194" s="38"/>
      <c r="RB194" s="38"/>
      <c r="RC194" s="38"/>
      <c r="RD194" s="38"/>
      <c r="RE194" s="38"/>
      <c r="RF194" s="38"/>
      <c r="RG194" s="38"/>
      <c r="RH194" s="38"/>
      <c r="RI194" s="38"/>
      <c r="RJ194" s="38"/>
      <c r="RK194" s="38"/>
      <c r="RL194" s="38"/>
      <c r="RM194" s="38"/>
      <c r="RN194" s="38"/>
      <c r="RO194" s="38"/>
      <c r="RP194" s="38"/>
      <c r="RQ194" s="38"/>
      <c r="RR194" s="38"/>
      <c r="RS194" s="38"/>
      <c r="RT194" s="38"/>
      <c r="RU194" s="38"/>
      <c r="RV194" s="38"/>
      <c r="RW194" s="38"/>
      <c r="RX194" s="38"/>
      <c r="RY194" s="38"/>
      <c r="RZ194" s="38"/>
      <c r="SA194" s="38"/>
      <c r="SB194" s="38"/>
      <c r="SC194" s="38"/>
      <c r="SD194" s="38"/>
      <c r="SE194" s="38"/>
      <c r="SF194" s="38"/>
      <c r="SG194" s="38"/>
      <c r="SH194" s="38"/>
      <c r="SI194" s="38"/>
      <c r="SJ194" s="38"/>
      <c r="SK194" s="38"/>
      <c r="SL194" s="38"/>
      <c r="SM194" s="38"/>
      <c r="SN194" s="38"/>
      <c r="SO194" s="38"/>
      <c r="SP194" s="38"/>
      <c r="SQ194" s="38"/>
      <c r="SR194" s="38"/>
      <c r="SS194" s="38"/>
      <c r="ST194" s="38"/>
      <c r="SU194" s="38"/>
      <c r="SV194" s="38"/>
      <c r="SW194" s="38"/>
      <c r="SX194" s="38"/>
      <c r="SY194" s="38"/>
      <c r="SZ194" s="38"/>
      <c r="TA194" s="38"/>
      <c r="TB194" s="38"/>
      <c r="TC194" s="38"/>
      <c r="TD194" s="38"/>
      <c r="TE194" s="38"/>
      <c r="TF194" s="38"/>
      <c r="TG194" s="38"/>
      <c r="TH194" s="38"/>
      <c r="TI194" s="38"/>
      <c r="TJ194" s="38"/>
    </row>
    <row r="195" spans="1:530" s="34" customFormat="1" x14ac:dyDescent="0.25">
      <c r="A195" s="91"/>
      <c r="B195" s="80"/>
      <c r="C195" s="80"/>
      <c r="D195" s="41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60"/>
      <c r="Q195" s="144"/>
    </row>
    <row r="196" spans="1:530" s="34" customFormat="1" x14ac:dyDescent="0.25">
      <c r="A196" s="91"/>
      <c r="B196" s="80"/>
      <c r="C196" s="80"/>
      <c r="D196" s="41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60"/>
      <c r="Q196" s="144"/>
    </row>
    <row r="197" spans="1:530" s="34" customFormat="1" x14ac:dyDescent="0.25">
      <c r="A197" s="91"/>
      <c r="B197" s="80"/>
      <c r="C197" s="80"/>
      <c r="D197" s="41"/>
      <c r="E197" s="133">
        <f>E193-'дод 4'!D141</f>
        <v>0</v>
      </c>
      <c r="F197" s="133">
        <f>F193-'дод 4'!E141</f>
        <v>0</v>
      </c>
      <c r="G197" s="133">
        <f>G193-'дод 4'!F141</f>
        <v>0</v>
      </c>
      <c r="H197" s="133">
        <f>H193-'дод 4'!G141</f>
        <v>0</v>
      </c>
      <c r="I197" s="133">
        <f>I193-'дод 4'!H141</f>
        <v>0</v>
      </c>
      <c r="J197" s="133">
        <f>J193-'дод 4'!I141</f>
        <v>0</v>
      </c>
      <c r="K197" s="133">
        <f>K193-'дод 4'!J141</f>
        <v>0</v>
      </c>
      <c r="L197" s="133">
        <f>L193-'дод 4'!K141</f>
        <v>0</v>
      </c>
      <c r="M197" s="133">
        <f>M193-'дод 4'!L141</f>
        <v>0</v>
      </c>
      <c r="N197" s="133">
        <f>N193-'дод 4'!M141</f>
        <v>0</v>
      </c>
      <c r="O197" s="133">
        <f>O193-'дод 4'!N141</f>
        <v>0</v>
      </c>
      <c r="P197" s="133">
        <f>P193-'дод 4'!O141</f>
        <v>0</v>
      </c>
      <c r="Q197" s="144"/>
    </row>
    <row r="198" spans="1:530" s="34" customFormat="1" x14ac:dyDescent="0.25">
      <c r="A198" s="91"/>
      <c r="B198" s="80"/>
      <c r="C198" s="80"/>
      <c r="D198" s="41"/>
      <c r="E198" s="133">
        <f>E194-'дод 4'!D142</f>
        <v>0</v>
      </c>
      <c r="F198" s="133">
        <f>F194-'дод 4'!E142</f>
        <v>0</v>
      </c>
      <c r="G198" s="133">
        <f>G194-'дод 4'!F142</f>
        <v>0</v>
      </c>
      <c r="H198" s="133">
        <f>H194-'дод 4'!G142</f>
        <v>0</v>
      </c>
      <c r="I198" s="133">
        <f>I194-'дод 4'!H142</f>
        <v>0</v>
      </c>
      <c r="J198" s="133">
        <f>J194-'дод 4'!I142</f>
        <v>0</v>
      </c>
      <c r="K198" s="133">
        <f>K194-'дод 4'!J142</f>
        <v>0</v>
      </c>
      <c r="L198" s="133">
        <f>L194-'дод 4'!K142</f>
        <v>0</v>
      </c>
      <c r="M198" s="133">
        <f>M194-'дод 4'!L142</f>
        <v>0</v>
      </c>
      <c r="N198" s="133">
        <f>N194-'дод 4'!M142</f>
        <v>0</v>
      </c>
      <c r="O198" s="133">
        <f>O194-'дод 4'!N142</f>
        <v>0</v>
      </c>
      <c r="P198" s="133">
        <f>P194-'дод 4'!O142</f>
        <v>0</v>
      </c>
      <c r="Q198" s="144"/>
    </row>
    <row r="199" spans="1:530" s="34" customFormat="1" x14ac:dyDescent="0.25">
      <c r="A199" s="91"/>
      <c r="B199" s="80"/>
      <c r="C199" s="80"/>
      <c r="D199" s="41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60"/>
      <c r="Q199" s="144"/>
    </row>
    <row r="200" spans="1:530" s="34" customFormat="1" ht="35.25" customHeight="1" x14ac:dyDescent="0.5">
      <c r="A200" s="93"/>
      <c r="B200" s="94"/>
      <c r="C200" s="94"/>
      <c r="D200" s="95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44"/>
      <c r="R200" s="96"/>
      <c r="S200" s="96"/>
      <c r="T200" s="96"/>
      <c r="U200" s="96"/>
      <c r="V200" s="96"/>
    </row>
    <row r="201" spans="1:530" s="115" customFormat="1" ht="26.25" x14ac:dyDescent="0.4">
      <c r="A201" s="118"/>
      <c r="B201" s="117"/>
      <c r="C201" s="117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44"/>
    </row>
    <row r="202" spans="1:530" s="136" customFormat="1" ht="35.25" x14ac:dyDescent="0.5">
      <c r="A202" s="134" t="s">
        <v>455</v>
      </c>
      <c r="B202" s="134"/>
      <c r="C202" s="134"/>
      <c r="D202" s="134"/>
      <c r="E202" s="134"/>
      <c r="F202" s="134"/>
      <c r="G202" s="134"/>
      <c r="H202" s="134"/>
      <c r="I202" s="135"/>
      <c r="J202" s="135"/>
      <c r="K202" s="135"/>
      <c r="N202" s="147" t="s">
        <v>453</v>
      </c>
      <c r="O202" s="147"/>
      <c r="P202" s="147"/>
      <c r="Q202" s="144"/>
      <c r="R202" s="137"/>
      <c r="S202" s="137"/>
      <c r="T202" s="137"/>
      <c r="U202" s="137"/>
      <c r="V202" s="137"/>
      <c r="W202" s="137"/>
      <c r="X202" s="138"/>
      <c r="Y202" s="139"/>
    </row>
    <row r="203" spans="1:530" s="107" customFormat="1" ht="14.25" x14ac:dyDescent="0.2">
      <c r="A203" s="103"/>
      <c r="B203" s="104"/>
      <c r="C203" s="104"/>
      <c r="D203" s="105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40"/>
    </row>
    <row r="204" spans="1:530" s="107" customFormat="1" ht="14.25" x14ac:dyDescent="0.2">
      <c r="A204" s="103"/>
      <c r="B204" s="104"/>
      <c r="C204" s="104"/>
      <c r="D204" s="105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40"/>
    </row>
    <row r="205" spans="1:530" s="34" customFormat="1" x14ac:dyDescent="0.25">
      <c r="A205" s="91"/>
      <c r="B205" s="112"/>
      <c r="C205" s="112"/>
      <c r="D205" s="41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60"/>
      <c r="Q205" s="140"/>
    </row>
    <row r="206" spans="1:530" s="34" customFormat="1" x14ac:dyDescent="0.25">
      <c r="A206" s="91"/>
      <c r="B206" s="112"/>
      <c r="C206" s="112"/>
      <c r="D206" s="41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140"/>
    </row>
    <row r="207" spans="1:530" s="34" customFormat="1" x14ac:dyDescent="0.25">
      <c r="A207" s="91"/>
      <c r="B207" s="112"/>
      <c r="C207" s="112"/>
      <c r="D207" s="41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  <c r="Q207" s="140"/>
    </row>
    <row r="208" spans="1:530" s="34" customFormat="1" x14ac:dyDescent="0.25">
      <c r="A208" s="91"/>
      <c r="B208" s="112"/>
      <c r="C208" s="112"/>
      <c r="D208" s="41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60"/>
      <c r="Q208" s="140"/>
    </row>
    <row r="209" spans="1:17" s="34" customFormat="1" x14ac:dyDescent="0.25">
      <c r="A209" s="91"/>
      <c r="B209" s="112"/>
      <c r="C209" s="112"/>
      <c r="D209" s="41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60"/>
      <c r="Q209" s="140"/>
    </row>
    <row r="210" spans="1:17" s="34" customFormat="1" x14ac:dyDescent="0.25">
      <c r="A210" s="91"/>
      <c r="B210" s="80"/>
      <c r="C210" s="80"/>
      <c r="D210" s="41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/>
      <c r="Q210" s="140"/>
    </row>
    <row r="211" spans="1:17" s="34" customFormat="1" x14ac:dyDescent="0.25">
      <c r="A211" s="91"/>
      <c r="B211" s="80"/>
      <c r="C211" s="80"/>
      <c r="D211" s="41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/>
      <c r="Q211" s="140"/>
    </row>
    <row r="212" spans="1:17" s="34" customFormat="1" x14ac:dyDescent="0.25">
      <c r="A212" s="91"/>
      <c r="B212" s="80"/>
      <c r="C212" s="80"/>
      <c r="D212" s="41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/>
      <c r="Q212" s="140"/>
    </row>
    <row r="213" spans="1:17" s="34" customFormat="1" x14ac:dyDescent="0.25">
      <c r="A213" s="91"/>
      <c r="B213" s="80"/>
      <c r="C213" s="80"/>
      <c r="D213" s="41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/>
      <c r="Q213" s="140"/>
    </row>
    <row r="214" spans="1:17" s="34" customFormat="1" x14ac:dyDescent="0.25">
      <c r="A214" s="91"/>
      <c r="B214" s="80"/>
      <c r="C214" s="80"/>
      <c r="D214" s="41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/>
      <c r="Q214" s="140"/>
    </row>
    <row r="215" spans="1:17" s="34" customFormat="1" x14ac:dyDescent="0.25">
      <c r="A215" s="91"/>
      <c r="B215" s="80"/>
      <c r="C215" s="80"/>
      <c r="D215" s="41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/>
      <c r="Q215" s="140"/>
    </row>
    <row r="216" spans="1:17" s="34" customFormat="1" x14ac:dyDescent="0.25">
      <c r="A216" s="91"/>
      <c r="B216" s="80"/>
      <c r="C216" s="80"/>
      <c r="D216" s="41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  <c r="Q216" s="140"/>
    </row>
    <row r="217" spans="1:17" s="34" customFormat="1" x14ac:dyDescent="0.25">
      <c r="A217" s="91"/>
      <c r="B217" s="80"/>
      <c r="C217" s="80"/>
      <c r="D217" s="41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  <c r="Q217" s="140"/>
    </row>
    <row r="218" spans="1:17" s="34" customFormat="1" x14ac:dyDescent="0.25">
      <c r="A218" s="91"/>
      <c r="B218" s="80"/>
      <c r="C218" s="80"/>
      <c r="D218" s="41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  <c r="Q218" s="140"/>
    </row>
    <row r="219" spans="1:17" s="34" customFormat="1" x14ac:dyDescent="0.25">
      <c r="A219" s="91"/>
      <c r="B219" s="80"/>
      <c r="C219" s="80"/>
      <c r="D219" s="41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  <c r="Q219" s="140"/>
    </row>
    <row r="220" spans="1:17" s="34" customFormat="1" x14ac:dyDescent="0.25">
      <c r="A220" s="91"/>
      <c r="B220" s="80"/>
      <c r="C220" s="80"/>
      <c r="D220" s="41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  <c r="Q220" s="140"/>
    </row>
    <row r="221" spans="1:17" s="34" customFormat="1" x14ac:dyDescent="0.25">
      <c r="A221" s="91"/>
      <c r="B221" s="80"/>
      <c r="C221" s="80"/>
      <c r="D221" s="41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  <c r="Q221" s="140"/>
    </row>
    <row r="222" spans="1:17" s="34" customFormat="1" x14ac:dyDescent="0.25">
      <c r="A222" s="91"/>
      <c r="B222" s="80"/>
      <c r="C222" s="80"/>
      <c r="D222" s="41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  <c r="Q222" s="140"/>
    </row>
    <row r="223" spans="1:17" s="34" customFormat="1" x14ac:dyDescent="0.25">
      <c r="A223" s="91"/>
      <c r="B223" s="80"/>
      <c r="C223" s="80"/>
      <c r="D223" s="41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  <c r="Q223" s="140"/>
    </row>
    <row r="224" spans="1:17" s="34" customFormat="1" x14ac:dyDescent="0.25">
      <c r="A224" s="91"/>
      <c r="B224" s="80"/>
      <c r="C224" s="80"/>
      <c r="D224" s="41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  <c r="Q224" s="140"/>
    </row>
    <row r="225" spans="1:17" s="34" customFormat="1" x14ac:dyDescent="0.25">
      <c r="A225" s="91"/>
      <c r="B225" s="80"/>
      <c r="C225" s="80"/>
      <c r="D225" s="41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  <c r="Q225" s="141"/>
    </row>
    <row r="226" spans="1:17" s="34" customFormat="1" x14ac:dyDescent="0.25">
      <c r="A226" s="91"/>
      <c r="B226" s="80"/>
      <c r="C226" s="80"/>
      <c r="D226" s="41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60"/>
      <c r="Q226" s="141"/>
    </row>
    <row r="227" spans="1:17" s="34" customFormat="1" x14ac:dyDescent="0.25">
      <c r="A227" s="91"/>
      <c r="B227" s="80"/>
      <c r="C227" s="80"/>
      <c r="D227" s="41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60"/>
      <c r="Q227" s="141"/>
    </row>
    <row r="228" spans="1:17" s="34" customFormat="1" x14ac:dyDescent="0.25">
      <c r="A228" s="91"/>
      <c r="B228" s="80"/>
      <c r="C228" s="80"/>
      <c r="D228" s="41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  <c r="Q228" s="141"/>
    </row>
    <row r="229" spans="1:17" s="34" customFormat="1" x14ac:dyDescent="0.25">
      <c r="A229" s="91"/>
      <c r="B229" s="80"/>
      <c r="C229" s="80"/>
      <c r="D229" s="41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  <c r="Q229" s="141"/>
    </row>
    <row r="230" spans="1:17" s="34" customFormat="1" x14ac:dyDescent="0.25">
      <c r="A230" s="91"/>
      <c r="B230" s="80"/>
      <c r="C230" s="80"/>
      <c r="D230" s="41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  <c r="Q230" s="141"/>
    </row>
    <row r="231" spans="1:17" s="34" customFormat="1" x14ac:dyDescent="0.25">
      <c r="A231" s="91"/>
      <c r="B231" s="80"/>
      <c r="C231" s="80"/>
      <c r="D231" s="41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  <c r="Q231" s="141"/>
    </row>
    <row r="232" spans="1:17" s="34" customFormat="1" x14ac:dyDescent="0.25">
      <c r="A232" s="91"/>
      <c r="B232" s="80"/>
      <c r="C232" s="80"/>
      <c r="D232" s="41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  <c r="Q232" s="141"/>
    </row>
    <row r="233" spans="1:17" s="34" customFormat="1" x14ac:dyDescent="0.25">
      <c r="A233" s="91"/>
      <c r="B233" s="80"/>
      <c r="C233" s="80"/>
      <c r="D233" s="41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  <c r="Q233" s="141"/>
    </row>
    <row r="234" spans="1:17" s="34" customFormat="1" x14ac:dyDescent="0.25">
      <c r="A234" s="91"/>
      <c r="B234" s="80"/>
      <c r="C234" s="80"/>
      <c r="D234" s="41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  <c r="Q234" s="141"/>
    </row>
    <row r="235" spans="1:17" s="34" customFormat="1" x14ac:dyDescent="0.25">
      <c r="A235" s="91"/>
      <c r="B235" s="80"/>
      <c r="C235" s="80"/>
      <c r="D235" s="41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  <c r="Q235" s="141"/>
    </row>
    <row r="236" spans="1:17" s="34" customFormat="1" x14ac:dyDescent="0.25">
      <c r="A236" s="91"/>
      <c r="B236" s="80"/>
      <c r="C236" s="80"/>
      <c r="D236" s="41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  <c r="Q236" s="141"/>
    </row>
    <row r="237" spans="1:17" s="34" customFormat="1" x14ac:dyDescent="0.25">
      <c r="A237" s="91"/>
      <c r="B237" s="80"/>
      <c r="C237" s="80"/>
      <c r="D237" s="41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  <c r="Q237" s="141"/>
    </row>
    <row r="238" spans="1:17" s="34" customFormat="1" x14ac:dyDescent="0.25">
      <c r="A238" s="91"/>
      <c r="B238" s="80"/>
      <c r="C238" s="80"/>
      <c r="D238" s="41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  <c r="Q238" s="141"/>
    </row>
    <row r="239" spans="1:17" s="34" customFormat="1" x14ac:dyDescent="0.25">
      <c r="A239" s="91"/>
      <c r="B239" s="80"/>
      <c r="C239" s="80"/>
      <c r="D239" s="41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  <c r="Q239" s="141"/>
    </row>
    <row r="240" spans="1:17" s="34" customFormat="1" x14ac:dyDescent="0.25">
      <c r="A240" s="91"/>
      <c r="B240" s="80"/>
      <c r="C240" s="80"/>
      <c r="D240" s="41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  <c r="Q240" s="141"/>
    </row>
    <row r="241" spans="1:17" s="34" customFormat="1" x14ac:dyDescent="0.25">
      <c r="A241" s="91"/>
      <c r="B241" s="80"/>
      <c r="C241" s="80"/>
      <c r="D241" s="41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  <c r="Q241" s="141"/>
    </row>
    <row r="242" spans="1:17" s="34" customFormat="1" x14ac:dyDescent="0.25">
      <c r="A242" s="91"/>
      <c r="B242" s="80"/>
      <c r="C242" s="80"/>
      <c r="D242" s="41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  <c r="Q242" s="141"/>
    </row>
    <row r="243" spans="1:17" s="34" customFormat="1" x14ac:dyDescent="0.25">
      <c r="A243" s="91"/>
      <c r="B243" s="80"/>
      <c r="C243" s="80"/>
      <c r="D243" s="41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  <c r="Q243" s="141"/>
    </row>
    <row r="244" spans="1:17" s="34" customFormat="1" x14ac:dyDescent="0.25">
      <c r="A244" s="91"/>
      <c r="B244" s="80"/>
      <c r="C244" s="80"/>
      <c r="D244" s="41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  <c r="Q244" s="141"/>
    </row>
    <row r="245" spans="1:17" s="34" customFormat="1" x14ac:dyDescent="0.25">
      <c r="A245" s="91"/>
      <c r="B245" s="80"/>
      <c r="C245" s="80"/>
      <c r="D245" s="41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  <c r="Q245" s="141"/>
    </row>
    <row r="246" spans="1:17" s="34" customFormat="1" x14ac:dyDescent="0.25">
      <c r="A246" s="91"/>
      <c r="B246" s="80"/>
      <c r="C246" s="80"/>
      <c r="D246" s="41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  <c r="Q246" s="141"/>
    </row>
    <row r="247" spans="1:17" s="34" customFormat="1" x14ac:dyDescent="0.25">
      <c r="A247" s="91"/>
      <c r="B247" s="80"/>
      <c r="C247" s="80"/>
      <c r="D247" s="41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  <c r="Q247" s="141"/>
    </row>
    <row r="248" spans="1:17" s="34" customFormat="1" x14ac:dyDescent="0.25">
      <c r="A248" s="91"/>
      <c r="B248" s="80"/>
      <c r="C248" s="80"/>
      <c r="D248" s="41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  <c r="Q248" s="141"/>
    </row>
    <row r="249" spans="1:17" s="34" customFormat="1" x14ac:dyDescent="0.25">
      <c r="A249" s="91"/>
      <c r="B249" s="80"/>
      <c r="C249" s="80"/>
      <c r="D249" s="41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  <c r="Q249" s="141"/>
    </row>
    <row r="250" spans="1:17" s="34" customFormat="1" x14ac:dyDescent="0.25">
      <c r="A250" s="91"/>
      <c r="B250" s="80"/>
      <c r="C250" s="80"/>
      <c r="D250" s="41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  <c r="Q250" s="141"/>
    </row>
    <row r="251" spans="1:17" s="34" customFormat="1" x14ac:dyDescent="0.25">
      <c r="A251" s="91"/>
      <c r="B251" s="80"/>
      <c r="C251" s="80"/>
      <c r="D251" s="41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  <c r="Q251" s="141"/>
    </row>
    <row r="252" spans="1:17" s="34" customFormat="1" x14ac:dyDescent="0.25">
      <c r="A252" s="91"/>
      <c r="B252" s="80"/>
      <c r="C252" s="80"/>
      <c r="D252" s="41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  <c r="Q252" s="141"/>
    </row>
    <row r="253" spans="1:17" s="34" customFormat="1" x14ac:dyDescent="0.25">
      <c r="A253" s="91"/>
      <c r="B253" s="80"/>
      <c r="C253" s="80"/>
      <c r="D253" s="41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60"/>
      <c r="Q253" s="141"/>
    </row>
    <row r="254" spans="1:17" s="34" customFormat="1" x14ac:dyDescent="0.25">
      <c r="A254" s="91"/>
      <c r="B254" s="80"/>
      <c r="C254" s="80"/>
      <c r="D254" s="41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60"/>
      <c r="Q254" s="141"/>
    </row>
    <row r="255" spans="1:17" s="34" customFormat="1" x14ac:dyDescent="0.25">
      <c r="A255" s="91"/>
      <c r="B255" s="80"/>
      <c r="C255" s="80"/>
      <c r="D255" s="41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  <c r="Q255" s="141"/>
    </row>
    <row r="256" spans="1:17" s="34" customFormat="1" x14ac:dyDescent="0.25">
      <c r="A256" s="91"/>
      <c r="B256" s="80"/>
      <c r="C256" s="80"/>
      <c r="D256" s="41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  <c r="Q256" s="141"/>
    </row>
    <row r="257" spans="1:17" s="34" customFormat="1" x14ac:dyDescent="0.25">
      <c r="A257" s="91"/>
      <c r="B257" s="80"/>
      <c r="C257" s="80"/>
      <c r="D257" s="41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  <c r="Q257" s="141"/>
    </row>
    <row r="258" spans="1:17" s="34" customFormat="1" x14ac:dyDescent="0.25">
      <c r="A258" s="91"/>
      <c r="B258" s="80"/>
      <c r="C258" s="80"/>
      <c r="D258" s="41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  <c r="Q258" s="141"/>
    </row>
    <row r="259" spans="1:17" s="34" customFormat="1" x14ac:dyDescent="0.25">
      <c r="A259" s="91"/>
      <c r="B259" s="80"/>
      <c r="C259" s="80"/>
      <c r="D259" s="41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  <c r="Q259" s="141"/>
    </row>
    <row r="260" spans="1:17" s="34" customFormat="1" x14ac:dyDescent="0.25">
      <c r="A260" s="91"/>
      <c r="B260" s="80"/>
      <c r="C260" s="80"/>
      <c r="D260" s="41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  <c r="Q260" s="141"/>
    </row>
    <row r="261" spans="1:17" s="34" customFormat="1" x14ac:dyDescent="0.25">
      <c r="A261" s="91"/>
      <c r="B261" s="80"/>
      <c r="C261" s="80"/>
      <c r="D261" s="41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  <c r="Q261" s="141"/>
    </row>
    <row r="262" spans="1:17" s="34" customFormat="1" x14ac:dyDescent="0.25">
      <c r="A262" s="91"/>
      <c r="B262" s="80"/>
      <c r="C262" s="80"/>
      <c r="D262" s="41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  <c r="Q262" s="141"/>
    </row>
    <row r="263" spans="1:17" s="34" customFormat="1" x14ac:dyDescent="0.25">
      <c r="A263" s="91"/>
      <c r="B263" s="80"/>
      <c r="C263" s="80"/>
      <c r="D263" s="41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  <c r="Q263" s="141"/>
    </row>
    <row r="264" spans="1:17" s="34" customFormat="1" x14ac:dyDescent="0.25">
      <c r="A264" s="91"/>
      <c r="B264" s="80"/>
      <c r="C264" s="80"/>
      <c r="D264" s="41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  <c r="Q264" s="141"/>
    </row>
    <row r="265" spans="1:17" s="34" customFormat="1" x14ac:dyDescent="0.25">
      <c r="A265" s="91"/>
      <c r="B265" s="80"/>
      <c r="C265" s="80"/>
      <c r="D265" s="41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  <c r="Q265" s="141"/>
    </row>
    <row r="266" spans="1:17" s="34" customFormat="1" x14ac:dyDescent="0.25">
      <c r="A266" s="91"/>
      <c r="B266" s="80"/>
      <c r="C266" s="80"/>
      <c r="D266" s="41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  <c r="Q266" s="141"/>
    </row>
    <row r="267" spans="1:17" s="34" customFormat="1" x14ac:dyDescent="0.25">
      <c r="A267" s="91"/>
      <c r="B267" s="80"/>
      <c r="C267" s="80"/>
      <c r="D267" s="41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  <c r="Q267" s="141"/>
    </row>
    <row r="268" spans="1:17" s="34" customFormat="1" x14ac:dyDescent="0.25">
      <c r="A268" s="91"/>
      <c r="B268" s="80"/>
      <c r="C268" s="80"/>
      <c r="D268" s="41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  <c r="Q268" s="141"/>
    </row>
    <row r="269" spans="1:17" s="34" customFormat="1" x14ac:dyDescent="0.25">
      <c r="A269" s="91"/>
      <c r="B269" s="80"/>
      <c r="C269" s="80"/>
      <c r="D269" s="41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  <c r="Q269" s="141"/>
    </row>
    <row r="270" spans="1:17" s="34" customFormat="1" x14ac:dyDescent="0.25">
      <c r="A270" s="91"/>
      <c r="B270" s="80"/>
      <c r="C270" s="80"/>
      <c r="D270" s="41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  <c r="Q270" s="141"/>
    </row>
    <row r="271" spans="1:17" s="34" customFormat="1" x14ac:dyDescent="0.25">
      <c r="A271" s="91"/>
      <c r="B271" s="80"/>
      <c r="C271" s="80"/>
      <c r="D271" s="41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  <c r="Q271" s="141"/>
    </row>
    <row r="272" spans="1:17" s="34" customFormat="1" x14ac:dyDescent="0.25">
      <c r="A272" s="91"/>
      <c r="B272" s="80"/>
      <c r="C272" s="80"/>
      <c r="D272" s="4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  <c r="Q272" s="141"/>
    </row>
    <row r="273" spans="1:17" s="34" customFormat="1" x14ac:dyDescent="0.25">
      <c r="A273" s="91"/>
      <c r="B273" s="80"/>
      <c r="C273" s="80"/>
      <c r="D273" s="41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  <c r="Q273" s="141"/>
    </row>
    <row r="274" spans="1:17" s="34" customFormat="1" x14ac:dyDescent="0.25">
      <c r="A274" s="91"/>
      <c r="B274" s="80"/>
      <c r="C274" s="80"/>
      <c r="D274" s="41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  <c r="Q274" s="141"/>
    </row>
    <row r="275" spans="1:17" s="34" customFormat="1" x14ac:dyDescent="0.25">
      <c r="A275" s="91"/>
      <c r="B275" s="80"/>
      <c r="C275" s="80"/>
      <c r="D275" s="41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60"/>
      <c r="Q275" s="141"/>
    </row>
    <row r="276" spans="1:17" s="34" customFormat="1" x14ac:dyDescent="0.25">
      <c r="A276" s="91"/>
      <c r="B276" s="80"/>
      <c r="C276" s="80"/>
      <c r="D276" s="41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60"/>
      <c r="Q276" s="141"/>
    </row>
    <row r="277" spans="1:17" s="34" customFormat="1" x14ac:dyDescent="0.25">
      <c r="A277" s="91"/>
      <c r="B277" s="80"/>
      <c r="C277" s="80"/>
      <c r="D277" s="41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60"/>
      <c r="Q277" s="141"/>
    </row>
    <row r="278" spans="1:17" s="34" customFormat="1" x14ac:dyDescent="0.25">
      <c r="A278" s="91"/>
      <c r="B278" s="80"/>
      <c r="C278" s="80"/>
      <c r="D278" s="41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60"/>
      <c r="Q278" s="141"/>
    </row>
    <row r="279" spans="1:17" s="34" customFormat="1" x14ac:dyDescent="0.25">
      <c r="A279" s="91"/>
      <c r="B279" s="80"/>
      <c r="C279" s="80"/>
      <c r="D279" s="41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  <c r="Q279" s="141"/>
    </row>
    <row r="280" spans="1:17" s="34" customFormat="1" x14ac:dyDescent="0.25">
      <c r="A280" s="91"/>
      <c r="B280" s="80"/>
      <c r="C280" s="80"/>
      <c r="D280" s="41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  <c r="Q280" s="141"/>
    </row>
    <row r="281" spans="1:17" s="34" customFormat="1" x14ac:dyDescent="0.25">
      <c r="A281" s="91"/>
      <c r="B281" s="80"/>
      <c r="C281" s="80"/>
      <c r="D281" s="41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  <c r="Q281" s="141"/>
    </row>
    <row r="282" spans="1:17" s="34" customFormat="1" x14ac:dyDescent="0.25">
      <c r="A282" s="91"/>
      <c r="B282" s="80"/>
      <c r="C282" s="80"/>
      <c r="D282" s="41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60"/>
      <c r="Q282" s="141"/>
    </row>
    <row r="283" spans="1:17" s="34" customFormat="1" x14ac:dyDescent="0.25">
      <c r="A283" s="91"/>
      <c r="B283" s="80"/>
      <c r="C283" s="80"/>
      <c r="D283" s="41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  <c r="Q283" s="141"/>
    </row>
    <row r="284" spans="1:17" s="34" customFormat="1" x14ac:dyDescent="0.25">
      <c r="A284" s="91"/>
      <c r="B284" s="80"/>
      <c r="C284" s="80"/>
      <c r="D284" s="41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  <c r="Q284" s="141"/>
    </row>
    <row r="285" spans="1:17" s="34" customFormat="1" x14ac:dyDescent="0.25">
      <c r="A285" s="91"/>
      <c r="B285" s="80"/>
      <c r="C285" s="80"/>
      <c r="D285" s="41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  <c r="Q285" s="141"/>
    </row>
    <row r="286" spans="1:17" s="34" customFormat="1" x14ac:dyDescent="0.25">
      <c r="A286" s="91"/>
      <c r="B286" s="80"/>
      <c r="C286" s="80"/>
      <c r="D286" s="41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  <c r="Q286" s="141"/>
    </row>
    <row r="287" spans="1:17" s="34" customFormat="1" x14ac:dyDescent="0.25">
      <c r="A287" s="91"/>
      <c r="B287" s="80"/>
      <c r="C287" s="80"/>
      <c r="D287" s="41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  <c r="Q287" s="141"/>
    </row>
    <row r="288" spans="1:17" s="34" customFormat="1" x14ac:dyDescent="0.25">
      <c r="A288" s="91"/>
      <c r="B288" s="80"/>
      <c r="C288" s="80"/>
      <c r="D288" s="41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60"/>
      <c r="Q288" s="141"/>
    </row>
    <row r="289" spans="1:17" s="34" customFormat="1" x14ac:dyDescent="0.25">
      <c r="A289" s="91"/>
      <c r="B289" s="80"/>
      <c r="C289" s="80"/>
      <c r="D289" s="41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60"/>
      <c r="Q289" s="141"/>
    </row>
    <row r="290" spans="1:17" s="34" customFormat="1" x14ac:dyDescent="0.25">
      <c r="A290" s="91"/>
      <c r="B290" s="80"/>
      <c r="C290" s="80"/>
      <c r="D290" s="41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  <c r="Q290" s="141"/>
    </row>
    <row r="291" spans="1:17" s="34" customFormat="1" x14ac:dyDescent="0.25">
      <c r="A291" s="91"/>
      <c r="B291" s="80"/>
      <c r="C291" s="80"/>
      <c r="D291" s="41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  <c r="Q291" s="141"/>
    </row>
    <row r="292" spans="1:17" s="34" customFormat="1" x14ac:dyDescent="0.25">
      <c r="A292" s="91"/>
      <c r="B292" s="80"/>
      <c r="C292" s="80"/>
      <c r="D292" s="41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  <c r="Q292" s="141"/>
    </row>
    <row r="293" spans="1:17" s="34" customFormat="1" x14ac:dyDescent="0.25">
      <c r="A293" s="91"/>
      <c r="B293" s="80"/>
      <c r="C293" s="80"/>
      <c r="D293" s="41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  <c r="Q293" s="141"/>
    </row>
    <row r="294" spans="1:17" s="34" customFormat="1" x14ac:dyDescent="0.25">
      <c r="A294" s="91"/>
      <c r="B294" s="80"/>
      <c r="C294" s="80"/>
      <c r="D294" s="41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60"/>
      <c r="Q294" s="141"/>
    </row>
    <row r="295" spans="1:17" s="34" customFormat="1" x14ac:dyDescent="0.25">
      <c r="A295" s="91"/>
      <c r="B295" s="80"/>
      <c r="C295" s="80"/>
      <c r="D295" s="41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60"/>
      <c r="Q295" s="141"/>
    </row>
    <row r="296" spans="1:17" s="34" customFormat="1" x14ac:dyDescent="0.25">
      <c r="A296" s="91"/>
      <c r="B296" s="80"/>
      <c r="C296" s="80"/>
      <c r="D296" s="41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60"/>
      <c r="Q296" s="141"/>
    </row>
    <row r="297" spans="1:17" s="34" customFormat="1" x14ac:dyDescent="0.25">
      <c r="A297" s="91"/>
      <c r="B297" s="80"/>
      <c r="C297" s="80"/>
      <c r="D297" s="41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60"/>
      <c r="Q297" s="141"/>
    </row>
    <row r="298" spans="1:17" s="34" customFormat="1" x14ac:dyDescent="0.25">
      <c r="A298" s="91"/>
      <c r="B298" s="80"/>
      <c r="C298" s="80"/>
      <c r="D298" s="41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  <c r="Q298" s="141"/>
    </row>
    <row r="299" spans="1:17" s="34" customFormat="1" x14ac:dyDescent="0.25">
      <c r="A299" s="91"/>
      <c r="B299" s="80"/>
      <c r="C299" s="80"/>
      <c r="D299" s="41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60"/>
      <c r="Q299" s="141"/>
    </row>
    <row r="300" spans="1:17" s="34" customFormat="1" x14ac:dyDescent="0.25">
      <c r="A300" s="91"/>
      <c r="B300" s="80"/>
      <c r="C300" s="80"/>
      <c r="D300" s="41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60"/>
      <c r="Q300" s="141"/>
    </row>
    <row r="301" spans="1:17" s="34" customFormat="1" x14ac:dyDescent="0.25">
      <c r="A301" s="91"/>
      <c r="B301" s="80"/>
      <c r="C301" s="80"/>
      <c r="D301" s="41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60"/>
      <c r="Q301" s="141"/>
    </row>
    <row r="302" spans="1:17" s="34" customFormat="1" x14ac:dyDescent="0.25">
      <c r="A302" s="91"/>
      <c r="B302" s="80"/>
      <c r="C302" s="80"/>
      <c r="D302" s="41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  <c r="Q302" s="141"/>
    </row>
    <row r="303" spans="1:17" s="34" customFormat="1" x14ac:dyDescent="0.25">
      <c r="A303" s="91"/>
      <c r="B303" s="80"/>
      <c r="C303" s="80"/>
      <c r="D303" s="41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60"/>
      <c r="Q303" s="141"/>
    </row>
    <row r="304" spans="1:17" s="34" customFormat="1" x14ac:dyDescent="0.25">
      <c r="A304" s="91"/>
      <c r="B304" s="80"/>
      <c r="C304" s="80"/>
      <c r="D304" s="41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60"/>
      <c r="Q304" s="141"/>
    </row>
    <row r="305" spans="1:17" s="34" customFormat="1" x14ac:dyDescent="0.25">
      <c r="A305" s="91"/>
      <c r="B305" s="80"/>
      <c r="C305" s="80"/>
      <c r="D305" s="41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60"/>
      <c r="Q305" s="141"/>
    </row>
    <row r="306" spans="1:17" s="34" customFormat="1" x14ac:dyDescent="0.25">
      <c r="A306" s="91"/>
      <c r="B306" s="80"/>
      <c r="C306" s="80"/>
      <c r="D306" s="41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60"/>
      <c r="Q306" s="141"/>
    </row>
    <row r="307" spans="1:17" s="34" customFormat="1" x14ac:dyDescent="0.25">
      <c r="A307" s="91"/>
      <c r="B307" s="80"/>
      <c r="C307" s="80"/>
      <c r="D307" s="41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60"/>
      <c r="Q307" s="141"/>
    </row>
    <row r="308" spans="1:17" s="34" customFormat="1" x14ac:dyDescent="0.25">
      <c r="A308" s="91"/>
      <c r="B308" s="80"/>
      <c r="C308" s="80"/>
      <c r="D308" s="41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  <c r="Q308" s="141"/>
    </row>
    <row r="309" spans="1:17" s="34" customFormat="1" x14ac:dyDescent="0.25">
      <c r="A309" s="91"/>
      <c r="B309" s="80"/>
      <c r="C309" s="80"/>
      <c r="D309" s="41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60"/>
      <c r="Q309" s="141"/>
    </row>
    <row r="310" spans="1:17" s="34" customFormat="1" x14ac:dyDescent="0.25">
      <c r="A310" s="91"/>
      <c r="B310" s="80"/>
      <c r="C310" s="80"/>
      <c r="D310" s="41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60"/>
      <c r="Q310" s="141"/>
    </row>
    <row r="311" spans="1:17" s="34" customFormat="1" x14ac:dyDescent="0.25">
      <c r="A311" s="91"/>
      <c r="B311" s="80"/>
      <c r="C311" s="80"/>
      <c r="D311" s="41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60"/>
      <c r="Q311" s="141"/>
    </row>
    <row r="312" spans="1:17" s="34" customFormat="1" x14ac:dyDescent="0.25">
      <c r="A312" s="91"/>
      <c r="B312" s="80"/>
      <c r="C312" s="80"/>
      <c r="D312" s="41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60"/>
      <c r="Q312" s="141"/>
    </row>
    <row r="313" spans="1:17" s="34" customFormat="1" x14ac:dyDescent="0.25">
      <c r="A313" s="91"/>
      <c r="B313" s="80"/>
      <c r="C313" s="80"/>
      <c r="D313" s="41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60"/>
      <c r="Q313" s="141"/>
    </row>
    <row r="314" spans="1:17" s="34" customFormat="1" x14ac:dyDescent="0.25">
      <c r="A314" s="91"/>
      <c r="B314" s="80"/>
      <c r="C314" s="80"/>
      <c r="D314" s="41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60"/>
      <c r="Q314" s="141"/>
    </row>
    <row r="315" spans="1:17" s="34" customFormat="1" x14ac:dyDescent="0.25">
      <c r="A315" s="91"/>
      <c r="B315" s="80"/>
      <c r="C315" s="80"/>
      <c r="D315" s="41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60"/>
      <c r="Q315" s="141"/>
    </row>
    <row r="316" spans="1:17" s="34" customFormat="1" x14ac:dyDescent="0.25">
      <c r="A316" s="91"/>
      <c r="B316" s="80"/>
      <c r="C316" s="80"/>
      <c r="D316" s="41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60"/>
      <c r="Q316" s="141"/>
    </row>
    <row r="317" spans="1:17" s="34" customFormat="1" x14ac:dyDescent="0.25">
      <c r="A317" s="91"/>
      <c r="B317" s="80"/>
      <c r="C317" s="80"/>
      <c r="D317" s="41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60"/>
      <c r="Q317" s="141"/>
    </row>
    <row r="318" spans="1:17" s="34" customFormat="1" x14ac:dyDescent="0.25">
      <c r="A318" s="91"/>
      <c r="B318" s="80"/>
      <c r="C318" s="80"/>
      <c r="D318" s="41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60"/>
      <c r="Q318" s="141"/>
    </row>
    <row r="319" spans="1:17" s="34" customFormat="1" x14ac:dyDescent="0.25">
      <c r="A319" s="91"/>
      <c r="B319" s="80"/>
      <c r="C319" s="80"/>
      <c r="D319" s="41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60"/>
      <c r="Q319" s="141"/>
    </row>
    <row r="320" spans="1:17" s="34" customFormat="1" x14ac:dyDescent="0.25">
      <c r="A320" s="91"/>
      <c r="B320" s="80"/>
      <c r="C320" s="80"/>
      <c r="D320" s="41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60"/>
      <c r="Q320" s="141"/>
    </row>
    <row r="321" spans="1:17" s="34" customFormat="1" x14ac:dyDescent="0.25">
      <c r="A321" s="91"/>
      <c r="B321" s="80"/>
      <c r="C321" s="80"/>
      <c r="D321" s="41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60"/>
      <c r="Q321" s="141"/>
    </row>
    <row r="322" spans="1:17" s="34" customFormat="1" x14ac:dyDescent="0.25">
      <c r="A322" s="91"/>
      <c r="B322" s="80"/>
      <c r="C322" s="80"/>
      <c r="D322" s="41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60"/>
      <c r="Q322" s="141"/>
    </row>
    <row r="323" spans="1:17" s="34" customFormat="1" x14ac:dyDescent="0.25">
      <c r="A323" s="91"/>
      <c r="B323" s="80"/>
      <c r="C323" s="80"/>
      <c r="D323" s="41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60"/>
      <c r="Q323" s="141"/>
    </row>
    <row r="324" spans="1:17" s="34" customFormat="1" x14ac:dyDescent="0.25">
      <c r="A324" s="91"/>
      <c r="B324" s="80"/>
      <c r="C324" s="80"/>
      <c r="D324" s="41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60"/>
      <c r="Q324" s="141"/>
    </row>
    <row r="325" spans="1:17" s="34" customFormat="1" x14ac:dyDescent="0.25">
      <c r="A325" s="91"/>
      <c r="B325" s="80"/>
      <c r="C325" s="80"/>
      <c r="D325" s="41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60"/>
      <c r="Q325" s="141"/>
    </row>
    <row r="326" spans="1:17" s="34" customFormat="1" x14ac:dyDescent="0.25">
      <c r="A326" s="91"/>
      <c r="B326" s="80"/>
      <c r="C326" s="80"/>
      <c r="D326" s="41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60"/>
      <c r="Q326" s="141"/>
    </row>
    <row r="327" spans="1:17" s="34" customFormat="1" x14ac:dyDescent="0.25">
      <c r="A327" s="91"/>
      <c r="B327" s="80"/>
      <c r="C327" s="80"/>
      <c r="D327" s="41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60"/>
      <c r="Q327" s="141"/>
    </row>
    <row r="328" spans="1:17" s="34" customFormat="1" x14ac:dyDescent="0.25">
      <c r="A328" s="91"/>
      <c r="B328" s="80"/>
      <c r="C328" s="80"/>
      <c r="D328" s="41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60"/>
      <c r="Q328" s="141"/>
    </row>
    <row r="329" spans="1:17" s="34" customFormat="1" x14ac:dyDescent="0.25">
      <c r="A329" s="91"/>
      <c r="B329" s="80"/>
      <c r="C329" s="80"/>
      <c r="D329" s="41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60"/>
      <c r="Q329" s="141"/>
    </row>
    <row r="330" spans="1:17" s="34" customFormat="1" x14ac:dyDescent="0.25">
      <c r="A330" s="91"/>
      <c r="B330" s="80"/>
      <c r="C330" s="80"/>
      <c r="D330" s="41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60"/>
      <c r="Q330" s="141"/>
    </row>
    <row r="331" spans="1:17" s="34" customFormat="1" x14ac:dyDescent="0.25">
      <c r="A331" s="91"/>
      <c r="B331" s="80"/>
      <c r="C331" s="80"/>
      <c r="D331" s="41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60"/>
      <c r="Q331" s="141"/>
    </row>
    <row r="332" spans="1:17" s="34" customFormat="1" x14ac:dyDescent="0.25">
      <c r="A332" s="91"/>
      <c r="B332" s="80"/>
      <c r="C332" s="80"/>
      <c r="D332" s="41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60"/>
      <c r="Q332" s="141"/>
    </row>
    <row r="333" spans="1:17" s="34" customFormat="1" x14ac:dyDescent="0.25">
      <c r="A333" s="91"/>
      <c r="B333" s="80"/>
      <c r="C333" s="80"/>
      <c r="D333" s="41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60"/>
      <c r="Q333" s="141"/>
    </row>
    <row r="334" spans="1:17" s="34" customFormat="1" x14ac:dyDescent="0.25">
      <c r="A334" s="91"/>
      <c r="B334" s="80"/>
      <c r="C334" s="80"/>
      <c r="D334" s="41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60"/>
      <c r="Q334" s="141"/>
    </row>
    <row r="335" spans="1:17" s="34" customFormat="1" x14ac:dyDescent="0.25">
      <c r="A335" s="91"/>
      <c r="B335" s="80"/>
      <c r="C335" s="80"/>
      <c r="D335" s="41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60"/>
      <c r="Q335" s="141"/>
    </row>
    <row r="336" spans="1:17" s="34" customFormat="1" x14ac:dyDescent="0.25">
      <c r="A336" s="91"/>
      <c r="B336" s="80"/>
      <c r="C336" s="80"/>
      <c r="D336" s="41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60"/>
      <c r="Q336" s="141"/>
    </row>
    <row r="337" spans="1:17" s="34" customFormat="1" x14ac:dyDescent="0.25">
      <c r="A337" s="91"/>
      <c r="B337" s="80"/>
      <c r="C337" s="80"/>
      <c r="D337" s="41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60"/>
      <c r="Q337" s="141"/>
    </row>
    <row r="338" spans="1:17" s="34" customFormat="1" x14ac:dyDescent="0.25">
      <c r="A338" s="91"/>
      <c r="B338" s="80"/>
      <c r="C338" s="80"/>
      <c r="D338" s="41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60"/>
      <c r="Q338" s="141"/>
    </row>
    <row r="339" spans="1:17" s="34" customFormat="1" x14ac:dyDescent="0.25">
      <c r="A339" s="91"/>
      <c r="B339" s="80"/>
      <c r="C339" s="80"/>
      <c r="D339" s="41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60"/>
      <c r="Q339" s="141"/>
    </row>
    <row r="340" spans="1:17" s="34" customFormat="1" x14ac:dyDescent="0.25">
      <c r="A340" s="91"/>
      <c r="B340" s="80"/>
      <c r="C340" s="80"/>
      <c r="D340" s="41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60"/>
      <c r="Q340" s="141"/>
    </row>
    <row r="341" spans="1:17" s="34" customFormat="1" x14ac:dyDescent="0.25">
      <c r="A341" s="91"/>
      <c r="B341" s="80"/>
      <c r="C341" s="80"/>
      <c r="D341" s="41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60"/>
      <c r="Q341" s="141"/>
    </row>
    <row r="342" spans="1:17" s="34" customFormat="1" x14ac:dyDescent="0.25">
      <c r="A342" s="91"/>
      <c r="B342" s="80"/>
      <c r="C342" s="80"/>
      <c r="D342" s="41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60"/>
      <c r="Q342" s="141"/>
    </row>
    <row r="343" spans="1:17" s="34" customFormat="1" x14ac:dyDescent="0.25">
      <c r="A343" s="91"/>
      <c r="B343" s="80"/>
      <c r="C343" s="80"/>
      <c r="D343" s="41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60"/>
      <c r="Q343" s="141"/>
    </row>
    <row r="344" spans="1:17" s="34" customFormat="1" x14ac:dyDescent="0.25">
      <c r="A344" s="91"/>
      <c r="B344" s="80"/>
      <c r="C344" s="80"/>
      <c r="D344" s="41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60"/>
      <c r="Q344" s="141"/>
    </row>
    <row r="345" spans="1:17" s="34" customFormat="1" x14ac:dyDescent="0.25">
      <c r="A345" s="91"/>
      <c r="B345" s="80"/>
      <c r="C345" s="80"/>
      <c r="D345" s="41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60"/>
      <c r="Q345" s="141"/>
    </row>
    <row r="346" spans="1:17" s="34" customFormat="1" x14ac:dyDescent="0.25">
      <c r="A346" s="91"/>
      <c r="B346" s="80"/>
      <c r="C346" s="80"/>
      <c r="D346" s="41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60"/>
      <c r="Q346" s="141"/>
    </row>
    <row r="347" spans="1:17" s="34" customFormat="1" x14ac:dyDescent="0.25">
      <c r="A347" s="91"/>
      <c r="B347" s="80"/>
      <c r="C347" s="80"/>
      <c r="D347" s="41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60"/>
      <c r="Q347" s="141"/>
    </row>
    <row r="348" spans="1:17" s="34" customFormat="1" x14ac:dyDescent="0.25">
      <c r="A348" s="91"/>
      <c r="B348" s="80"/>
      <c r="C348" s="80"/>
      <c r="D348" s="41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60"/>
      <c r="Q348" s="141"/>
    </row>
    <row r="349" spans="1:17" s="34" customFormat="1" x14ac:dyDescent="0.25">
      <c r="A349" s="91"/>
      <c r="B349" s="80"/>
      <c r="C349" s="80"/>
      <c r="D349" s="41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60"/>
      <c r="Q349" s="141"/>
    </row>
    <row r="350" spans="1:17" s="34" customFormat="1" x14ac:dyDescent="0.25">
      <c r="A350" s="91"/>
      <c r="B350" s="80"/>
      <c r="C350" s="80"/>
      <c r="D350" s="41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60"/>
      <c r="Q350" s="141"/>
    </row>
    <row r="351" spans="1:17" s="34" customFormat="1" x14ac:dyDescent="0.25">
      <c r="A351" s="91"/>
      <c r="B351" s="80"/>
      <c r="C351" s="80"/>
      <c r="D351" s="41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60"/>
      <c r="Q351" s="141"/>
    </row>
    <row r="352" spans="1:17" s="34" customFormat="1" x14ac:dyDescent="0.25">
      <c r="A352" s="91"/>
      <c r="B352" s="80"/>
      <c r="C352" s="80"/>
      <c r="D352" s="41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60"/>
      <c r="Q352" s="141"/>
    </row>
    <row r="353" spans="1:17" s="34" customFormat="1" x14ac:dyDescent="0.25">
      <c r="A353" s="91"/>
      <c r="B353" s="80"/>
      <c r="C353" s="80"/>
      <c r="D353" s="41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60"/>
      <c r="Q353" s="141"/>
    </row>
    <row r="354" spans="1:17" s="34" customFormat="1" x14ac:dyDescent="0.25">
      <c r="A354" s="91"/>
      <c r="B354" s="80"/>
      <c r="C354" s="80"/>
      <c r="D354" s="41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60"/>
      <c r="Q354" s="141"/>
    </row>
    <row r="355" spans="1:17" s="34" customFormat="1" x14ac:dyDescent="0.25">
      <c r="A355" s="91"/>
      <c r="B355" s="80"/>
      <c r="C355" s="80"/>
      <c r="D355" s="4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60"/>
      <c r="Q355" s="141"/>
    </row>
    <row r="356" spans="1:17" s="34" customFormat="1" x14ac:dyDescent="0.25">
      <c r="A356" s="91"/>
      <c r="B356" s="80"/>
      <c r="C356" s="80"/>
      <c r="D356" s="41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60"/>
      <c r="Q356" s="141"/>
    </row>
    <row r="357" spans="1:17" s="34" customFormat="1" x14ac:dyDescent="0.25">
      <c r="A357" s="91"/>
      <c r="B357" s="80"/>
      <c r="C357" s="80"/>
      <c r="D357" s="41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60"/>
      <c r="Q357" s="141"/>
    </row>
    <row r="358" spans="1:17" s="34" customFormat="1" x14ac:dyDescent="0.25">
      <c r="A358" s="91"/>
      <c r="B358" s="80"/>
      <c r="C358" s="80"/>
      <c r="D358" s="41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60"/>
      <c r="Q358" s="141"/>
    </row>
    <row r="359" spans="1:17" s="34" customFormat="1" x14ac:dyDescent="0.25">
      <c r="A359" s="91"/>
      <c r="B359" s="80"/>
      <c r="C359" s="80"/>
      <c r="D359" s="41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60"/>
      <c r="Q359" s="141"/>
    </row>
    <row r="360" spans="1:17" s="34" customFormat="1" x14ac:dyDescent="0.25">
      <c r="A360" s="91"/>
      <c r="B360" s="80"/>
      <c r="C360" s="80"/>
      <c r="D360" s="41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60"/>
      <c r="Q360" s="141"/>
    </row>
    <row r="361" spans="1:17" s="34" customFormat="1" x14ac:dyDescent="0.25">
      <c r="A361" s="91"/>
      <c r="B361" s="80"/>
      <c r="C361" s="80"/>
      <c r="D361" s="41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60"/>
      <c r="Q361" s="141"/>
    </row>
    <row r="362" spans="1:17" s="34" customFormat="1" x14ac:dyDescent="0.25">
      <c r="A362" s="91"/>
      <c r="B362" s="80"/>
      <c r="C362" s="80"/>
      <c r="D362" s="41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60"/>
      <c r="Q362" s="141"/>
    </row>
    <row r="363" spans="1:17" s="34" customFormat="1" x14ac:dyDescent="0.25">
      <c r="A363" s="91"/>
      <c r="B363" s="80"/>
      <c r="C363" s="80"/>
      <c r="D363" s="41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60"/>
      <c r="Q363" s="141"/>
    </row>
    <row r="364" spans="1:17" s="34" customFormat="1" x14ac:dyDescent="0.25">
      <c r="A364" s="91"/>
      <c r="B364" s="80"/>
      <c r="C364" s="80"/>
      <c r="D364" s="41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60"/>
      <c r="Q364" s="141"/>
    </row>
    <row r="365" spans="1:17" s="34" customFormat="1" x14ac:dyDescent="0.25">
      <c r="A365" s="91"/>
      <c r="B365" s="80"/>
      <c r="C365" s="80"/>
      <c r="D365" s="41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60"/>
      <c r="Q365" s="141"/>
    </row>
    <row r="366" spans="1:17" s="34" customFormat="1" x14ac:dyDescent="0.25">
      <c r="A366" s="91"/>
      <c r="B366" s="80"/>
      <c r="C366" s="80"/>
      <c r="D366" s="4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60"/>
      <c r="Q366" s="141"/>
    </row>
    <row r="367" spans="1:17" s="34" customFormat="1" x14ac:dyDescent="0.25">
      <c r="A367" s="91"/>
      <c r="B367" s="80"/>
      <c r="C367" s="80"/>
      <c r="D367" s="4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60"/>
      <c r="Q367" s="141"/>
    </row>
    <row r="368" spans="1:17" s="34" customFormat="1" x14ac:dyDescent="0.25">
      <c r="A368" s="91"/>
      <c r="B368" s="80"/>
      <c r="C368" s="80"/>
      <c r="D368" s="41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60"/>
      <c r="Q368" s="141"/>
    </row>
    <row r="369" spans="1:17" s="34" customFormat="1" x14ac:dyDescent="0.25">
      <c r="A369" s="91"/>
      <c r="B369" s="80"/>
      <c r="C369" s="80"/>
      <c r="D369" s="41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60"/>
      <c r="Q369" s="141"/>
    </row>
    <row r="370" spans="1:17" s="34" customFormat="1" x14ac:dyDescent="0.25">
      <c r="A370" s="91"/>
      <c r="B370" s="80"/>
      <c r="C370" s="80"/>
      <c r="D370" s="41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60"/>
      <c r="Q370" s="141"/>
    </row>
    <row r="371" spans="1:17" s="34" customFormat="1" x14ac:dyDescent="0.25">
      <c r="A371" s="91"/>
      <c r="B371" s="80"/>
      <c r="C371" s="80"/>
      <c r="D371" s="41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60"/>
      <c r="Q371" s="141"/>
    </row>
    <row r="372" spans="1:17" s="34" customFormat="1" x14ac:dyDescent="0.25">
      <c r="A372" s="91"/>
      <c r="B372" s="80"/>
      <c r="C372" s="80"/>
      <c r="D372" s="41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60"/>
      <c r="Q372" s="141"/>
    </row>
    <row r="373" spans="1:17" s="34" customFormat="1" x14ac:dyDescent="0.25">
      <c r="A373" s="91"/>
      <c r="B373" s="80"/>
      <c r="C373" s="80"/>
      <c r="D373" s="41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60"/>
      <c r="Q373" s="141"/>
    </row>
    <row r="374" spans="1:17" s="34" customFormat="1" x14ac:dyDescent="0.25">
      <c r="A374" s="91"/>
      <c r="B374" s="80"/>
      <c r="C374" s="80"/>
      <c r="D374" s="41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60"/>
      <c r="Q374" s="141"/>
    </row>
    <row r="375" spans="1:17" s="34" customFormat="1" x14ac:dyDescent="0.25">
      <c r="A375" s="91"/>
      <c r="B375" s="80"/>
      <c r="C375" s="80"/>
      <c r="D375" s="41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60"/>
      <c r="Q375" s="141"/>
    </row>
    <row r="376" spans="1:17" s="34" customFormat="1" x14ac:dyDescent="0.25">
      <c r="A376" s="91"/>
      <c r="B376" s="80"/>
      <c r="C376" s="80"/>
      <c r="D376" s="4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60"/>
      <c r="Q376" s="141"/>
    </row>
    <row r="377" spans="1:17" s="34" customFormat="1" x14ac:dyDescent="0.25">
      <c r="A377" s="91"/>
      <c r="B377" s="80"/>
      <c r="C377" s="80"/>
      <c r="D377" s="4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60"/>
      <c r="Q377" s="141"/>
    </row>
    <row r="378" spans="1:17" s="34" customFormat="1" x14ac:dyDescent="0.25">
      <c r="A378" s="91"/>
      <c r="B378" s="80"/>
      <c r="C378" s="80"/>
      <c r="D378" s="4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60"/>
      <c r="Q378" s="141"/>
    </row>
    <row r="379" spans="1:17" s="34" customFormat="1" x14ac:dyDescent="0.25">
      <c r="A379" s="91"/>
      <c r="B379" s="80"/>
      <c r="C379" s="80"/>
      <c r="D379" s="41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60"/>
      <c r="Q379" s="141"/>
    </row>
    <row r="380" spans="1:17" s="34" customFormat="1" x14ac:dyDescent="0.25">
      <c r="A380" s="91"/>
      <c r="B380" s="80"/>
      <c r="C380" s="80"/>
      <c r="D380" s="41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60"/>
      <c r="Q380" s="141"/>
    </row>
    <row r="381" spans="1:17" s="34" customFormat="1" x14ac:dyDescent="0.25">
      <c r="A381" s="91"/>
      <c r="B381" s="80"/>
      <c r="C381" s="80"/>
      <c r="D381" s="41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60"/>
      <c r="Q381" s="141"/>
    </row>
    <row r="382" spans="1:17" s="34" customFormat="1" x14ac:dyDescent="0.25">
      <c r="A382" s="91"/>
      <c r="B382" s="80"/>
      <c r="C382" s="80"/>
      <c r="D382" s="41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60"/>
      <c r="Q382" s="141"/>
    </row>
    <row r="383" spans="1:17" s="34" customFormat="1" x14ac:dyDescent="0.25">
      <c r="A383" s="91"/>
      <c r="B383" s="80"/>
      <c r="C383" s="80"/>
      <c r="D383" s="41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60"/>
      <c r="Q383" s="141"/>
    </row>
    <row r="384" spans="1:17" s="34" customFormat="1" x14ac:dyDescent="0.25">
      <c r="A384" s="91"/>
      <c r="B384" s="80"/>
      <c r="C384" s="80"/>
      <c r="D384" s="41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60"/>
      <c r="Q384" s="141"/>
    </row>
    <row r="385" spans="1:17" s="34" customFormat="1" x14ac:dyDescent="0.25">
      <c r="A385" s="91"/>
      <c r="B385" s="80"/>
      <c r="C385" s="80"/>
      <c r="D385" s="41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60"/>
      <c r="Q385" s="141"/>
    </row>
    <row r="386" spans="1:17" s="34" customFormat="1" x14ac:dyDescent="0.25">
      <c r="A386" s="91"/>
      <c r="B386" s="80"/>
      <c r="C386" s="80"/>
      <c r="D386" s="41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60"/>
      <c r="Q386" s="141"/>
    </row>
    <row r="387" spans="1:17" s="34" customFormat="1" x14ac:dyDescent="0.25">
      <c r="A387" s="91"/>
      <c r="B387" s="80"/>
      <c r="C387" s="80"/>
      <c r="D387" s="41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60"/>
      <c r="Q387" s="141"/>
    </row>
    <row r="388" spans="1:17" s="34" customFormat="1" x14ac:dyDescent="0.25">
      <c r="A388" s="91"/>
      <c r="B388" s="80"/>
      <c r="C388" s="80"/>
      <c r="D388" s="41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60"/>
      <c r="Q388" s="141"/>
    </row>
    <row r="389" spans="1:17" s="34" customFormat="1" x14ac:dyDescent="0.25">
      <c r="A389" s="91"/>
      <c r="B389" s="80"/>
      <c r="C389" s="80"/>
      <c r="D389" s="41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60"/>
      <c r="Q389" s="141"/>
    </row>
    <row r="390" spans="1:17" s="34" customFormat="1" x14ac:dyDescent="0.25">
      <c r="A390" s="91"/>
      <c r="B390" s="80"/>
      <c r="C390" s="80"/>
      <c r="D390" s="41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60"/>
      <c r="Q390" s="141"/>
    </row>
    <row r="391" spans="1:17" s="34" customFormat="1" x14ac:dyDescent="0.25">
      <c r="A391" s="91"/>
      <c r="B391" s="80"/>
      <c r="C391" s="80"/>
      <c r="D391" s="41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60"/>
      <c r="Q391" s="141"/>
    </row>
    <row r="392" spans="1:17" s="34" customFormat="1" x14ac:dyDescent="0.25">
      <c r="A392" s="91"/>
      <c r="B392" s="80"/>
      <c r="C392" s="80"/>
      <c r="D392" s="41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60"/>
      <c r="Q392" s="141"/>
    </row>
    <row r="393" spans="1:17" s="34" customFormat="1" x14ac:dyDescent="0.25">
      <c r="A393" s="91"/>
      <c r="B393" s="80"/>
      <c r="C393" s="80"/>
      <c r="D393" s="41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60"/>
      <c r="Q393" s="141"/>
    </row>
    <row r="394" spans="1:17" s="34" customFormat="1" x14ac:dyDescent="0.25">
      <c r="A394" s="91"/>
      <c r="B394" s="80"/>
      <c r="C394" s="80"/>
      <c r="D394" s="41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60"/>
      <c r="Q394" s="141"/>
    </row>
    <row r="395" spans="1:17" s="34" customFormat="1" x14ac:dyDescent="0.25">
      <c r="A395" s="91"/>
      <c r="B395" s="80"/>
      <c r="C395" s="80"/>
      <c r="D395" s="41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60"/>
      <c r="Q395" s="141"/>
    </row>
    <row r="396" spans="1:17" s="34" customFormat="1" x14ac:dyDescent="0.25">
      <c r="A396" s="91"/>
      <c r="B396" s="80"/>
      <c r="C396" s="80"/>
      <c r="D396" s="41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60"/>
      <c r="Q396" s="141"/>
    </row>
    <row r="397" spans="1:17" s="34" customFormat="1" x14ac:dyDescent="0.25">
      <c r="A397" s="91"/>
      <c r="B397" s="80"/>
      <c r="C397" s="80"/>
      <c r="D397" s="41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60"/>
      <c r="Q397" s="141"/>
    </row>
    <row r="398" spans="1:17" s="34" customFormat="1" x14ac:dyDescent="0.25">
      <c r="A398" s="91"/>
      <c r="B398" s="80"/>
      <c r="C398" s="80"/>
      <c r="D398" s="41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60"/>
      <c r="Q398" s="141"/>
    </row>
    <row r="399" spans="1:17" s="34" customFormat="1" x14ac:dyDescent="0.25">
      <c r="A399" s="91"/>
      <c r="B399" s="80"/>
      <c r="C399" s="80"/>
      <c r="D399" s="41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60"/>
      <c r="Q399" s="141"/>
    </row>
    <row r="400" spans="1:17" s="34" customFormat="1" x14ac:dyDescent="0.25">
      <c r="A400" s="91"/>
      <c r="B400" s="80"/>
      <c r="C400" s="80"/>
      <c r="D400" s="41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60"/>
      <c r="Q400" s="141"/>
    </row>
    <row r="401" spans="1:17" s="34" customFormat="1" x14ac:dyDescent="0.25">
      <c r="A401" s="91"/>
      <c r="B401" s="80"/>
      <c r="C401" s="80"/>
      <c r="D401" s="41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60"/>
      <c r="Q401" s="141"/>
    </row>
    <row r="402" spans="1:17" s="34" customFormat="1" x14ac:dyDescent="0.25">
      <c r="A402" s="91"/>
      <c r="B402" s="80"/>
      <c r="C402" s="80"/>
      <c r="D402" s="41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60"/>
      <c r="Q402" s="141"/>
    </row>
    <row r="403" spans="1:17" s="34" customFormat="1" x14ac:dyDescent="0.25">
      <c r="A403" s="91"/>
      <c r="B403" s="80"/>
      <c r="C403" s="80"/>
      <c r="D403" s="41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60"/>
      <c r="Q403" s="141"/>
    </row>
    <row r="404" spans="1:17" s="34" customFormat="1" x14ac:dyDescent="0.25">
      <c r="A404" s="91"/>
      <c r="B404" s="80"/>
      <c r="C404" s="80"/>
      <c r="D404" s="41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60"/>
      <c r="Q404" s="141"/>
    </row>
    <row r="405" spans="1:17" s="34" customFormat="1" x14ac:dyDescent="0.25">
      <c r="A405" s="91"/>
      <c r="B405" s="80"/>
      <c r="C405" s="80"/>
      <c r="D405" s="41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60"/>
      <c r="Q405" s="141"/>
    </row>
    <row r="406" spans="1:17" s="34" customFormat="1" x14ac:dyDescent="0.25">
      <c r="A406" s="91"/>
      <c r="B406" s="80"/>
      <c r="C406" s="80"/>
      <c r="D406" s="41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60"/>
      <c r="Q406" s="141"/>
    </row>
    <row r="407" spans="1:17" s="34" customFormat="1" x14ac:dyDescent="0.25">
      <c r="A407" s="91"/>
      <c r="B407" s="80"/>
      <c r="C407" s="80"/>
      <c r="D407" s="41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60"/>
      <c r="Q407" s="141"/>
    </row>
    <row r="408" spans="1:17" s="34" customFormat="1" x14ac:dyDescent="0.25">
      <c r="A408" s="91"/>
      <c r="B408" s="80"/>
      <c r="C408" s="80"/>
      <c r="D408" s="41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60"/>
      <c r="Q408" s="141"/>
    </row>
    <row r="409" spans="1:17" s="34" customFormat="1" x14ac:dyDescent="0.25">
      <c r="A409" s="91"/>
      <c r="B409" s="80"/>
      <c r="C409" s="80"/>
      <c r="D409" s="41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60"/>
      <c r="Q409" s="141"/>
    </row>
    <row r="410" spans="1:17" s="34" customFormat="1" x14ac:dyDescent="0.25">
      <c r="A410" s="91"/>
      <c r="B410" s="80"/>
      <c r="C410" s="80"/>
      <c r="D410" s="41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60"/>
      <c r="Q410" s="141"/>
    </row>
    <row r="411" spans="1:17" s="34" customFormat="1" x14ac:dyDescent="0.25">
      <c r="A411" s="91"/>
      <c r="B411" s="80"/>
      <c r="C411" s="80"/>
      <c r="D411" s="41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60"/>
      <c r="Q411" s="141"/>
    </row>
    <row r="412" spans="1:17" s="34" customFormat="1" x14ac:dyDescent="0.25">
      <c r="A412" s="91"/>
      <c r="B412" s="80"/>
      <c r="C412" s="80"/>
      <c r="D412" s="41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60"/>
      <c r="Q412" s="141"/>
    </row>
    <row r="413" spans="1:17" s="34" customFormat="1" x14ac:dyDescent="0.25">
      <c r="A413" s="91"/>
      <c r="B413" s="80"/>
      <c r="C413" s="80"/>
      <c r="D413" s="41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60"/>
      <c r="Q413" s="141"/>
    </row>
    <row r="414" spans="1:17" s="34" customFormat="1" x14ac:dyDescent="0.25">
      <c r="A414" s="91"/>
      <c r="B414" s="80"/>
      <c r="C414" s="80"/>
      <c r="D414" s="41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60"/>
      <c r="Q414" s="141"/>
    </row>
    <row r="415" spans="1:17" s="34" customFormat="1" x14ac:dyDescent="0.25">
      <c r="A415" s="91"/>
      <c r="B415" s="80"/>
      <c r="C415" s="80"/>
      <c r="D415" s="41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60"/>
      <c r="Q415" s="141"/>
    </row>
    <row r="416" spans="1:17" s="34" customFormat="1" x14ac:dyDescent="0.25">
      <c r="A416" s="91"/>
      <c r="B416" s="80"/>
      <c r="C416" s="80"/>
      <c r="D416" s="41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60"/>
      <c r="Q416" s="141"/>
    </row>
    <row r="417" spans="1:17" s="34" customFormat="1" x14ac:dyDescent="0.25">
      <c r="A417" s="91"/>
      <c r="B417" s="80"/>
      <c r="C417" s="80"/>
      <c r="D417" s="41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60"/>
      <c r="Q417" s="141"/>
    </row>
    <row r="418" spans="1:17" s="34" customFormat="1" x14ac:dyDescent="0.25">
      <c r="A418" s="91"/>
      <c r="B418" s="80"/>
      <c r="C418" s="80"/>
      <c r="D418" s="41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60"/>
      <c r="Q418" s="141"/>
    </row>
    <row r="419" spans="1:17" s="34" customFormat="1" x14ac:dyDescent="0.25">
      <c r="A419" s="91"/>
      <c r="B419" s="80"/>
      <c r="C419" s="80"/>
      <c r="D419" s="41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60"/>
      <c r="Q419" s="141"/>
    </row>
    <row r="420" spans="1:17" s="34" customFormat="1" x14ac:dyDescent="0.25">
      <c r="A420" s="91"/>
      <c r="B420" s="80"/>
      <c r="C420" s="80"/>
      <c r="D420" s="41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60"/>
      <c r="Q420" s="141"/>
    </row>
    <row r="421" spans="1:17" s="34" customFormat="1" x14ac:dyDescent="0.25">
      <c r="A421" s="91"/>
      <c r="B421" s="80"/>
      <c r="C421" s="80"/>
      <c r="D421" s="41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60"/>
      <c r="Q421" s="141"/>
    </row>
    <row r="422" spans="1:17" s="34" customFormat="1" x14ac:dyDescent="0.25">
      <c r="A422" s="91"/>
      <c r="B422" s="80"/>
      <c r="C422" s="80"/>
      <c r="D422" s="41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60"/>
      <c r="Q422" s="141"/>
    </row>
    <row r="423" spans="1:17" s="34" customFormat="1" x14ac:dyDescent="0.25">
      <c r="A423" s="91"/>
      <c r="B423" s="80"/>
      <c r="C423" s="80"/>
      <c r="D423" s="41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60"/>
      <c r="Q423" s="141"/>
    </row>
    <row r="424" spans="1:17" s="34" customFormat="1" x14ac:dyDescent="0.25">
      <c r="A424" s="91"/>
      <c r="B424" s="80"/>
      <c r="C424" s="80"/>
      <c r="D424" s="41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60"/>
      <c r="Q424" s="141"/>
    </row>
    <row r="425" spans="1:17" s="34" customFormat="1" x14ac:dyDescent="0.25">
      <c r="A425" s="91"/>
      <c r="B425" s="80"/>
      <c r="C425" s="80"/>
      <c r="D425" s="41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60"/>
      <c r="Q425" s="141"/>
    </row>
    <row r="426" spans="1:17" s="34" customFormat="1" x14ac:dyDescent="0.25">
      <c r="A426" s="91"/>
      <c r="B426" s="80"/>
      <c r="C426" s="80"/>
      <c r="D426" s="41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60"/>
      <c r="Q426" s="141"/>
    </row>
    <row r="427" spans="1:17" s="34" customFormat="1" x14ac:dyDescent="0.25">
      <c r="A427" s="91"/>
      <c r="B427" s="80"/>
      <c r="C427" s="80"/>
      <c r="D427" s="41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60"/>
      <c r="Q427" s="141"/>
    </row>
    <row r="428" spans="1:17" s="34" customFormat="1" x14ac:dyDescent="0.25">
      <c r="A428" s="91"/>
      <c r="B428" s="80"/>
      <c r="C428" s="80"/>
      <c r="D428" s="41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60"/>
      <c r="Q428" s="141"/>
    </row>
    <row r="429" spans="1:17" s="34" customFormat="1" x14ac:dyDescent="0.25">
      <c r="A429" s="91"/>
      <c r="B429" s="80"/>
      <c r="C429" s="80"/>
      <c r="D429" s="41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60"/>
      <c r="Q429" s="141"/>
    </row>
    <row r="430" spans="1:17" s="34" customFormat="1" x14ac:dyDescent="0.25">
      <c r="A430" s="91"/>
      <c r="B430" s="80"/>
      <c r="C430" s="80"/>
      <c r="D430" s="41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60"/>
      <c r="Q430" s="141"/>
    </row>
    <row r="431" spans="1:17" s="34" customFormat="1" x14ac:dyDescent="0.25">
      <c r="A431" s="91"/>
      <c r="B431" s="80"/>
      <c r="C431" s="80"/>
      <c r="D431" s="41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60"/>
      <c r="Q431" s="141"/>
    </row>
    <row r="432" spans="1:17" s="34" customFormat="1" x14ac:dyDescent="0.25">
      <c r="A432" s="91"/>
      <c r="B432" s="80"/>
      <c r="C432" s="80"/>
      <c r="D432" s="41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60"/>
      <c r="Q432" s="141"/>
    </row>
    <row r="433" spans="1:17" s="34" customFormat="1" x14ac:dyDescent="0.25">
      <c r="A433" s="91"/>
      <c r="B433" s="80"/>
      <c r="C433" s="80"/>
      <c r="D433" s="41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60"/>
      <c r="Q433" s="141"/>
    </row>
    <row r="434" spans="1:17" s="34" customFormat="1" x14ac:dyDescent="0.25">
      <c r="A434" s="91"/>
      <c r="B434" s="80"/>
      <c r="C434" s="80"/>
      <c r="D434" s="41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60"/>
      <c r="Q434" s="141"/>
    </row>
    <row r="435" spans="1:17" s="34" customFormat="1" x14ac:dyDescent="0.25">
      <c r="A435" s="91"/>
      <c r="B435" s="80"/>
      <c r="C435" s="80"/>
      <c r="D435" s="41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60"/>
      <c r="Q435" s="141"/>
    </row>
    <row r="436" spans="1:17" s="34" customFormat="1" x14ac:dyDescent="0.25">
      <c r="A436" s="91"/>
      <c r="B436" s="80"/>
      <c r="C436" s="80"/>
      <c r="D436" s="41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60"/>
      <c r="Q436" s="141"/>
    </row>
    <row r="437" spans="1:17" s="34" customFormat="1" x14ac:dyDescent="0.25">
      <c r="A437" s="91"/>
      <c r="B437" s="80"/>
      <c r="C437" s="80"/>
      <c r="D437" s="41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60"/>
      <c r="Q437" s="141"/>
    </row>
    <row r="438" spans="1:17" s="34" customFormat="1" x14ac:dyDescent="0.25">
      <c r="A438" s="91"/>
      <c r="B438" s="80"/>
      <c r="C438" s="80"/>
      <c r="D438" s="41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60"/>
      <c r="Q438" s="141"/>
    </row>
    <row r="439" spans="1:17" s="34" customFormat="1" x14ac:dyDescent="0.25">
      <c r="A439" s="91"/>
      <c r="B439" s="80"/>
      <c r="C439" s="80"/>
      <c r="D439" s="41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60"/>
      <c r="Q439" s="141"/>
    </row>
    <row r="440" spans="1:17" s="34" customFormat="1" x14ac:dyDescent="0.25">
      <c r="A440" s="91"/>
      <c r="B440" s="80"/>
      <c r="C440" s="80"/>
      <c r="D440" s="41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60"/>
      <c r="Q440" s="141"/>
    </row>
    <row r="441" spans="1:17" s="34" customFormat="1" x14ac:dyDescent="0.25">
      <c r="A441" s="91"/>
      <c r="B441" s="80"/>
      <c r="C441" s="80"/>
      <c r="D441" s="41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60"/>
      <c r="Q441" s="141"/>
    </row>
    <row r="442" spans="1:17" s="34" customFormat="1" x14ac:dyDescent="0.25">
      <c r="A442" s="91"/>
      <c r="B442" s="80"/>
      <c r="C442" s="80"/>
      <c r="D442" s="41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60"/>
      <c r="Q442" s="141"/>
    </row>
    <row r="443" spans="1:17" s="34" customFormat="1" x14ac:dyDescent="0.25">
      <c r="A443" s="91"/>
      <c r="B443" s="80"/>
      <c r="C443" s="80"/>
      <c r="D443" s="41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60"/>
      <c r="Q443" s="141"/>
    </row>
    <row r="444" spans="1:17" s="34" customFormat="1" x14ac:dyDescent="0.25">
      <c r="A444" s="91"/>
      <c r="B444" s="80"/>
      <c r="C444" s="80"/>
      <c r="D444" s="41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60"/>
      <c r="Q444" s="141"/>
    </row>
    <row r="445" spans="1:17" s="34" customFormat="1" x14ac:dyDescent="0.25">
      <c r="A445" s="91"/>
      <c r="B445" s="80"/>
      <c r="C445" s="80"/>
      <c r="D445" s="41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60"/>
      <c r="Q445" s="141"/>
    </row>
    <row r="446" spans="1:17" s="34" customFormat="1" x14ac:dyDescent="0.25">
      <c r="A446" s="91"/>
      <c r="B446" s="80"/>
      <c r="C446" s="80"/>
      <c r="D446" s="41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60"/>
      <c r="Q446" s="141"/>
    </row>
    <row r="447" spans="1:17" s="34" customFormat="1" x14ac:dyDescent="0.25">
      <c r="A447" s="91"/>
      <c r="B447" s="80"/>
      <c r="C447" s="80"/>
      <c r="D447" s="41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60"/>
      <c r="Q447" s="141"/>
    </row>
    <row r="448" spans="1:17" s="34" customFormat="1" x14ac:dyDescent="0.25">
      <c r="A448" s="91"/>
      <c r="B448" s="80"/>
      <c r="C448" s="80"/>
      <c r="D448" s="41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60"/>
      <c r="Q448" s="141"/>
    </row>
    <row r="449" spans="1:17" s="34" customFormat="1" x14ac:dyDescent="0.25">
      <c r="A449" s="91"/>
      <c r="B449" s="80"/>
      <c r="C449" s="80"/>
      <c r="D449" s="4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60"/>
      <c r="Q449" s="141"/>
    </row>
    <row r="450" spans="1:17" s="34" customFormat="1" x14ac:dyDescent="0.25">
      <c r="A450" s="91"/>
      <c r="B450" s="80"/>
      <c r="C450" s="80"/>
      <c r="D450" s="41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60"/>
      <c r="Q450" s="141"/>
    </row>
    <row r="451" spans="1:17" s="34" customFormat="1" x14ac:dyDescent="0.25">
      <c r="A451" s="91"/>
      <c r="B451" s="80"/>
      <c r="C451" s="80"/>
      <c r="D451" s="41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60"/>
      <c r="Q451" s="141"/>
    </row>
    <row r="452" spans="1:17" s="34" customFormat="1" x14ac:dyDescent="0.25">
      <c r="A452" s="91"/>
      <c r="B452" s="80"/>
      <c r="C452" s="80"/>
      <c r="D452" s="41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60"/>
      <c r="Q452" s="141"/>
    </row>
    <row r="453" spans="1:17" s="34" customFormat="1" x14ac:dyDescent="0.25">
      <c r="A453" s="91"/>
      <c r="B453" s="80"/>
      <c r="C453" s="80"/>
      <c r="D453" s="41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60"/>
      <c r="Q453" s="141"/>
    </row>
    <row r="454" spans="1:17" s="34" customFormat="1" x14ac:dyDescent="0.25">
      <c r="A454" s="91"/>
      <c r="B454" s="80"/>
      <c r="C454" s="80"/>
      <c r="D454" s="41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60"/>
      <c r="Q454" s="141"/>
    </row>
    <row r="455" spans="1:17" s="34" customFormat="1" x14ac:dyDescent="0.25">
      <c r="A455" s="91"/>
      <c r="B455" s="80"/>
      <c r="C455" s="80"/>
      <c r="D455" s="41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60"/>
      <c r="Q455" s="141"/>
    </row>
    <row r="456" spans="1:17" s="34" customFormat="1" x14ac:dyDescent="0.25">
      <c r="A456" s="91"/>
      <c r="B456" s="80"/>
      <c r="C456" s="80"/>
      <c r="D456" s="41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60"/>
      <c r="Q456" s="141"/>
    </row>
    <row r="457" spans="1:17" s="34" customFormat="1" x14ac:dyDescent="0.25">
      <c r="A457" s="91"/>
      <c r="B457" s="80"/>
      <c r="C457" s="80"/>
      <c r="D457" s="41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60"/>
      <c r="Q457" s="141"/>
    </row>
    <row r="458" spans="1:17" s="34" customFormat="1" x14ac:dyDescent="0.25">
      <c r="A458" s="91"/>
      <c r="B458" s="80"/>
      <c r="C458" s="80"/>
      <c r="D458" s="41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60"/>
      <c r="Q458" s="141"/>
    </row>
    <row r="459" spans="1:17" s="34" customFormat="1" x14ac:dyDescent="0.25">
      <c r="A459" s="91"/>
      <c r="B459" s="80"/>
      <c r="C459" s="80"/>
      <c r="D459" s="41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60"/>
      <c r="Q459" s="141"/>
    </row>
    <row r="460" spans="1:17" s="34" customFormat="1" x14ac:dyDescent="0.25">
      <c r="A460" s="91"/>
      <c r="B460" s="80"/>
      <c r="C460" s="80"/>
      <c r="D460" s="41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60"/>
      <c r="Q460" s="141"/>
    </row>
    <row r="461" spans="1:17" s="34" customFormat="1" x14ac:dyDescent="0.25">
      <c r="A461" s="91"/>
      <c r="B461" s="80"/>
      <c r="C461" s="80"/>
      <c r="D461" s="41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60"/>
      <c r="Q461" s="141"/>
    </row>
    <row r="462" spans="1:17" s="34" customFormat="1" x14ac:dyDescent="0.25">
      <c r="A462" s="91"/>
      <c r="B462" s="80"/>
      <c r="C462" s="80"/>
      <c r="D462" s="41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60"/>
      <c r="Q462" s="141"/>
    </row>
    <row r="463" spans="1:17" s="34" customFormat="1" x14ac:dyDescent="0.25">
      <c r="A463" s="91"/>
      <c r="B463" s="80"/>
      <c r="C463" s="80"/>
      <c r="D463" s="41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60"/>
      <c r="Q463" s="141"/>
    </row>
    <row r="464" spans="1:17" s="34" customFormat="1" x14ac:dyDescent="0.25">
      <c r="A464" s="91"/>
      <c r="B464" s="80"/>
      <c r="C464" s="80"/>
      <c r="D464" s="41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60"/>
      <c r="Q464" s="141"/>
    </row>
    <row r="465" spans="1:17" s="34" customFormat="1" x14ac:dyDescent="0.25">
      <c r="A465" s="91"/>
      <c r="B465" s="80"/>
      <c r="C465" s="80"/>
      <c r="D465" s="41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60"/>
      <c r="Q465" s="141"/>
    </row>
    <row r="466" spans="1:17" s="34" customFormat="1" x14ac:dyDescent="0.25">
      <c r="A466" s="91"/>
      <c r="B466" s="80"/>
      <c r="C466" s="80"/>
      <c r="D466" s="41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60"/>
      <c r="Q466" s="141"/>
    </row>
    <row r="467" spans="1:17" s="34" customFormat="1" x14ac:dyDescent="0.25">
      <c r="A467" s="91"/>
      <c r="B467" s="80"/>
      <c r="C467" s="80"/>
      <c r="D467" s="41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60"/>
      <c r="Q467" s="141"/>
    </row>
    <row r="468" spans="1:17" s="34" customFormat="1" x14ac:dyDescent="0.25">
      <c r="A468" s="91"/>
      <c r="B468" s="80"/>
      <c r="C468" s="80"/>
      <c r="D468" s="41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60"/>
      <c r="Q468" s="141"/>
    </row>
    <row r="469" spans="1:17" s="34" customFormat="1" x14ac:dyDescent="0.25">
      <c r="A469" s="91"/>
      <c r="B469" s="80"/>
      <c r="C469" s="80"/>
      <c r="D469" s="41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60"/>
      <c r="Q469" s="141"/>
    </row>
    <row r="470" spans="1:17" s="34" customFormat="1" x14ac:dyDescent="0.25">
      <c r="A470" s="91"/>
      <c r="B470" s="80"/>
      <c r="C470" s="80"/>
      <c r="D470" s="41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60"/>
      <c r="Q470" s="141"/>
    </row>
    <row r="471" spans="1:17" s="34" customFormat="1" x14ac:dyDescent="0.25">
      <c r="A471" s="91"/>
      <c r="B471" s="80"/>
      <c r="C471" s="80"/>
      <c r="D471" s="41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60"/>
      <c r="Q471" s="141"/>
    </row>
    <row r="472" spans="1:17" s="34" customFormat="1" x14ac:dyDescent="0.25">
      <c r="A472" s="91"/>
      <c r="B472" s="80"/>
      <c r="C472" s="80"/>
      <c r="D472" s="41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60"/>
      <c r="Q472" s="141"/>
    </row>
    <row r="473" spans="1:17" s="34" customFormat="1" x14ac:dyDescent="0.25">
      <c r="A473" s="91"/>
      <c r="B473" s="80"/>
      <c r="C473" s="80"/>
      <c r="D473" s="41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60"/>
      <c r="Q473" s="141"/>
    </row>
    <row r="474" spans="1:17" s="34" customFormat="1" x14ac:dyDescent="0.25">
      <c r="A474" s="91"/>
      <c r="B474" s="80"/>
      <c r="C474" s="80"/>
      <c r="D474" s="41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60"/>
      <c r="Q474" s="141"/>
    </row>
    <row r="475" spans="1:17" s="34" customFormat="1" x14ac:dyDescent="0.25">
      <c r="A475" s="91"/>
      <c r="B475" s="80"/>
      <c r="C475" s="80"/>
      <c r="D475" s="41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60"/>
      <c r="Q475" s="141"/>
    </row>
    <row r="476" spans="1:17" s="34" customFormat="1" x14ac:dyDescent="0.25">
      <c r="A476" s="91"/>
      <c r="B476" s="80"/>
      <c r="C476" s="80"/>
      <c r="D476" s="41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60"/>
      <c r="Q476" s="141"/>
    </row>
    <row r="477" spans="1:17" s="34" customFormat="1" x14ac:dyDescent="0.25">
      <c r="A477" s="91"/>
      <c r="B477" s="80"/>
      <c r="C477" s="80"/>
      <c r="D477" s="41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60"/>
      <c r="Q477" s="141"/>
    </row>
    <row r="478" spans="1:17" s="34" customFormat="1" x14ac:dyDescent="0.25">
      <c r="A478" s="91"/>
      <c r="B478" s="80"/>
      <c r="C478" s="80"/>
      <c r="D478" s="41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60"/>
      <c r="Q478" s="141"/>
    </row>
    <row r="479" spans="1:17" s="34" customFormat="1" x14ac:dyDescent="0.25">
      <c r="A479" s="91"/>
      <c r="B479" s="80"/>
      <c r="C479" s="80"/>
      <c r="D479" s="41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60"/>
      <c r="Q479" s="141"/>
    </row>
    <row r="480" spans="1:17" s="34" customFormat="1" x14ac:dyDescent="0.25">
      <c r="A480" s="91"/>
      <c r="B480" s="80"/>
      <c r="C480" s="80"/>
      <c r="D480" s="41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60"/>
      <c r="Q480" s="141"/>
    </row>
    <row r="481" spans="1:17" s="34" customFormat="1" x14ac:dyDescent="0.25">
      <c r="A481" s="91"/>
      <c r="B481" s="80"/>
      <c r="C481" s="80"/>
      <c r="D481" s="41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60"/>
      <c r="Q481" s="141"/>
    </row>
    <row r="482" spans="1:17" s="34" customFormat="1" x14ac:dyDescent="0.25">
      <c r="A482" s="91"/>
      <c r="B482" s="80"/>
      <c r="C482" s="80"/>
      <c r="D482" s="41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60"/>
      <c r="Q482" s="141"/>
    </row>
    <row r="483" spans="1:17" s="34" customFormat="1" x14ac:dyDescent="0.25">
      <c r="A483" s="91"/>
      <c r="B483" s="80"/>
      <c r="C483" s="80"/>
      <c r="D483" s="41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60"/>
      <c r="Q483" s="141"/>
    </row>
    <row r="484" spans="1:17" s="34" customFormat="1" x14ac:dyDescent="0.25">
      <c r="A484" s="91"/>
      <c r="B484" s="80"/>
      <c r="C484" s="80"/>
      <c r="D484" s="41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60"/>
      <c r="Q484" s="141"/>
    </row>
    <row r="485" spans="1:17" s="34" customFormat="1" x14ac:dyDescent="0.25">
      <c r="A485" s="91"/>
      <c r="B485" s="80"/>
      <c r="C485" s="80"/>
      <c r="D485" s="41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60"/>
      <c r="Q485" s="141"/>
    </row>
    <row r="486" spans="1:17" s="34" customFormat="1" x14ac:dyDescent="0.25">
      <c r="A486" s="91"/>
      <c r="B486" s="80"/>
      <c r="C486" s="80"/>
      <c r="D486" s="41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60"/>
      <c r="Q486" s="141"/>
    </row>
    <row r="487" spans="1:17" s="34" customFormat="1" x14ac:dyDescent="0.25">
      <c r="A487" s="91"/>
      <c r="B487" s="80"/>
      <c r="C487" s="80"/>
      <c r="D487" s="41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60"/>
      <c r="Q487" s="141"/>
    </row>
    <row r="488" spans="1:17" s="34" customFormat="1" x14ac:dyDescent="0.25">
      <c r="A488" s="91"/>
      <c r="B488" s="80"/>
      <c r="C488" s="80"/>
      <c r="D488" s="41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60"/>
      <c r="Q488" s="141"/>
    </row>
    <row r="489" spans="1:17" s="34" customFormat="1" x14ac:dyDescent="0.25">
      <c r="A489" s="91"/>
      <c r="B489" s="80"/>
      <c r="C489" s="80"/>
      <c r="D489" s="41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60"/>
      <c r="Q489" s="141"/>
    </row>
    <row r="490" spans="1:17" s="34" customFormat="1" x14ac:dyDescent="0.25">
      <c r="A490" s="91"/>
      <c r="B490" s="80"/>
      <c r="C490" s="80"/>
      <c r="D490" s="41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60"/>
      <c r="Q490" s="141"/>
    </row>
    <row r="491" spans="1:17" s="34" customFormat="1" x14ac:dyDescent="0.25">
      <c r="A491" s="91"/>
      <c r="B491" s="80"/>
      <c r="C491" s="80"/>
      <c r="D491" s="41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60"/>
      <c r="Q491" s="141"/>
    </row>
    <row r="492" spans="1:17" s="34" customFormat="1" x14ac:dyDescent="0.25">
      <c r="A492" s="91"/>
      <c r="B492" s="80"/>
      <c r="C492" s="80"/>
      <c r="D492" s="41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60"/>
      <c r="Q492" s="141"/>
    </row>
    <row r="493" spans="1:17" s="34" customFormat="1" x14ac:dyDescent="0.25">
      <c r="A493" s="91"/>
      <c r="B493" s="80"/>
      <c r="C493" s="80"/>
      <c r="D493" s="41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60"/>
      <c r="Q493" s="141"/>
    </row>
    <row r="494" spans="1:17" s="34" customFormat="1" x14ac:dyDescent="0.25">
      <c r="A494" s="91"/>
      <c r="B494" s="80"/>
      <c r="C494" s="80"/>
      <c r="D494" s="41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60"/>
      <c r="Q494" s="141"/>
    </row>
    <row r="495" spans="1:17" s="34" customFormat="1" x14ac:dyDescent="0.25">
      <c r="A495" s="91"/>
      <c r="B495" s="80"/>
      <c r="C495" s="80"/>
      <c r="D495" s="41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60"/>
      <c r="Q495" s="141"/>
    </row>
    <row r="496" spans="1:17" s="34" customFormat="1" x14ac:dyDescent="0.25">
      <c r="A496" s="91"/>
      <c r="B496" s="80"/>
      <c r="C496" s="80"/>
      <c r="D496" s="41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60"/>
      <c r="Q496" s="141"/>
    </row>
    <row r="497" spans="1:17" s="34" customFormat="1" x14ac:dyDescent="0.25">
      <c r="A497" s="91"/>
      <c r="B497" s="80"/>
      <c r="C497" s="80"/>
      <c r="D497" s="41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60"/>
      <c r="Q497" s="141"/>
    </row>
    <row r="498" spans="1:17" s="34" customFormat="1" x14ac:dyDescent="0.25">
      <c r="A498" s="91"/>
      <c r="B498" s="80"/>
      <c r="C498" s="80"/>
      <c r="D498" s="41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60"/>
      <c r="Q498" s="141"/>
    </row>
    <row r="499" spans="1:17" s="34" customFormat="1" x14ac:dyDescent="0.25">
      <c r="A499" s="91"/>
      <c r="B499" s="80"/>
      <c r="C499" s="80"/>
      <c r="D499" s="41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60"/>
      <c r="Q499" s="141"/>
    </row>
    <row r="500" spans="1:17" s="34" customFormat="1" x14ac:dyDescent="0.25">
      <c r="A500" s="91"/>
      <c r="B500" s="80"/>
      <c r="C500" s="80"/>
      <c r="D500" s="41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60"/>
      <c r="Q500" s="141"/>
    </row>
    <row r="501" spans="1:17" s="34" customFormat="1" x14ac:dyDescent="0.25">
      <c r="A501" s="91"/>
      <c r="B501" s="80"/>
      <c r="C501" s="80"/>
      <c r="D501" s="41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60"/>
      <c r="Q501" s="141"/>
    </row>
    <row r="502" spans="1:17" s="34" customFormat="1" x14ac:dyDescent="0.25">
      <c r="A502" s="91"/>
      <c r="B502" s="80"/>
      <c r="C502" s="80"/>
      <c r="D502" s="4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60"/>
      <c r="Q502" s="141"/>
    </row>
    <row r="503" spans="1:17" s="34" customFormat="1" x14ac:dyDescent="0.25">
      <c r="A503" s="91"/>
      <c r="B503" s="80"/>
      <c r="C503" s="80"/>
      <c r="D503" s="41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60"/>
      <c r="Q503" s="141"/>
    </row>
    <row r="504" spans="1:17" s="34" customFormat="1" x14ac:dyDescent="0.25">
      <c r="A504" s="91"/>
      <c r="B504" s="80"/>
      <c r="C504" s="80"/>
      <c r="D504" s="41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60"/>
      <c r="Q504" s="141"/>
    </row>
    <row r="505" spans="1:17" s="34" customFormat="1" x14ac:dyDescent="0.25">
      <c r="A505" s="91"/>
      <c r="B505" s="80"/>
      <c r="C505" s="80"/>
      <c r="D505" s="41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60"/>
      <c r="Q505" s="141"/>
    </row>
    <row r="506" spans="1:17" s="34" customFormat="1" x14ac:dyDescent="0.25">
      <c r="A506" s="91"/>
      <c r="B506" s="80"/>
      <c r="C506" s="80"/>
      <c r="D506" s="41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60"/>
      <c r="Q506" s="141"/>
    </row>
    <row r="507" spans="1:17" s="34" customFormat="1" x14ac:dyDescent="0.25">
      <c r="A507" s="91"/>
      <c r="B507" s="80"/>
      <c r="C507" s="80"/>
      <c r="D507" s="41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60"/>
      <c r="Q507" s="141"/>
    </row>
    <row r="508" spans="1:17" s="34" customFormat="1" x14ac:dyDescent="0.25">
      <c r="A508" s="91"/>
      <c r="B508" s="80"/>
      <c r="C508" s="80"/>
      <c r="D508" s="41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60"/>
      <c r="Q508" s="141"/>
    </row>
    <row r="509" spans="1:17" s="34" customFormat="1" x14ac:dyDescent="0.25">
      <c r="A509" s="91"/>
      <c r="B509" s="80"/>
      <c r="C509" s="80"/>
      <c r="D509" s="41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60"/>
      <c r="Q509" s="141"/>
    </row>
    <row r="510" spans="1:17" s="34" customFormat="1" x14ac:dyDescent="0.25">
      <c r="A510" s="91"/>
      <c r="B510" s="80"/>
      <c r="C510" s="80"/>
      <c r="D510" s="41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60"/>
      <c r="Q510" s="141"/>
    </row>
    <row r="511" spans="1:17" s="34" customFormat="1" x14ac:dyDescent="0.25">
      <c r="A511" s="91"/>
      <c r="B511" s="80"/>
      <c r="C511" s="80"/>
      <c r="D511" s="41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60"/>
      <c r="Q511" s="141"/>
    </row>
    <row r="512" spans="1:17" s="34" customFormat="1" x14ac:dyDescent="0.25">
      <c r="A512" s="91"/>
      <c r="B512" s="80"/>
      <c r="C512" s="80"/>
      <c r="D512" s="41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60"/>
      <c r="Q512" s="141"/>
    </row>
    <row r="513" spans="1:17" s="34" customFormat="1" x14ac:dyDescent="0.25">
      <c r="A513" s="91"/>
      <c r="B513" s="80"/>
      <c r="C513" s="80"/>
      <c r="D513" s="41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60"/>
      <c r="Q513" s="141"/>
    </row>
    <row r="514" spans="1:17" s="34" customFormat="1" x14ac:dyDescent="0.25">
      <c r="A514" s="91"/>
      <c r="B514" s="80"/>
      <c r="C514" s="80"/>
      <c r="D514" s="41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60"/>
      <c r="Q514" s="141"/>
    </row>
    <row r="515" spans="1:17" s="34" customFormat="1" x14ac:dyDescent="0.25">
      <c r="A515" s="91"/>
      <c r="B515" s="80"/>
      <c r="C515" s="80"/>
      <c r="D515" s="4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60"/>
      <c r="Q515" s="141"/>
    </row>
    <row r="516" spans="1:17" s="34" customFormat="1" x14ac:dyDescent="0.25">
      <c r="A516" s="91"/>
      <c r="B516" s="80"/>
      <c r="C516" s="80"/>
      <c r="D516" s="41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60"/>
      <c r="Q516" s="141"/>
    </row>
    <row r="517" spans="1:17" s="34" customFormat="1" x14ac:dyDescent="0.25">
      <c r="A517" s="91"/>
      <c r="B517" s="80"/>
      <c r="C517" s="80"/>
      <c r="D517" s="41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60"/>
      <c r="Q517" s="141"/>
    </row>
    <row r="518" spans="1:17" s="34" customFormat="1" x14ac:dyDescent="0.25">
      <c r="A518" s="91"/>
      <c r="B518" s="80"/>
      <c r="C518" s="80"/>
      <c r="D518" s="41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60"/>
      <c r="Q518" s="141"/>
    </row>
    <row r="519" spans="1:17" s="34" customFormat="1" x14ac:dyDescent="0.25">
      <c r="A519" s="91"/>
      <c r="B519" s="80"/>
      <c r="C519" s="80"/>
      <c r="D519" s="41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60"/>
      <c r="Q519" s="141"/>
    </row>
    <row r="520" spans="1:17" s="34" customFormat="1" x14ac:dyDescent="0.25">
      <c r="A520" s="91"/>
      <c r="B520" s="80"/>
      <c r="C520" s="80"/>
      <c r="D520" s="41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60"/>
      <c r="Q520" s="141"/>
    </row>
    <row r="521" spans="1:17" s="34" customFormat="1" x14ac:dyDescent="0.25">
      <c r="A521" s="91"/>
      <c r="B521" s="80"/>
      <c r="C521" s="80"/>
      <c r="D521" s="41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60"/>
      <c r="Q521" s="141"/>
    </row>
    <row r="522" spans="1:17" s="34" customFormat="1" x14ac:dyDescent="0.25">
      <c r="A522" s="91"/>
      <c r="B522" s="80"/>
      <c r="C522" s="80"/>
      <c r="D522" s="41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60"/>
      <c r="Q522" s="141"/>
    </row>
    <row r="523" spans="1:17" s="34" customFormat="1" x14ac:dyDescent="0.25">
      <c r="A523" s="91"/>
      <c r="B523" s="80"/>
      <c r="C523" s="80"/>
      <c r="D523" s="41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60"/>
      <c r="Q523" s="141"/>
    </row>
    <row r="524" spans="1:17" s="34" customFormat="1" x14ac:dyDescent="0.25">
      <c r="A524" s="91"/>
      <c r="B524" s="80"/>
      <c r="C524" s="80"/>
      <c r="D524" s="41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60"/>
      <c r="Q524" s="141"/>
    </row>
    <row r="525" spans="1:17" s="34" customFormat="1" x14ac:dyDescent="0.25">
      <c r="A525" s="91"/>
      <c r="B525" s="80"/>
      <c r="C525" s="80"/>
      <c r="D525" s="41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60"/>
      <c r="Q525" s="141"/>
    </row>
    <row r="526" spans="1:17" s="34" customFormat="1" x14ac:dyDescent="0.25">
      <c r="A526" s="91"/>
      <c r="B526" s="80"/>
      <c r="C526" s="80"/>
      <c r="D526" s="41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60"/>
      <c r="Q526" s="141"/>
    </row>
    <row r="527" spans="1:17" s="34" customFormat="1" x14ac:dyDescent="0.25">
      <c r="A527" s="91"/>
      <c r="B527" s="80"/>
      <c r="C527" s="80"/>
      <c r="D527" s="41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60"/>
      <c r="Q527" s="141"/>
    </row>
    <row r="528" spans="1:17" s="34" customFormat="1" x14ac:dyDescent="0.25">
      <c r="A528" s="91"/>
      <c r="B528" s="80"/>
      <c r="C528" s="80"/>
      <c r="D528" s="41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60"/>
      <c r="Q528" s="141"/>
    </row>
    <row r="529" spans="1:17" s="34" customFormat="1" x14ac:dyDescent="0.25">
      <c r="A529" s="91"/>
      <c r="B529" s="80"/>
      <c r="C529" s="80"/>
      <c r="D529" s="41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60"/>
      <c r="Q529" s="141"/>
    </row>
    <row r="530" spans="1:17" s="34" customFormat="1" x14ac:dyDescent="0.25">
      <c r="A530" s="91"/>
      <c r="B530" s="80"/>
      <c r="C530" s="80"/>
      <c r="D530" s="41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60"/>
      <c r="Q530" s="141"/>
    </row>
    <row r="531" spans="1:17" s="34" customFormat="1" x14ac:dyDescent="0.25">
      <c r="A531" s="91"/>
      <c r="B531" s="80"/>
      <c r="C531" s="80"/>
      <c r="D531" s="41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60"/>
      <c r="Q531" s="141"/>
    </row>
    <row r="532" spans="1:17" s="34" customFormat="1" x14ac:dyDescent="0.25">
      <c r="A532" s="91"/>
      <c r="B532" s="80"/>
      <c r="C532" s="80"/>
      <c r="D532" s="41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60"/>
      <c r="Q532" s="141"/>
    </row>
    <row r="533" spans="1:17" s="34" customFormat="1" x14ac:dyDescent="0.25">
      <c r="A533" s="91"/>
      <c r="B533" s="80"/>
      <c r="C533" s="80"/>
      <c r="D533" s="41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60"/>
      <c r="Q533" s="141"/>
    </row>
    <row r="534" spans="1:17" s="34" customFormat="1" x14ac:dyDescent="0.25">
      <c r="A534" s="91"/>
      <c r="B534" s="80"/>
      <c r="C534" s="80"/>
      <c r="D534" s="41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60"/>
      <c r="Q534" s="141"/>
    </row>
    <row r="535" spans="1:17" s="34" customFormat="1" x14ac:dyDescent="0.25">
      <c r="A535" s="91"/>
      <c r="B535" s="80"/>
      <c r="C535" s="80"/>
      <c r="D535" s="41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60"/>
      <c r="Q535" s="141"/>
    </row>
    <row r="536" spans="1:17" s="34" customFormat="1" x14ac:dyDescent="0.25">
      <c r="A536" s="91"/>
      <c r="B536" s="80"/>
      <c r="C536" s="80"/>
      <c r="D536" s="41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60"/>
      <c r="Q536" s="141"/>
    </row>
    <row r="537" spans="1:17" s="34" customFormat="1" x14ac:dyDescent="0.25">
      <c r="A537" s="91"/>
      <c r="B537" s="80"/>
      <c r="C537" s="80"/>
      <c r="D537" s="41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60"/>
      <c r="Q537" s="141"/>
    </row>
    <row r="538" spans="1:17" s="34" customFormat="1" x14ac:dyDescent="0.25">
      <c r="A538" s="91"/>
      <c r="B538" s="80"/>
      <c r="C538" s="80"/>
      <c r="D538" s="41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60"/>
      <c r="Q538" s="141"/>
    </row>
    <row r="539" spans="1:17" s="34" customFormat="1" x14ac:dyDescent="0.25">
      <c r="A539" s="91"/>
      <c r="B539" s="80"/>
      <c r="C539" s="80"/>
      <c r="D539" s="41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60"/>
      <c r="Q539" s="141"/>
    </row>
    <row r="540" spans="1:17" s="34" customFormat="1" x14ac:dyDescent="0.25">
      <c r="A540" s="91"/>
      <c r="B540" s="80"/>
      <c r="C540" s="80"/>
      <c r="D540" s="41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60"/>
      <c r="Q540" s="141"/>
    </row>
    <row r="541" spans="1:17" s="34" customFormat="1" x14ac:dyDescent="0.25">
      <c r="A541" s="91"/>
      <c r="B541" s="80"/>
      <c r="C541" s="80"/>
      <c r="D541" s="41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60"/>
      <c r="Q541" s="141"/>
    </row>
    <row r="542" spans="1:17" s="34" customFormat="1" x14ac:dyDescent="0.25">
      <c r="A542" s="91"/>
      <c r="B542" s="80"/>
      <c r="C542" s="80"/>
      <c r="D542" s="41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60"/>
      <c r="Q542" s="141"/>
    </row>
    <row r="543" spans="1:17" s="34" customFormat="1" x14ac:dyDescent="0.25">
      <c r="A543" s="91"/>
      <c r="B543" s="80"/>
      <c r="C543" s="80"/>
      <c r="D543" s="41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60"/>
      <c r="Q543" s="141"/>
    </row>
    <row r="544" spans="1:17" s="34" customFormat="1" x14ac:dyDescent="0.25">
      <c r="A544" s="91"/>
      <c r="B544" s="80"/>
      <c r="C544" s="80"/>
      <c r="D544" s="41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60"/>
      <c r="Q544" s="141"/>
    </row>
    <row r="545" spans="1:17" s="34" customFormat="1" x14ac:dyDescent="0.25">
      <c r="A545" s="91"/>
      <c r="B545" s="80"/>
      <c r="C545" s="80"/>
      <c r="D545" s="41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60"/>
      <c r="Q545" s="141"/>
    </row>
    <row r="546" spans="1:17" s="34" customFormat="1" x14ac:dyDescent="0.25">
      <c r="A546" s="91"/>
      <c r="B546" s="80"/>
      <c r="C546" s="80"/>
      <c r="D546" s="41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60"/>
      <c r="Q546" s="141"/>
    </row>
    <row r="547" spans="1:17" s="34" customFormat="1" x14ac:dyDescent="0.25">
      <c r="A547" s="91"/>
      <c r="B547" s="80"/>
      <c r="C547" s="80"/>
      <c r="D547" s="41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60"/>
      <c r="Q547" s="141"/>
    </row>
    <row r="548" spans="1:17" s="34" customFormat="1" x14ac:dyDescent="0.25">
      <c r="A548" s="91"/>
      <c r="B548" s="80"/>
      <c r="C548" s="80"/>
      <c r="D548" s="41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60"/>
      <c r="Q548" s="141"/>
    </row>
    <row r="549" spans="1:17" s="34" customFormat="1" x14ac:dyDescent="0.25">
      <c r="A549" s="91"/>
      <c r="B549" s="80"/>
      <c r="C549" s="80"/>
      <c r="D549" s="41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60"/>
      <c r="Q549" s="141"/>
    </row>
    <row r="550" spans="1:17" s="34" customFormat="1" x14ac:dyDescent="0.25">
      <c r="A550" s="91"/>
      <c r="B550" s="80"/>
      <c r="C550" s="80"/>
      <c r="D550" s="41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60"/>
      <c r="Q550" s="141"/>
    </row>
    <row r="551" spans="1:17" s="34" customFormat="1" x14ac:dyDescent="0.25">
      <c r="A551" s="91"/>
      <c r="B551" s="80"/>
      <c r="C551" s="80"/>
      <c r="D551" s="41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60"/>
      <c r="Q551" s="141"/>
    </row>
    <row r="552" spans="1:17" s="34" customFormat="1" x14ac:dyDescent="0.25">
      <c r="A552" s="91"/>
      <c r="B552" s="80"/>
      <c r="C552" s="80"/>
      <c r="D552" s="41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60"/>
      <c r="Q552" s="141"/>
    </row>
    <row r="553" spans="1:17" s="34" customFormat="1" x14ac:dyDescent="0.25">
      <c r="A553" s="91"/>
      <c r="B553" s="80"/>
      <c r="C553" s="80"/>
      <c r="D553" s="41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60"/>
      <c r="Q553" s="141"/>
    </row>
    <row r="554" spans="1:17" s="34" customFormat="1" x14ac:dyDescent="0.25">
      <c r="A554" s="91"/>
      <c r="B554" s="80"/>
      <c r="C554" s="80"/>
      <c r="D554" s="41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60"/>
      <c r="Q554" s="141"/>
    </row>
    <row r="555" spans="1:17" s="34" customFormat="1" x14ac:dyDescent="0.25">
      <c r="A555" s="91"/>
      <c r="B555" s="80"/>
      <c r="C555" s="80"/>
      <c r="D555" s="41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60"/>
      <c r="Q555" s="141"/>
    </row>
    <row r="556" spans="1:17" s="34" customFormat="1" x14ac:dyDescent="0.25">
      <c r="A556" s="91"/>
      <c r="B556" s="80"/>
      <c r="C556" s="80"/>
      <c r="D556" s="41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60"/>
      <c r="Q556" s="141"/>
    </row>
    <row r="557" spans="1:17" s="34" customFormat="1" x14ac:dyDescent="0.25">
      <c r="A557" s="91"/>
      <c r="B557" s="80"/>
      <c r="C557" s="80"/>
      <c r="D557" s="41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60"/>
      <c r="Q557" s="141"/>
    </row>
    <row r="558" spans="1:17" s="34" customFormat="1" x14ac:dyDescent="0.25">
      <c r="A558" s="91"/>
      <c r="B558" s="80"/>
      <c r="C558" s="80"/>
      <c r="D558" s="41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60"/>
      <c r="Q558" s="141"/>
    </row>
    <row r="559" spans="1:17" s="34" customFormat="1" x14ac:dyDescent="0.25">
      <c r="A559" s="91"/>
      <c r="B559" s="80"/>
      <c r="C559" s="80"/>
      <c r="D559" s="41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60"/>
      <c r="Q559" s="141"/>
    </row>
    <row r="560" spans="1:17" s="34" customFormat="1" x14ac:dyDescent="0.25">
      <c r="A560" s="91"/>
      <c r="B560" s="80"/>
      <c r="C560" s="80"/>
      <c r="D560" s="41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60"/>
      <c r="Q560" s="141"/>
    </row>
    <row r="561" spans="1:17" s="34" customFormat="1" x14ac:dyDescent="0.25">
      <c r="A561" s="91"/>
      <c r="B561" s="80"/>
      <c r="C561" s="80"/>
      <c r="D561" s="41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60"/>
      <c r="Q561" s="141"/>
    </row>
    <row r="562" spans="1:17" s="34" customFormat="1" x14ac:dyDescent="0.25">
      <c r="A562" s="91"/>
      <c r="B562" s="80"/>
      <c r="C562" s="80"/>
      <c r="D562" s="41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60"/>
      <c r="Q562" s="141"/>
    </row>
    <row r="563" spans="1:17" s="34" customFormat="1" x14ac:dyDescent="0.25">
      <c r="A563" s="91"/>
      <c r="B563" s="80"/>
      <c r="C563" s="80"/>
      <c r="D563" s="41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60"/>
      <c r="Q563" s="141"/>
    </row>
    <row r="564" spans="1:17" s="34" customFormat="1" x14ac:dyDescent="0.25">
      <c r="A564" s="91"/>
      <c r="B564" s="80"/>
      <c r="C564" s="80"/>
      <c r="D564" s="41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60"/>
      <c r="Q564" s="141"/>
    </row>
    <row r="565" spans="1:17" s="34" customFormat="1" x14ac:dyDescent="0.25">
      <c r="A565" s="91"/>
      <c r="B565" s="80"/>
      <c r="C565" s="80"/>
      <c r="D565" s="41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60"/>
      <c r="Q565" s="141"/>
    </row>
    <row r="566" spans="1:17" s="34" customFormat="1" x14ac:dyDescent="0.25">
      <c r="A566" s="91"/>
      <c r="B566" s="80"/>
      <c r="C566" s="80"/>
      <c r="D566" s="41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60"/>
      <c r="Q566" s="141"/>
    </row>
    <row r="567" spans="1:17" s="34" customFormat="1" x14ac:dyDescent="0.25">
      <c r="A567" s="91"/>
      <c r="B567" s="80"/>
      <c r="C567" s="80"/>
      <c r="D567" s="41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60"/>
      <c r="Q567" s="141"/>
    </row>
    <row r="568" spans="1:17" s="34" customFormat="1" x14ac:dyDescent="0.25">
      <c r="A568" s="91"/>
      <c r="B568" s="80"/>
      <c r="C568" s="80"/>
      <c r="D568" s="41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60"/>
      <c r="Q568" s="141"/>
    </row>
    <row r="569" spans="1:17" s="34" customFormat="1" x14ac:dyDescent="0.25">
      <c r="A569" s="91"/>
      <c r="B569" s="80"/>
      <c r="C569" s="80"/>
      <c r="D569" s="41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60"/>
      <c r="Q569" s="141"/>
    </row>
    <row r="570" spans="1:17" s="34" customFormat="1" x14ac:dyDescent="0.25">
      <c r="A570" s="91"/>
      <c r="B570" s="80"/>
      <c r="C570" s="80"/>
      <c r="D570" s="41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60"/>
      <c r="Q570" s="141"/>
    </row>
    <row r="571" spans="1:17" s="34" customFormat="1" x14ac:dyDescent="0.25">
      <c r="A571" s="91"/>
      <c r="B571" s="80"/>
      <c r="C571" s="80"/>
      <c r="D571" s="41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60"/>
      <c r="Q571" s="141"/>
    </row>
    <row r="572" spans="1:17" s="34" customFormat="1" x14ac:dyDescent="0.25">
      <c r="A572" s="91"/>
      <c r="B572" s="80"/>
      <c r="C572" s="80"/>
      <c r="D572" s="41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60"/>
      <c r="Q572" s="141"/>
    </row>
    <row r="573" spans="1:17" s="34" customFormat="1" x14ac:dyDescent="0.25">
      <c r="A573" s="91"/>
      <c r="B573" s="80"/>
      <c r="C573" s="80"/>
      <c r="D573" s="41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60"/>
      <c r="Q573" s="141"/>
    </row>
    <row r="574" spans="1:17" s="34" customFormat="1" x14ac:dyDescent="0.25">
      <c r="A574" s="91"/>
      <c r="B574" s="80"/>
      <c r="C574" s="80"/>
      <c r="D574" s="41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60"/>
      <c r="Q574" s="141"/>
    </row>
    <row r="575" spans="1:17" s="34" customFormat="1" x14ac:dyDescent="0.25">
      <c r="A575" s="91"/>
      <c r="B575" s="80"/>
      <c r="C575" s="80"/>
      <c r="D575" s="4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60"/>
      <c r="Q575" s="141"/>
    </row>
    <row r="576" spans="1:17" s="34" customFormat="1" x14ac:dyDescent="0.25">
      <c r="A576" s="91"/>
      <c r="B576" s="80"/>
      <c r="C576" s="80"/>
      <c r="D576" s="41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60"/>
      <c r="Q576" s="141"/>
    </row>
    <row r="577" spans="1:17" s="34" customFormat="1" x14ac:dyDescent="0.25">
      <c r="A577" s="91"/>
      <c r="B577" s="80"/>
      <c r="C577" s="80"/>
      <c r="D577" s="41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60"/>
      <c r="Q577" s="141"/>
    </row>
    <row r="578" spans="1:17" s="34" customFormat="1" x14ac:dyDescent="0.25">
      <c r="A578" s="91"/>
      <c r="B578" s="80"/>
      <c r="C578" s="80"/>
      <c r="D578" s="41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60"/>
      <c r="Q578" s="141"/>
    </row>
    <row r="579" spans="1:17" s="34" customFormat="1" x14ac:dyDescent="0.25">
      <c r="A579" s="91"/>
      <c r="B579" s="80"/>
      <c r="C579" s="80"/>
      <c r="D579" s="41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60"/>
      <c r="Q579" s="141"/>
    </row>
    <row r="580" spans="1:17" s="34" customFormat="1" x14ac:dyDescent="0.25">
      <c r="A580" s="91"/>
      <c r="B580" s="80"/>
      <c r="C580" s="80"/>
      <c r="D580" s="41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60"/>
      <c r="Q580" s="141"/>
    </row>
    <row r="581" spans="1:17" s="34" customFormat="1" x14ac:dyDescent="0.25">
      <c r="A581" s="91"/>
      <c r="B581" s="80"/>
      <c r="C581" s="80"/>
      <c r="D581" s="41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60"/>
      <c r="Q581" s="141"/>
    </row>
    <row r="582" spans="1:17" s="34" customFormat="1" x14ac:dyDescent="0.25">
      <c r="A582" s="91"/>
      <c r="B582" s="80"/>
      <c r="C582" s="80"/>
      <c r="D582" s="41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60"/>
      <c r="Q582" s="141"/>
    </row>
    <row r="583" spans="1:17" s="34" customFormat="1" x14ac:dyDescent="0.25">
      <c r="A583" s="91"/>
      <c r="B583" s="80"/>
      <c r="C583" s="80"/>
      <c r="D583" s="41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60"/>
      <c r="Q583" s="141"/>
    </row>
    <row r="584" spans="1:17" s="34" customFormat="1" x14ac:dyDescent="0.25">
      <c r="A584" s="91"/>
      <c r="B584" s="80"/>
      <c r="C584" s="80"/>
      <c r="D584" s="41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60"/>
      <c r="Q584" s="141"/>
    </row>
    <row r="585" spans="1:17" s="34" customFormat="1" x14ac:dyDescent="0.25">
      <c r="A585" s="91"/>
      <c r="B585" s="80"/>
      <c r="C585" s="80"/>
      <c r="D585" s="41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60"/>
      <c r="Q585" s="141"/>
    </row>
    <row r="586" spans="1:17" s="34" customFormat="1" x14ac:dyDescent="0.25">
      <c r="A586" s="91"/>
      <c r="B586" s="80"/>
      <c r="C586" s="80"/>
      <c r="D586" s="41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60"/>
      <c r="Q586" s="141"/>
    </row>
    <row r="587" spans="1:17" s="34" customFormat="1" x14ac:dyDescent="0.25">
      <c r="A587" s="91"/>
      <c r="B587" s="80"/>
      <c r="C587" s="80"/>
      <c r="D587" s="41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60"/>
      <c r="Q587" s="141"/>
    </row>
    <row r="588" spans="1:17" s="34" customFormat="1" x14ac:dyDescent="0.25">
      <c r="A588" s="91"/>
      <c r="B588" s="80"/>
      <c r="C588" s="80"/>
      <c r="D588" s="41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60"/>
      <c r="Q588" s="141"/>
    </row>
    <row r="589" spans="1:17" s="34" customFormat="1" x14ac:dyDescent="0.25">
      <c r="A589" s="91"/>
      <c r="B589" s="80"/>
      <c r="C589" s="80"/>
      <c r="D589" s="41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60"/>
      <c r="Q589" s="141"/>
    </row>
    <row r="590" spans="1:17" s="34" customFormat="1" x14ac:dyDescent="0.25">
      <c r="A590" s="91"/>
      <c r="B590" s="80"/>
      <c r="C590" s="80"/>
      <c r="D590" s="41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60"/>
      <c r="Q590" s="141"/>
    </row>
    <row r="591" spans="1:17" s="34" customFormat="1" x14ac:dyDescent="0.25">
      <c r="A591" s="91"/>
      <c r="B591" s="80"/>
      <c r="C591" s="80"/>
      <c r="D591" s="41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60"/>
      <c r="Q591" s="141"/>
    </row>
    <row r="592" spans="1:17" s="34" customFormat="1" x14ac:dyDescent="0.25">
      <c r="A592" s="91"/>
      <c r="B592" s="80"/>
      <c r="C592" s="80"/>
      <c r="D592" s="41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60"/>
      <c r="Q592" s="141"/>
    </row>
    <row r="593" spans="1:17" s="34" customFormat="1" x14ac:dyDescent="0.25">
      <c r="A593" s="91"/>
      <c r="B593" s="80"/>
      <c r="C593" s="80"/>
      <c r="D593" s="41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60"/>
      <c r="Q593" s="141"/>
    </row>
    <row r="594" spans="1:17" s="34" customFormat="1" x14ac:dyDescent="0.25">
      <c r="A594" s="91"/>
      <c r="B594" s="80"/>
      <c r="C594" s="80"/>
      <c r="D594" s="41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60"/>
      <c r="Q594" s="141"/>
    </row>
    <row r="595" spans="1:17" s="34" customFormat="1" x14ac:dyDescent="0.25">
      <c r="A595" s="91"/>
      <c r="B595" s="80"/>
      <c r="C595" s="80"/>
      <c r="D595" s="41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60"/>
      <c r="Q595" s="141"/>
    </row>
    <row r="596" spans="1:17" s="34" customFormat="1" x14ac:dyDescent="0.25">
      <c r="A596" s="91"/>
      <c r="B596" s="80"/>
      <c r="C596" s="80"/>
      <c r="D596" s="4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60"/>
      <c r="Q596" s="141"/>
    </row>
    <row r="597" spans="1:17" s="34" customFormat="1" x14ac:dyDescent="0.25">
      <c r="A597" s="91"/>
      <c r="B597" s="80"/>
      <c r="C597" s="80"/>
      <c r="D597" s="41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60"/>
      <c r="Q597" s="141"/>
    </row>
    <row r="598" spans="1:17" s="34" customFormat="1" x14ac:dyDescent="0.25">
      <c r="A598" s="91"/>
      <c r="B598" s="80"/>
      <c r="C598" s="80"/>
      <c r="D598" s="41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60"/>
      <c r="Q598" s="141"/>
    </row>
    <row r="599" spans="1:17" s="34" customFormat="1" x14ac:dyDescent="0.25">
      <c r="A599" s="91"/>
      <c r="B599" s="80"/>
      <c r="C599" s="80"/>
      <c r="D599" s="41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60"/>
      <c r="Q599" s="141"/>
    </row>
    <row r="600" spans="1:17" s="34" customFormat="1" x14ac:dyDescent="0.25">
      <c r="A600" s="91"/>
      <c r="B600" s="80"/>
      <c r="C600" s="80"/>
      <c r="D600" s="41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60"/>
      <c r="Q600" s="141"/>
    </row>
    <row r="601" spans="1:17" s="34" customFormat="1" x14ac:dyDescent="0.25">
      <c r="A601" s="91"/>
      <c r="B601" s="80"/>
      <c r="C601" s="80"/>
      <c r="D601" s="41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60"/>
      <c r="Q601" s="141"/>
    </row>
    <row r="602" spans="1:17" s="34" customFormat="1" x14ac:dyDescent="0.25">
      <c r="A602" s="91"/>
      <c r="B602" s="80"/>
      <c r="C602" s="80"/>
      <c r="D602" s="41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60"/>
      <c r="Q602" s="141"/>
    </row>
    <row r="603" spans="1:17" s="34" customFormat="1" x14ac:dyDescent="0.25">
      <c r="A603" s="91"/>
      <c r="B603" s="80"/>
      <c r="C603" s="80"/>
      <c r="D603" s="41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60"/>
      <c r="Q603" s="141"/>
    </row>
    <row r="604" spans="1:17" s="34" customFormat="1" x14ac:dyDescent="0.25">
      <c r="A604" s="91"/>
      <c r="B604" s="80"/>
      <c r="C604" s="80"/>
      <c r="D604" s="41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60"/>
      <c r="Q604" s="141"/>
    </row>
    <row r="605" spans="1:17" s="34" customFormat="1" x14ac:dyDescent="0.25">
      <c r="A605" s="91"/>
      <c r="B605" s="80"/>
      <c r="C605" s="80"/>
      <c r="D605" s="41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60"/>
      <c r="Q605" s="141"/>
    </row>
    <row r="606" spans="1:17" s="34" customFormat="1" x14ac:dyDescent="0.25">
      <c r="A606" s="91"/>
      <c r="B606" s="80"/>
      <c r="C606" s="80"/>
      <c r="D606" s="41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60"/>
      <c r="Q606" s="141"/>
    </row>
    <row r="607" spans="1:17" s="34" customFormat="1" x14ac:dyDescent="0.25">
      <c r="A607" s="91"/>
      <c r="B607" s="80"/>
      <c r="C607" s="80"/>
      <c r="D607" s="41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60"/>
      <c r="Q607" s="141"/>
    </row>
    <row r="608" spans="1:17" s="34" customFormat="1" x14ac:dyDescent="0.25">
      <c r="A608" s="91"/>
      <c r="B608" s="80"/>
      <c r="C608" s="80"/>
      <c r="D608" s="41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60"/>
      <c r="Q608" s="141"/>
    </row>
    <row r="609" spans="1:17" s="34" customFormat="1" x14ac:dyDescent="0.25">
      <c r="A609" s="91"/>
      <c r="B609" s="80"/>
      <c r="C609" s="80"/>
      <c r="D609" s="4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60"/>
      <c r="Q609" s="141"/>
    </row>
    <row r="610" spans="1:17" s="34" customFormat="1" x14ac:dyDescent="0.25">
      <c r="A610" s="91"/>
      <c r="B610" s="80"/>
      <c r="C610" s="80"/>
      <c r="D610" s="4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60"/>
      <c r="Q610" s="141"/>
    </row>
    <row r="611" spans="1:17" s="34" customFormat="1" x14ac:dyDescent="0.25">
      <c r="A611" s="91"/>
      <c r="B611" s="80"/>
      <c r="C611" s="80"/>
      <c r="D611" s="41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60"/>
      <c r="Q611" s="141"/>
    </row>
    <row r="612" spans="1:17" s="34" customFormat="1" x14ac:dyDescent="0.25">
      <c r="A612" s="91"/>
      <c r="B612" s="80"/>
      <c r="C612" s="80"/>
      <c r="D612" s="41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60"/>
      <c r="Q612" s="141"/>
    </row>
    <row r="613" spans="1:17" s="34" customFormat="1" x14ac:dyDescent="0.25">
      <c r="A613" s="91"/>
      <c r="B613" s="80"/>
      <c r="C613" s="80"/>
      <c r="D613" s="41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60"/>
      <c r="Q613" s="141"/>
    </row>
    <row r="614" spans="1:17" s="34" customFormat="1" x14ac:dyDescent="0.25">
      <c r="A614" s="91"/>
      <c r="B614" s="80"/>
      <c r="C614" s="80"/>
      <c r="D614" s="41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60"/>
      <c r="Q614" s="141"/>
    </row>
    <row r="615" spans="1:17" s="34" customFormat="1" x14ac:dyDescent="0.25">
      <c r="A615" s="91"/>
      <c r="B615" s="80"/>
      <c r="C615" s="80"/>
      <c r="D615" s="41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60"/>
      <c r="Q615" s="141"/>
    </row>
    <row r="616" spans="1:17" s="34" customFormat="1" x14ac:dyDescent="0.25">
      <c r="A616" s="91"/>
      <c r="B616" s="80"/>
      <c r="C616" s="80"/>
      <c r="D616" s="41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60"/>
      <c r="Q616" s="141"/>
    </row>
    <row r="617" spans="1:17" s="34" customFormat="1" x14ac:dyDescent="0.25">
      <c r="A617" s="91"/>
      <c r="B617" s="80"/>
      <c r="C617" s="80"/>
      <c r="D617" s="41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60"/>
      <c r="Q617" s="141"/>
    </row>
    <row r="618" spans="1:17" s="34" customFormat="1" x14ac:dyDescent="0.25">
      <c r="A618" s="91"/>
      <c r="B618" s="80"/>
      <c r="C618" s="80"/>
      <c r="D618" s="41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60"/>
      <c r="Q618" s="141"/>
    </row>
    <row r="619" spans="1:17" s="34" customFormat="1" x14ac:dyDescent="0.25">
      <c r="A619" s="91"/>
      <c r="B619" s="80"/>
      <c r="C619" s="80"/>
      <c r="D619" s="41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60"/>
      <c r="Q619" s="141"/>
    </row>
    <row r="620" spans="1:17" s="34" customFormat="1" x14ac:dyDescent="0.25">
      <c r="A620" s="91"/>
      <c r="B620" s="80"/>
      <c r="C620" s="80"/>
      <c r="D620" s="41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60"/>
      <c r="Q620" s="141"/>
    </row>
    <row r="621" spans="1:17" s="34" customFormat="1" x14ac:dyDescent="0.25">
      <c r="A621" s="91"/>
      <c r="B621" s="80"/>
      <c r="C621" s="80"/>
      <c r="D621" s="41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60"/>
      <c r="Q621" s="141"/>
    </row>
    <row r="622" spans="1:17" s="34" customFormat="1" x14ac:dyDescent="0.25">
      <c r="A622" s="91"/>
      <c r="B622" s="80"/>
      <c r="C622" s="80"/>
      <c r="D622" s="41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60"/>
      <c r="Q622" s="141"/>
    </row>
    <row r="623" spans="1:17" s="34" customFormat="1" x14ac:dyDescent="0.25">
      <c r="A623" s="91"/>
      <c r="B623" s="80"/>
      <c r="C623" s="80"/>
      <c r="D623" s="41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60"/>
      <c r="Q623" s="141"/>
    </row>
    <row r="624" spans="1:17" s="34" customFormat="1" x14ac:dyDescent="0.25">
      <c r="A624" s="91"/>
      <c r="B624" s="80"/>
      <c r="C624" s="80"/>
      <c r="D624" s="41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60"/>
      <c r="Q624" s="141"/>
    </row>
    <row r="625" spans="1:17" s="34" customFormat="1" x14ac:dyDescent="0.25">
      <c r="A625" s="91"/>
      <c r="B625" s="80"/>
      <c r="C625" s="80"/>
      <c r="D625" s="41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60"/>
      <c r="Q625" s="141"/>
    </row>
    <row r="626" spans="1:17" s="34" customFormat="1" x14ac:dyDescent="0.25">
      <c r="A626" s="91"/>
      <c r="B626" s="80"/>
      <c r="C626" s="80"/>
      <c r="D626" s="41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60"/>
      <c r="Q626" s="141"/>
    </row>
    <row r="627" spans="1:17" s="34" customFormat="1" x14ac:dyDescent="0.25">
      <c r="A627" s="91"/>
      <c r="B627" s="80"/>
      <c r="C627" s="80"/>
      <c r="D627" s="41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60"/>
      <c r="Q627" s="141"/>
    </row>
    <row r="628" spans="1:17" s="34" customFormat="1" x14ac:dyDescent="0.25">
      <c r="A628" s="91"/>
      <c r="B628" s="80"/>
      <c r="C628" s="80"/>
      <c r="D628" s="41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60"/>
      <c r="Q628" s="141"/>
    </row>
    <row r="629" spans="1:17" s="34" customFormat="1" x14ac:dyDescent="0.25">
      <c r="A629" s="91"/>
      <c r="B629" s="80"/>
      <c r="C629" s="80"/>
      <c r="D629" s="41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60"/>
      <c r="Q629" s="141"/>
    </row>
    <row r="630" spans="1:17" s="34" customFormat="1" x14ac:dyDescent="0.25">
      <c r="A630" s="91"/>
      <c r="B630" s="80"/>
      <c r="C630" s="80"/>
      <c r="D630" s="41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60"/>
      <c r="Q630" s="141"/>
    </row>
    <row r="631" spans="1:17" s="34" customFormat="1" x14ac:dyDescent="0.25">
      <c r="A631" s="91"/>
      <c r="B631" s="80"/>
      <c r="C631" s="80"/>
      <c r="D631" s="41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60"/>
      <c r="Q631" s="141"/>
    </row>
    <row r="632" spans="1:17" s="34" customFormat="1" x14ac:dyDescent="0.25">
      <c r="A632" s="91"/>
      <c r="B632" s="80"/>
      <c r="C632" s="80"/>
      <c r="D632" s="41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60"/>
      <c r="Q632" s="141"/>
    </row>
    <row r="633" spans="1:17" s="34" customFormat="1" x14ac:dyDescent="0.25">
      <c r="A633" s="91"/>
      <c r="B633" s="80"/>
      <c r="C633" s="80"/>
      <c r="D633" s="41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60"/>
      <c r="Q633" s="141"/>
    </row>
    <row r="634" spans="1:17" s="34" customFormat="1" x14ac:dyDescent="0.25">
      <c r="A634" s="91"/>
      <c r="B634" s="80"/>
      <c r="C634" s="80"/>
      <c r="D634" s="41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60"/>
      <c r="Q634" s="141"/>
    </row>
    <row r="635" spans="1:17" s="34" customFormat="1" x14ac:dyDescent="0.25">
      <c r="A635" s="91"/>
      <c r="B635" s="80"/>
      <c r="C635" s="80"/>
      <c r="D635" s="41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60"/>
      <c r="Q635" s="141"/>
    </row>
    <row r="636" spans="1:17" s="34" customFormat="1" x14ac:dyDescent="0.25">
      <c r="A636" s="91"/>
      <c r="B636" s="80"/>
      <c r="C636" s="80"/>
      <c r="D636" s="41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60"/>
      <c r="Q636" s="141"/>
    </row>
    <row r="637" spans="1:17" s="34" customFormat="1" x14ac:dyDescent="0.25">
      <c r="A637" s="91"/>
      <c r="B637" s="80"/>
      <c r="C637" s="80"/>
      <c r="D637" s="41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60"/>
      <c r="Q637" s="141"/>
    </row>
    <row r="638" spans="1:17" s="34" customFormat="1" x14ac:dyDescent="0.25">
      <c r="A638" s="91"/>
      <c r="B638" s="80"/>
      <c r="C638" s="80"/>
      <c r="D638" s="41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60"/>
      <c r="Q638" s="141"/>
    </row>
    <row r="639" spans="1:17" s="34" customFormat="1" x14ac:dyDescent="0.25">
      <c r="A639" s="91"/>
      <c r="B639" s="80"/>
      <c r="C639" s="80"/>
      <c r="D639" s="41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60"/>
      <c r="Q639" s="141"/>
    </row>
    <row r="640" spans="1:17" s="34" customFormat="1" x14ac:dyDescent="0.25">
      <c r="A640" s="91"/>
      <c r="B640" s="80"/>
      <c r="C640" s="80"/>
      <c r="D640" s="41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60"/>
      <c r="Q640" s="141"/>
    </row>
    <row r="641" spans="1:17" s="34" customFormat="1" x14ac:dyDescent="0.25">
      <c r="A641" s="91"/>
      <c r="B641" s="80"/>
      <c r="C641" s="80"/>
      <c r="D641" s="41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60"/>
      <c r="Q641" s="141"/>
    </row>
    <row r="642" spans="1:17" s="34" customFormat="1" x14ac:dyDescent="0.25">
      <c r="A642" s="91"/>
      <c r="B642" s="80"/>
      <c r="C642" s="80"/>
      <c r="D642" s="41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60"/>
      <c r="Q642" s="141"/>
    </row>
    <row r="643" spans="1:17" s="34" customFormat="1" x14ac:dyDescent="0.25">
      <c r="A643" s="91"/>
      <c r="B643" s="80"/>
      <c r="C643" s="80"/>
      <c r="D643" s="41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60"/>
      <c r="Q643" s="141"/>
    </row>
    <row r="644" spans="1:17" s="34" customFormat="1" x14ac:dyDescent="0.25">
      <c r="A644" s="91"/>
      <c r="B644" s="80"/>
      <c r="C644" s="80"/>
      <c r="D644" s="41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60"/>
      <c r="Q644" s="141"/>
    </row>
    <row r="645" spans="1:17" s="34" customFormat="1" x14ac:dyDescent="0.25">
      <c r="A645" s="91"/>
      <c r="B645" s="80"/>
      <c r="C645" s="80"/>
      <c r="D645" s="41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60"/>
      <c r="Q645" s="141"/>
    </row>
    <row r="646" spans="1:17" s="34" customFormat="1" x14ac:dyDescent="0.25">
      <c r="A646" s="91"/>
      <c r="B646" s="80"/>
      <c r="C646" s="80"/>
      <c r="D646" s="41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60"/>
      <c r="Q646" s="141"/>
    </row>
    <row r="647" spans="1:17" s="34" customFormat="1" x14ac:dyDescent="0.25">
      <c r="A647" s="91"/>
      <c r="B647" s="80"/>
      <c r="C647" s="80"/>
      <c r="D647" s="41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60"/>
      <c r="Q647" s="141"/>
    </row>
    <row r="648" spans="1:17" s="34" customFormat="1" x14ac:dyDescent="0.25">
      <c r="A648" s="91"/>
      <c r="B648" s="80"/>
      <c r="C648" s="80"/>
      <c r="D648" s="41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60"/>
      <c r="Q648" s="141"/>
    </row>
    <row r="649" spans="1:17" s="34" customFormat="1" x14ac:dyDescent="0.25">
      <c r="A649" s="91"/>
      <c r="B649" s="80"/>
      <c r="C649" s="80"/>
      <c r="D649" s="41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60"/>
      <c r="Q649" s="141"/>
    </row>
    <row r="650" spans="1:17" s="34" customFormat="1" x14ac:dyDescent="0.25">
      <c r="A650" s="91"/>
      <c r="B650" s="80"/>
      <c r="C650" s="80"/>
      <c r="D650" s="41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60"/>
      <c r="Q650" s="141"/>
    </row>
    <row r="651" spans="1:17" s="34" customFormat="1" x14ac:dyDescent="0.25">
      <c r="A651" s="91"/>
      <c r="B651" s="80"/>
      <c r="C651" s="80"/>
      <c r="D651" s="41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60"/>
      <c r="Q651" s="141"/>
    </row>
    <row r="652" spans="1:17" s="34" customFormat="1" x14ac:dyDescent="0.25">
      <c r="A652" s="91"/>
      <c r="B652" s="80"/>
      <c r="C652" s="80"/>
      <c r="D652" s="41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60"/>
      <c r="Q652" s="141"/>
    </row>
    <row r="653" spans="1:17" s="34" customFormat="1" x14ac:dyDescent="0.25">
      <c r="A653" s="91"/>
      <c r="B653" s="80"/>
      <c r="C653" s="80"/>
      <c r="D653" s="41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60"/>
      <c r="Q653" s="141"/>
    </row>
    <row r="654" spans="1:17" s="34" customFormat="1" x14ac:dyDescent="0.25">
      <c r="A654" s="91"/>
      <c r="B654" s="80"/>
      <c r="C654" s="80"/>
      <c r="D654" s="41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60"/>
      <c r="Q654" s="141"/>
    </row>
    <row r="655" spans="1:17" s="34" customFormat="1" x14ac:dyDescent="0.25">
      <c r="A655" s="91"/>
      <c r="B655" s="80"/>
      <c r="C655" s="80"/>
      <c r="D655" s="41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60"/>
      <c r="Q655" s="141"/>
    </row>
    <row r="656" spans="1:17" s="34" customFormat="1" x14ac:dyDescent="0.25">
      <c r="A656" s="91"/>
      <c r="B656" s="80"/>
      <c r="C656" s="80"/>
      <c r="D656" s="41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60"/>
      <c r="Q656" s="141"/>
    </row>
    <row r="657" spans="1:17" s="34" customFormat="1" x14ac:dyDescent="0.25">
      <c r="A657" s="91"/>
      <c r="B657" s="80"/>
      <c r="C657" s="80"/>
      <c r="D657" s="41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60"/>
      <c r="Q657" s="141"/>
    </row>
    <row r="658" spans="1:17" s="34" customFormat="1" x14ac:dyDescent="0.25">
      <c r="A658" s="91"/>
      <c r="B658" s="80"/>
      <c r="C658" s="80"/>
      <c r="D658" s="41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60"/>
      <c r="Q658" s="141"/>
    </row>
    <row r="659" spans="1:17" s="34" customFormat="1" x14ac:dyDescent="0.25">
      <c r="A659" s="91"/>
      <c r="B659" s="80"/>
      <c r="C659" s="80"/>
      <c r="D659" s="41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60"/>
      <c r="Q659" s="141"/>
    </row>
    <row r="660" spans="1:17" s="34" customFormat="1" x14ac:dyDescent="0.25">
      <c r="A660" s="91"/>
      <c r="B660" s="80"/>
      <c r="C660" s="80"/>
      <c r="D660" s="41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60"/>
      <c r="Q660" s="141"/>
    </row>
    <row r="661" spans="1:17" s="34" customFormat="1" x14ac:dyDescent="0.25">
      <c r="A661" s="91"/>
      <c r="B661" s="80"/>
      <c r="C661" s="80"/>
      <c r="D661" s="41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60"/>
      <c r="Q661" s="141"/>
    </row>
    <row r="662" spans="1:17" s="34" customFormat="1" x14ac:dyDescent="0.25">
      <c r="A662" s="91"/>
      <c r="B662" s="80"/>
      <c r="C662" s="80"/>
      <c r="D662" s="41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60"/>
      <c r="Q662" s="141"/>
    </row>
    <row r="663" spans="1:17" s="34" customFormat="1" x14ac:dyDescent="0.25">
      <c r="A663" s="91"/>
      <c r="B663" s="80"/>
      <c r="C663" s="80"/>
      <c r="D663" s="41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60"/>
      <c r="Q663" s="141"/>
    </row>
    <row r="664" spans="1:17" s="34" customFormat="1" x14ac:dyDescent="0.25">
      <c r="A664" s="91"/>
      <c r="B664" s="80"/>
      <c r="C664" s="80"/>
      <c r="D664" s="41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60"/>
      <c r="Q664" s="141"/>
    </row>
    <row r="665" spans="1:17" s="34" customFormat="1" x14ac:dyDescent="0.25">
      <c r="A665" s="91"/>
      <c r="B665" s="80"/>
      <c r="C665" s="80"/>
      <c r="D665" s="41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60"/>
      <c r="Q665" s="141"/>
    </row>
    <row r="666" spans="1:17" s="34" customFormat="1" x14ac:dyDescent="0.25">
      <c r="A666" s="91"/>
      <c r="B666" s="80"/>
      <c r="C666" s="80"/>
      <c r="D666" s="41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60"/>
      <c r="Q666" s="141"/>
    </row>
    <row r="667" spans="1:17" s="34" customFormat="1" x14ac:dyDescent="0.25">
      <c r="A667" s="91"/>
      <c r="B667" s="80"/>
      <c r="C667" s="80"/>
      <c r="D667" s="41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60"/>
      <c r="Q667" s="141"/>
    </row>
    <row r="668" spans="1:17" s="34" customFormat="1" x14ac:dyDescent="0.25">
      <c r="A668" s="91"/>
      <c r="B668" s="80"/>
      <c r="C668" s="80"/>
      <c r="D668" s="41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60"/>
      <c r="Q668" s="141"/>
    </row>
    <row r="669" spans="1:17" s="34" customFormat="1" x14ac:dyDescent="0.25">
      <c r="A669" s="91"/>
      <c r="B669" s="80"/>
      <c r="C669" s="80"/>
      <c r="D669" s="41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60"/>
      <c r="Q669" s="141"/>
    </row>
    <row r="670" spans="1:17" s="34" customFormat="1" x14ac:dyDescent="0.25">
      <c r="A670" s="91"/>
      <c r="B670" s="80"/>
      <c r="C670" s="80"/>
      <c r="D670" s="41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60"/>
      <c r="Q670" s="141"/>
    </row>
    <row r="671" spans="1:17" s="34" customFormat="1" x14ac:dyDescent="0.25">
      <c r="A671" s="91"/>
      <c r="B671" s="80"/>
      <c r="C671" s="80"/>
      <c r="D671" s="41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60"/>
      <c r="Q671" s="141"/>
    </row>
    <row r="672" spans="1:17" s="34" customFormat="1" x14ac:dyDescent="0.25">
      <c r="A672" s="91"/>
      <c r="B672" s="80"/>
      <c r="C672" s="80"/>
      <c r="D672" s="41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60"/>
      <c r="Q672" s="141"/>
    </row>
    <row r="673" spans="1:17" s="34" customFormat="1" x14ac:dyDescent="0.25">
      <c r="A673" s="91"/>
      <c r="B673" s="80"/>
      <c r="C673" s="80"/>
      <c r="D673" s="41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60"/>
      <c r="Q673" s="141"/>
    </row>
    <row r="674" spans="1:17" s="34" customFormat="1" x14ac:dyDescent="0.25">
      <c r="A674" s="91"/>
      <c r="B674" s="80"/>
      <c r="C674" s="80"/>
      <c r="D674" s="41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60"/>
      <c r="Q674" s="141"/>
    </row>
    <row r="675" spans="1:17" s="34" customFormat="1" x14ac:dyDescent="0.25">
      <c r="A675" s="91"/>
      <c r="B675" s="80"/>
      <c r="C675" s="80"/>
      <c r="D675" s="41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60"/>
      <c r="Q675" s="141"/>
    </row>
    <row r="676" spans="1:17" s="34" customFormat="1" x14ac:dyDescent="0.25">
      <c r="A676" s="91"/>
      <c r="B676" s="80"/>
      <c r="C676" s="80"/>
      <c r="D676" s="41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60"/>
      <c r="Q676" s="141"/>
    </row>
    <row r="677" spans="1:17" s="34" customFormat="1" x14ac:dyDescent="0.25">
      <c r="A677" s="91"/>
      <c r="B677" s="80"/>
      <c r="C677" s="80"/>
      <c r="D677" s="41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60"/>
      <c r="Q677" s="141"/>
    </row>
    <row r="678" spans="1:17" s="34" customFormat="1" x14ac:dyDescent="0.25">
      <c r="A678" s="91"/>
      <c r="B678" s="80"/>
      <c r="C678" s="80"/>
      <c r="D678" s="41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60"/>
      <c r="Q678" s="141"/>
    </row>
    <row r="679" spans="1:17" s="34" customFormat="1" x14ac:dyDescent="0.25">
      <c r="A679" s="91"/>
      <c r="B679" s="80"/>
      <c r="C679" s="80"/>
      <c r="D679" s="41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60"/>
      <c r="Q679" s="141"/>
    </row>
    <row r="680" spans="1:17" s="34" customFormat="1" x14ac:dyDescent="0.25">
      <c r="A680" s="91"/>
      <c r="B680" s="80"/>
      <c r="C680" s="80"/>
      <c r="D680" s="41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60"/>
      <c r="Q680" s="141"/>
    </row>
    <row r="681" spans="1:17" s="34" customFormat="1" x14ac:dyDescent="0.25">
      <c r="A681" s="91"/>
      <c r="B681" s="80"/>
      <c r="C681" s="80"/>
      <c r="D681" s="41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60"/>
      <c r="Q681" s="141"/>
    </row>
    <row r="682" spans="1:17" s="34" customFormat="1" x14ac:dyDescent="0.25">
      <c r="A682" s="91"/>
      <c r="B682" s="80"/>
      <c r="C682" s="80"/>
      <c r="D682" s="41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60"/>
      <c r="Q682" s="141"/>
    </row>
    <row r="683" spans="1:17" s="34" customFormat="1" x14ac:dyDescent="0.25">
      <c r="A683" s="91"/>
      <c r="B683" s="80"/>
      <c r="C683" s="80"/>
      <c r="D683" s="41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60"/>
      <c r="Q683" s="141"/>
    </row>
    <row r="684" spans="1:17" s="34" customFormat="1" x14ac:dyDescent="0.25">
      <c r="A684" s="91"/>
      <c r="B684" s="80"/>
      <c r="C684" s="80"/>
      <c r="D684" s="41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60"/>
      <c r="Q684" s="141"/>
    </row>
    <row r="685" spans="1:17" s="34" customFormat="1" x14ac:dyDescent="0.25">
      <c r="A685" s="91"/>
      <c r="B685" s="80"/>
      <c r="C685" s="80"/>
      <c r="D685" s="41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60"/>
      <c r="Q685" s="141"/>
    </row>
    <row r="686" spans="1:17" s="34" customFormat="1" x14ac:dyDescent="0.25">
      <c r="A686" s="91"/>
      <c r="B686" s="80"/>
      <c r="C686" s="80"/>
      <c r="D686" s="41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60"/>
      <c r="Q686" s="141"/>
    </row>
    <row r="687" spans="1:17" s="34" customFormat="1" x14ac:dyDescent="0.25">
      <c r="A687" s="91"/>
      <c r="B687" s="80"/>
      <c r="C687" s="80"/>
      <c r="D687" s="41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60"/>
      <c r="Q687" s="141"/>
    </row>
    <row r="688" spans="1:17" s="34" customFormat="1" x14ac:dyDescent="0.25">
      <c r="A688" s="91"/>
      <c r="B688" s="80"/>
      <c r="C688" s="80"/>
      <c r="D688" s="41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60"/>
      <c r="Q688" s="141"/>
    </row>
    <row r="689" spans="1:17" s="34" customFormat="1" x14ac:dyDescent="0.25">
      <c r="A689" s="91"/>
      <c r="B689" s="80"/>
      <c r="C689" s="80"/>
      <c r="D689" s="41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60"/>
      <c r="Q689" s="141"/>
    </row>
    <row r="690" spans="1:17" s="34" customFormat="1" x14ac:dyDescent="0.25">
      <c r="A690" s="91"/>
      <c r="B690" s="80"/>
      <c r="C690" s="80"/>
      <c r="D690" s="41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60"/>
      <c r="Q690" s="141"/>
    </row>
    <row r="691" spans="1:17" s="34" customFormat="1" x14ac:dyDescent="0.25">
      <c r="A691" s="91"/>
      <c r="B691" s="80"/>
      <c r="C691" s="80"/>
      <c r="D691" s="41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60"/>
      <c r="Q691" s="141"/>
    </row>
    <row r="692" spans="1:17" s="34" customFormat="1" x14ac:dyDescent="0.25">
      <c r="A692" s="91"/>
      <c r="B692" s="80"/>
      <c r="C692" s="80"/>
      <c r="D692" s="41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60"/>
      <c r="Q692" s="141"/>
    </row>
    <row r="693" spans="1:17" s="34" customFormat="1" x14ac:dyDescent="0.25">
      <c r="A693" s="91"/>
      <c r="B693" s="80"/>
      <c r="C693" s="80"/>
      <c r="D693" s="41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60"/>
      <c r="Q693" s="141"/>
    </row>
  </sheetData>
  <mergeCells count="28">
    <mergeCell ref="A6:P6"/>
    <mergeCell ref="A8:B8"/>
    <mergeCell ref="A7:B7"/>
    <mergeCell ref="K3:N3"/>
    <mergeCell ref="A10:A12"/>
    <mergeCell ref="C10:C12"/>
    <mergeCell ref="B10:B12"/>
    <mergeCell ref="E11:E12"/>
    <mergeCell ref="F11:F12"/>
    <mergeCell ref="E10:I10"/>
    <mergeCell ref="N202:P202"/>
    <mergeCell ref="L11:L12"/>
    <mergeCell ref="M11:N11"/>
    <mergeCell ref="O11:O12"/>
    <mergeCell ref="D10:D12"/>
    <mergeCell ref="G11:H11"/>
    <mergeCell ref="J10:O10"/>
    <mergeCell ref="I11:I12"/>
    <mergeCell ref="P10:P12"/>
    <mergeCell ref="J11:J12"/>
    <mergeCell ref="K11:K12"/>
    <mergeCell ref="Q158:Q183"/>
    <mergeCell ref="Q184:Q202"/>
    <mergeCell ref="Q1:Q34"/>
    <mergeCell ref="Q35:Q69"/>
    <mergeCell ref="Q70:Q99"/>
    <mergeCell ref="Q100:Q127"/>
    <mergeCell ref="Q128:Q157"/>
  </mergeCells>
  <phoneticPr fontId="3" type="noConversion"/>
  <printOptions horizontalCentered="1"/>
  <pageMargins left="0.15748031496062992" right="7.874015748031496E-2" top="0.70866141732283472" bottom="0.35433070866141736" header="0.47244094488188981" footer="0.19685039370078741"/>
  <pageSetup paperSize="9" scale="44" fitToHeight="100" orientation="landscape" useFirstPageNumber="1" r:id="rId1"/>
  <headerFooter differentFirst="1" scaleWithDoc="0" alignWithMargins="0">
    <oddHeader>&amp;RПродовження додатку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showGridLines="0" showZeros="0" tabSelected="1" view="pageBreakPreview" zoomScale="64" zoomScaleNormal="65" zoomScaleSheetLayoutView="64" workbookViewId="0">
      <selection activeCell="J4" sqref="J4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18.664062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17.5" style="4" customWidth="1"/>
    <col min="12" max="12" width="16.6640625" style="4" customWidth="1"/>
    <col min="13" max="13" width="16" style="4" customWidth="1"/>
    <col min="14" max="14" width="18.83203125" style="4" customWidth="1"/>
    <col min="15" max="15" width="20.5" style="4" customWidth="1"/>
    <col min="16" max="16" width="7.83203125" style="141" customWidth="1"/>
    <col min="17" max="16384" width="9.1640625" style="4"/>
  </cols>
  <sheetData>
    <row r="1" spans="1:17" ht="31.5" x14ac:dyDescent="0.25">
      <c r="J1" s="142" t="s">
        <v>454</v>
      </c>
      <c r="K1" s="142"/>
      <c r="L1" s="142"/>
      <c r="M1" s="142"/>
      <c r="N1" s="130"/>
      <c r="O1" s="108"/>
      <c r="P1" s="154">
        <v>20</v>
      </c>
    </row>
    <row r="2" spans="1:17" ht="31.5" x14ac:dyDescent="0.25">
      <c r="J2" s="142" t="s">
        <v>450</v>
      </c>
      <c r="K2" s="142"/>
      <c r="L2" s="142"/>
      <c r="M2" s="142"/>
      <c r="N2" s="97"/>
      <c r="O2" s="108"/>
      <c r="P2" s="154"/>
      <c r="Q2" s="34"/>
    </row>
    <row r="3" spans="1:17" ht="26.25" customHeight="1" x14ac:dyDescent="0.25">
      <c r="J3" s="152" t="s">
        <v>456</v>
      </c>
      <c r="K3" s="152"/>
      <c r="L3" s="152"/>
      <c r="M3" s="152"/>
      <c r="N3" s="131"/>
      <c r="O3" s="131"/>
      <c r="P3" s="154"/>
      <c r="Q3" s="123"/>
    </row>
    <row r="4" spans="1:17" ht="26.25" customHeight="1" x14ac:dyDescent="0.25">
      <c r="J4" s="131"/>
      <c r="K4" s="131"/>
      <c r="L4" s="131"/>
      <c r="M4" s="131"/>
      <c r="N4" s="131"/>
      <c r="O4" s="131"/>
      <c r="P4" s="154"/>
      <c r="Q4" s="131"/>
    </row>
    <row r="5" spans="1:17" ht="29.25" customHeight="1" x14ac:dyDescent="0.4">
      <c r="J5" s="130"/>
      <c r="K5" s="120"/>
      <c r="L5" s="120"/>
      <c r="M5" s="120"/>
      <c r="N5" s="120"/>
      <c r="O5" s="121"/>
      <c r="P5" s="154"/>
      <c r="Q5" s="34"/>
    </row>
    <row r="6" spans="1:17" ht="65.25" customHeight="1" x14ac:dyDescent="0.25">
      <c r="A6" s="155" t="s">
        <v>436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4"/>
    </row>
    <row r="7" spans="1:17" ht="31.5" customHeight="1" x14ac:dyDescent="0.25">
      <c r="A7" s="151" t="s">
        <v>424</v>
      </c>
      <c r="B7" s="15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54"/>
    </row>
    <row r="8" spans="1:17" ht="21" customHeight="1" x14ac:dyDescent="0.25">
      <c r="A8" s="150" t="s">
        <v>445</v>
      </c>
      <c r="B8" s="150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54"/>
    </row>
    <row r="9" spans="1:17" s="17" customFormat="1" ht="24" customHeight="1" x14ac:dyDescent="0.3">
      <c r="A9" s="14"/>
      <c r="B9" s="15"/>
      <c r="C9" s="16"/>
      <c r="O9" s="129" t="s">
        <v>420</v>
      </c>
      <c r="P9" s="154"/>
    </row>
    <row r="10" spans="1:17" s="82" customFormat="1" ht="21.75" customHeight="1" x14ac:dyDescent="0.25">
      <c r="A10" s="156" t="s">
        <v>398</v>
      </c>
      <c r="B10" s="156" t="s">
        <v>384</v>
      </c>
      <c r="C10" s="156" t="s">
        <v>400</v>
      </c>
      <c r="D10" s="148" t="s">
        <v>265</v>
      </c>
      <c r="E10" s="148"/>
      <c r="F10" s="148"/>
      <c r="G10" s="148"/>
      <c r="H10" s="148"/>
      <c r="I10" s="148" t="s">
        <v>266</v>
      </c>
      <c r="J10" s="148"/>
      <c r="K10" s="148"/>
      <c r="L10" s="148"/>
      <c r="M10" s="148"/>
      <c r="N10" s="148"/>
      <c r="O10" s="148" t="s">
        <v>267</v>
      </c>
      <c r="P10" s="154"/>
    </row>
    <row r="11" spans="1:17" s="82" customFormat="1" ht="29.25" customHeight="1" x14ac:dyDescent="0.25">
      <c r="A11" s="156"/>
      <c r="B11" s="156"/>
      <c r="C11" s="156"/>
      <c r="D11" s="148" t="s">
        <v>385</v>
      </c>
      <c r="E11" s="148" t="s">
        <v>268</v>
      </c>
      <c r="F11" s="148"/>
      <c r="G11" s="148"/>
      <c r="H11" s="148" t="s">
        <v>270</v>
      </c>
      <c r="I11" s="148" t="s">
        <v>385</v>
      </c>
      <c r="J11" s="148" t="s">
        <v>386</v>
      </c>
      <c r="K11" s="148" t="s">
        <v>268</v>
      </c>
      <c r="L11" s="148" t="s">
        <v>269</v>
      </c>
      <c r="M11" s="148"/>
      <c r="N11" s="148" t="s">
        <v>270</v>
      </c>
      <c r="O11" s="148"/>
      <c r="P11" s="154"/>
    </row>
    <row r="12" spans="1:17" s="82" customFormat="1" ht="75.75" customHeight="1" x14ac:dyDescent="0.25">
      <c r="A12" s="156"/>
      <c r="B12" s="156"/>
      <c r="C12" s="156"/>
      <c r="D12" s="148"/>
      <c r="E12" s="148"/>
      <c r="F12" s="79" t="s">
        <v>271</v>
      </c>
      <c r="G12" s="79" t="s">
        <v>272</v>
      </c>
      <c r="H12" s="148"/>
      <c r="I12" s="148"/>
      <c r="J12" s="148"/>
      <c r="K12" s="148"/>
      <c r="L12" s="79" t="s">
        <v>271</v>
      </c>
      <c r="M12" s="79" t="s">
        <v>272</v>
      </c>
      <c r="N12" s="148"/>
      <c r="O12" s="148"/>
      <c r="P12" s="154"/>
    </row>
    <row r="13" spans="1:17" s="82" customFormat="1" ht="27.75" customHeight="1" x14ac:dyDescent="0.25">
      <c r="A13" s="7" t="s">
        <v>57</v>
      </c>
      <c r="B13" s="8"/>
      <c r="C13" s="9" t="s">
        <v>58</v>
      </c>
      <c r="D13" s="61">
        <f t="shared" ref="D13:O13" si="0">D14+D15</f>
        <v>237679000</v>
      </c>
      <c r="E13" s="61">
        <f t="shared" si="0"/>
        <v>237679000</v>
      </c>
      <c r="F13" s="61">
        <f t="shared" si="0"/>
        <v>179821400</v>
      </c>
      <c r="G13" s="61">
        <f t="shared" si="0"/>
        <v>4717900</v>
      </c>
      <c r="H13" s="61">
        <f t="shared" si="0"/>
        <v>0</v>
      </c>
      <c r="I13" s="61">
        <f t="shared" si="0"/>
        <v>4615200</v>
      </c>
      <c r="J13" s="61">
        <f t="shared" si="0"/>
        <v>1415200</v>
      </c>
      <c r="K13" s="61">
        <f t="shared" si="0"/>
        <v>3200000</v>
      </c>
      <c r="L13" s="61">
        <f t="shared" si="0"/>
        <v>2348000</v>
      </c>
      <c r="M13" s="61">
        <f t="shared" si="0"/>
        <v>90600</v>
      </c>
      <c r="N13" s="61">
        <f t="shared" si="0"/>
        <v>1415200</v>
      </c>
      <c r="O13" s="61">
        <f t="shared" si="0"/>
        <v>242294200</v>
      </c>
      <c r="P13" s="154"/>
    </row>
    <row r="14" spans="1:17" ht="57.75" customHeight="1" x14ac:dyDescent="0.25">
      <c r="A14" s="46" t="s">
        <v>140</v>
      </c>
      <c r="B14" s="46" t="s">
        <v>60</v>
      </c>
      <c r="C14" s="6" t="s">
        <v>141</v>
      </c>
      <c r="D14" s="62">
        <f>'дод 3 '!E15+'дод 3 '!E48+'дод 3 '!E74+'дод 3 '!E91+'дод 3 '!E113+'дод 3 '!E118+'дод 3 '!E129+'дод 3 '!E152+'дод 3 '!E155+'дод 3 '!E169+'дод 3 '!E174+'дод 3 '!E177+'дод 3 '!E185</f>
        <v>237369000</v>
      </c>
      <c r="E14" s="62">
        <f>'дод 3 '!F15+'дод 3 '!F48+'дод 3 '!F74+'дод 3 '!F91+'дод 3 '!F113+'дод 3 '!F118+'дод 3 '!F129+'дод 3 '!F152+'дод 3 '!F155+'дод 3 '!F169+'дод 3 '!F174+'дод 3 '!F177+'дод 3 '!F185</f>
        <v>237369000</v>
      </c>
      <c r="F14" s="62">
        <f>'дод 3 '!G15+'дод 3 '!G48+'дод 3 '!G74+'дод 3 '!G91+'дод 3 '!G113+'дод 3 '!G118+'дод 3 '!G129+'дод 3 '!G152+'дод 3 '!G155+'дод 3 '!G169+'дод 3 '!G174+'дод 3 '!G177+'дод 3 '!G185</f>
        <v>179821400</v>
      </c>
      <c r="G14" s="62">
        <f>'дод 3 '!H15+'дод 3 '!H48+'дод 3 '!H74+'дод 3 '!H91+'дод 3 '!H113+'дод 3 '!H118+'дод 3 '!H129+'дод 3 '!H152+'дод 3 '!H155+'дод 3 '!H169+'дод 3 '!H174+'дод 3 '!H177+'дод 3 '!H185</f>
        <v>4717900</v>
      </c>
      <c r="H14" s="62">
        <f>'дод 3 '!I15+'дод 3 '!I48+'дод 3 '!I74+'дод 3 '!I91+'дод 3 '!I113+'дод 3 '!I118+'дод 3 '!I129+'дод 3 '!I152+'дод 3 '!I155+'дод 3 '!I169+'дод 3 '!I174+'дод 3 '!I177+'дод 3 '!I185</f>
        <v>0</v>
      </c>
      <c r="I14" s="62">
        <f>'дод 3 '!J15+'дод 3 '!J48+'дод 3 '!J74+'дод 3 '!J91+'дод 3 '!J113+'дод 3 '!J118+'дод 3 '!J129+'дод 3 '!J152+'дод 3 '!J155+'дод 3 '!J169+'дод 3 '!J174+'дод 3 '!J177+'дод 3 '!J185</f>
        <v>4615200</v>
      </c>
      <c r="J14" s="62">
        <f>'дод 3 '!K15+'дод 3 '!K48+'дод 3 '!K74+'дод 3 '!K91+'дод 3 '!K113+'дод 3 '!K118+'дод 3 '!K129+'дод 3 '!K152+'дод 3 '!K155+'дод 3 '!K169+'дод 3 '!K174+'дод 3 '!K177+'дод 3 '!K185</f>
        <v>1415200</v>
      </c>
      <c r="K14" s="62">
        <f>'дод 3 '!L15+'дод 3 '!L48+'дод 3 '!L74+'дод 3 '!L91+'дод 3 '!L113+'дод 3 '!L118+'дод 3 '!L129+'дод 3 '!L152+'дод 3 '!L155+'дод 3 '!L169+'дод 3 '!L174+'дод 3 '!L177+'дод 3 '!L185</f>
        <v>3200000</v>
      </c>
      <c r="L14" s="62">
        <f>'дод 3 '!M15+'дод 3 '!M48+'дод 3 '!M74+'дод 3 '!M91+'дод 3 '!M113+'дод 3 '!M118+'дод 3 '!M129+'дод 3 '!M152+'дод 3 '!M155+'дод 3 '!M169+'дод 3 '!M174+'дод 3 '!M177+'дод 3 '!M185</f>
        <v>2348000</v>
      </c>
      <c r="M14" s="62">
        <f>'дод 3 '!N15+'дод 3 '!N48+'дод 3 '!N74+'дод 3 '!N91+'дод 3 '!N113+'дод 3 '!N118+'дод 3 '!N129+'дод 3 '!N152+'дод 3 '!N155+'дод 3 '!N169+'дод 3 '!N174+'дод 3 '!N177+'дод 3 '!N185</f>
        <v>90600</v>
      </c>
      <c r="N14" s="62">
        <f>'дод 3 '!O15+'дод 3 '!O48+'дод 3 '!O74+'дод 3 '!O91+'дод 3 '!O113+'дод 3 '!O118+'дод 3 '!O129+'дод 3 '!O152+'дод 3 '!O155+'дод 3 '!O169+'дод 3 '!O174+'дод 3 '!O177+'дод 3 '!O185</f>
        <v>1415200</v>
      </c>
      <c r="O14" s="62">
        <f>'дод 3 '!P15+'дод 3 '!P48+'дод 3 '!P74+'дод 3 '!P91+'дод 3 '!P113+'дод 3 '!P118+'дод 3 '!P129+'дод 3 '!P152+'дод 3 '!P155+'дод 3 '!P169+'дод 3 '!P174+'дод 3 '!P177+'дод 3 '!P185</f>
        <v>241984200</v>
      </c>
      <c r="P14" s="154"/>
    </row>
    <row r="15" spans="1:17" ht="27" customHeight="1" x14ac:dyDescent="0.25">
      <c r="A15" s="46" t="s">
        <v>59</v>
      </c>
      <c r="B15" s="46" t="s">
        <v>113</v>
      </c>
      <c r="C15" s="6" t="s">
        <v>284</v>
      </c>
      <c r="D15" s="62">
        <f>'дод 3 '!E16</f>
        <v>310000</v>
      </c>
      <c r="E15" s="62">
        <f>'дод 3 '!F16</f>
        <v>310000</v>
      </c>
      <c r="F15" s="62">
        <f>'дод 3 '!G16</f>
        <v>0</v>
      </c>
      <c r="G15" s="62">
        <f>'дод 3 '!H16</f>
        <v>0</v>
      </c>
      <c r="H15" s="62">
        <f>'дод 3 '!I16</f>
        <v>0</v>
      </c>
      <c r="I15" s="62">
        <f>'дод 3 '!J16</f>
        <v>0</v>
      </c>
      <c r="J15" s="62">
        <f>'дод 3 '!K16</f>
        <v>0</v>
      </c>
      <c r="K15" s="62">
        <f>'дод 3 '!L16</f>
        <v>0</v>
      </c>
      <c r="L15" s="62">
        <f>'дод 3 '!M16</f>
        <v>0</v>
      </c>
      <c r="M15" s="62">
        <f>'дод 3 '!N16</f>
        <v>0</v>
      </c>
      <c r="N15" s="62">
        <f>'дод 3 '!O16</f>
        <v>0</v>
      </c>
      <c r="O15" s="62">
        <f>'дод 3 '!P16</f>
        <v>310000</v>
      </c>
      <c r="P15" s="154"/>
    </row>
    <row r="16" spans="1:17" s="82" customFormat="1" ht="24" customHeight="1" x14ac:dyDescent="0.25">
      <c r="A16" s="47" t="s">
        <v>61</v>
      </c>
      <c r="B16" s="48"/>
      <c r="C16" s="9" t="s">
        <v>62</v>
      </c>
      <c r="D16" s="61">
        <f>D18+D20+D22+D24+D25+D26+D28+D29+D30+D31</f>
        <v>994925165</v>
      </c>
      <c r="E16" s="61">
        <f t="shared" ref="E16:O16" si="1">E18+E20+E22+E24+E25+E26+E28+E29+E30+E31</f>
        <v>994925165</v>
      </c>
      <c r="F16" s="61">
        <f t="shared" si="1"/>
        <v>674446857</v>
      </c>
      <c r="G16" s="61">
        <f t="shared" si="1"/>
        <v>84066007</v>
      </c>
      <c r="H16" s="61">
        <f t="shared" si="1"/>
        <v>0</v>
      </c>
      <c r="I16" s="61">
        <f t="shared" si="1"/>
        <v>84753579.640000001</v>
      </c>
      <c r="J16" s="61">
        <f t="shared" si="1"/>
        <v>28657431.640000001</v>
      </c>
      <c r="K16" s="61">
        <f t="shared" si="1"/>
        <v>55986428</v>
      </c>
      <c r="L16" s="61">
        <f t="shared" si="1"/>
        <v>6476192</v>
      </c>
      <c r="M16" s="61">
        <f t="shared" si="1"/>
        <v>3124191</v>
      </c>
      <c r="N16" s="61">
        <f t="shared" si="1"/>
        <v>28767151.640000001</v>
      </c>
      <c r="O16" s="61">
        <f t="shared" si="1"/>
        <v>1079678744.6399999</v>
      </c>
      <c r="P16" s="154"/>
    </row>
    <row r="17" spans="1:16" s="83" customFormat="1" ht="24" customHeight="1" x14ac:dyDescent="0.25">
      <c r="A17" s="47"/>
      <c r="B17" s="48"/>
      <c r="C17" s="2" t="s">
        <v>308</v>
      </c>
      <c r="D17" s="61">
        <f>+D21+D23+D27+D19+D32</f>
        <v>376064654</v>
      </c>
      <c r="E17" s="61">
        <f t="shared" ref="E17:O17" si="2">+E21+E23+E27+E19+E32</f>
        <v>376064654</v>
      </c>
      <c r="F17" s="61">
        <f t="shared" si="2"/>
        <v>307031030</v>
      </c>
      <c r="G17" s="61">
        <f t="shared" si="2"/>
        <v>0</v>
      </c>
      <c r="H17" s="61">
        <f t="shared" si="2"/>
        <v>0</v>
      </c>
      <c r="I17" s="61">
        <f t="shared" si="2"/>
        <v>828008</v>
      </c>
      <c r="J17" s="61">
        <f t="shared" si="2"/>
        <v>828008</v>
      </c>
      <c r="K17" s="61">
        <f t="shared" si="2"/>
        <v>0</v>
      </c>
      <c r="L17" s="61">
        <f t="shared" si="2"/>
        <v>0</v>
      </c>
      <c r="M17" s="61">
        <f t="shared" si="2"/>
        <v>0</v>
      </c>
      <c r="N17" s="61">
        <f t="shared" si="2"/>
        <v>828008</v>
      </c>
      <c r="O17" s="61">
        <f t="shared" si="2"/>
        <v>376892662</v>
      </c>
      <c r="P17" s="154"/>
    </row>
    <row r="18" spans="1:16" ht="27" customHeight="1" x14ac:dyDescent="0.25">
      <c r="A18" s="46" t="s">
        <v>63</v>
      </c>
      <c r="B18" s="46" t="s">
        <v>64</v>
      </c>
      <c r="C18" s="6" t="s">
        <v>171</v>
      </c>
      <c r="D18" s="62">
        <f>'дод 3 '!E49</f>
        <v>245838383</v>
      </c>
      <c r="E18" s="62">
        <f>'дод 3 '!F49</f>
        <v>245838383</v>
      </c>
      <c r="F18" s="62">
        <f>'дод 3 '!G49</f>
        <v>159494540</v>
      </c>
      <c r="G18" s="62">
        <f>'дод 3 '!H49</f>
        <v>26923940</v>
      </c>
      <c r="H18" s="62">
        <f>'дод 3 '!I49</f>
        <v>0</v>
      </c>
      <c r="I18" s="62">
        <f>'дод 3 '!J49</f>
        <v>22576835</v>
      </c>
      <c r="J18" s="62">
        <f>'дод 3 '!K49</f>
        <v>6251179</v>
      </c>
      <c r="K18" s="62">
        <f>'дод 3 '!L49</f>
        <v>16325656</v>
      </c>
      <c r="L18" s="62">
        <f>'дод 3 '!M49</f>
        <v>0</v>
      </c>
      <c r="M18" s="62">
        <f>'дод 3 '!N49</f>
        <v>0</v>
      </c>
      <c r="N18" s="62">
        <f>'дод 3 '!O49</f>
        <v>6251179</v>
      </c>
      <c r="O18" s="62">
        <f>'дод 3 '!P49</f>
        <v>268415218</v>
      </c>
      <c r="P18" s="154"/>
    </row>
    <row r="19" spans="1:16" ht="27" customHeight="1" x14ac:dyDescent="0.25">
      <c r="A19" s="46"/>
      <c r="B19" s="46"/>
      <c r="C19" s="3" t="s">
        <v>308</v>
      </c>
      <c r="D19" s="62">
        <f>'дод 3 '!E50</f>
        <v>176336</v>
      </c>
      <c r="E19" s="62">
        <f>'дод 3 '!F50</f>
        <v>176336</v>
      </c>
      <c r="F19" s="62">
        <f>'дод 3 '!G50</f>
        <v>144540</v>
      </c>
      <c r="G19" s="62">
        <f>'дод 3 '!H50</f>
        <v>0</v>
      </c>
      <c r="H19" s="62">
        <f>'дод 3 '!I50</f>
        <v>0</v>
      </c>
      <c r="I19" s="62">
        <f>'дод 3 '!J50</f>
        <v>88136</v>
      </c>
      <c r="J19" s="62">
        <f>'дод 3 '!K50</f>
        <v>88136</v>
      </c>
      <c r="K19" s="62">
        <f>'дод 3 '!L50</f>
        <v>0</v>
      </c>
      <c r="L19" s="62">
        <f>'дод 3 '!M50</f>
        <v>0</v>
      </c>
      <c r="M19" s="62">
        <f>'дод 3 '!N50</f>
        <v>0</v>
      </c>
      <c r="N19" s="62">
        <f>'дод 3 '!O50</f>
        <v>88136</v>
      </c>
      <c r="O19" s="62">
        <f>'дод 3 '!P50</f>
        <v>264472</v>
      </c>
      <c r="P19" s="154"/>
    </row>
    <row r="20" spans="1:16" ht="55.5" customHeight="1" x14ac:dyDescent="0.25">
      <c r="A20" s="46" t="s">
        <v>65</v>
      </c>
      <c r="B20" s="46" t="s">
        <v>66</v>
      </c>
      <c r="C20" s="6" t="s">
        <v>429</v>
      </c>
      <c r="D20" s="62">
        <f>'дод 3 '!E51</f>
        <v>542550722</v>
      </c>
      <c r="E20" s="62">
        <f>'дод 3 '!F51</f>
        <v>542550722</v>
      </c>
      <c r="F20" s="62">
        <f>'дод 3 '!G51</f>
        <v>377885447</v>
      </c>
      <c r="G20" s="62">
        <f>'дод 3 '!H51</f>
        <v>40458440</v>
      </c>
      <c r="H20" s="62">
        <f>'дод 3 '!I51</f>
        <v>0</v>
      </c>
      <c r="I20" s="62">
        <f>'дод 3 '!J51</f>
        <v>50003999.640000001</v>
      </c>
      <c r="J20" s="62">
        <f>'дод 3 '!K51</f>
        <v>21092252.640000001</v>
      </c>
      <c r="K20" s="62">
        <f>'дод 3 '!L51</f>
        <v>28911747</v>
      </c>
      <c r="L20" s="62">
        <f>'дод 3 '!M51</f>
        <v>1713303</v>
      </c>
      <c r="M20" s="62">
        <f>'дод 3 '!N51</f>
        <v>147329</v>
      </c>
      <c r="N20" s="62">
        <f>'дод 3 '!O51</f>
        <v>21092252.640000001</v>
      </c>
      <c r="O20" s="62">
        <f>'дод 3 '!P51</f>
        <v>592554721.63999999</v>
      </c>
      <c r="P20" s="154"/>
    </row>
    <row r="21" spans="1:16" ht="28.5" customHeight="1" x14ac:dyDescent="0.25">
      <c r="A21" s="46"/>
      <c r="B21" s="46"/>
      <c r="C21" s="3" t="s">
        <v>308</v>
      </c>
      <c r="D21" s="62">
        <f>'дод 3 '!E52</f>
        <v>350612648</v>
      </c>
      <c r="E21" s="62">
        <f>'дод 3 '!F52</f>
        <v>350612648</v>
      </c>
      <c r="F21" s="62">
        <f>'дод 3 '!G52</f>
        <v>286160420</v>
      </c>
      <c r="G21" s="62">
        <f>'дод 3 '!H52</f>
        <v>0</v>
      </c>
      <c r="H21" s="62">
        <f>'дод 3 '!I52</f>
        <v>0</v>
      </c>
      <c r="I21" s="62">
        <f>'дод 3 '!J52</f>
        <v>739872</v>
      </c>
      <c r="J21" s="62">
        <f>'дод 3 '!K52</f>
        <v>739872</v>
      </c>
      <c r="K21" s="62">
        <f>'дод 3 '!L52</f>
        <v>0</v>
      </c>
      <c r="L21" s="62">
        <f>'дод 3 '!M52</f>
        <v>0</v>
      </c>
      <c r="M21" s="62">
        <f>'дод 3 '!N52</f>
        <v>0</v>
      </c>
      <c r="N21" s="62">
        <f>'дод 3 '!O52</f>
        <v>739872</v>
      </c>
      <c r="O21" s="62">
        <f>'дод 3 '!P52</f>
        <v>351352520</v>
      </c>
      <c r="P21" s="154"/>
    </row>
    <row r="22" spans="1:16" ht="75" customHeight="1" x14ac:dyDescent="0.25">
      <c r="A22" s="46">
        <v>1030</v>
      </c>
      <c r="B22" s="46" t="s">
        <v>70</v>
      </c>
      <c r="C22" s="6" t="s">
        <v>430</v>
      </c>
      <c r="D22" s="62">
        <f>'дод 3 '!E53</f>
        <v>9312880</v>
      </c>
      <c r="E22" s="62">
        <f>'дод 3 '!F53</f>
        <v>9312880</v>
      </c>
      <c r="F22" s="62">
        <f>'дод 3 '!G53</f>
        <v>6532300</v>
      </c>
      <c r="G22" s="62">
        <f>'дод 3 '!H53</f>
        <v>709270</v>
      </c>
      <c r="H22" s="62">
        <f>'дод 3 '!I53</f>
        <v>0</v>
      </c>
      <c r="I22" s="62">
        <f>'дод 3 '!J53</f>
        <v>172000</v>
      </c>
      <c r="J22" s="62">
        <f>'дод 3 '!K53</f>
        <v>172000</v>
      </c>
      <c r="K22" s="62">
        <f>'дод 3 '!L53</f>
        <v>0</v>
      </c>
      <c r="L22" s="62">
        <f>'дод 3 '!M53</f>
        <v>0</v>
      </c>
      <c r="M22" s="62">
        <f>'дод 3 '!N53</f>
        <v>0</v>
      </c>
      <c r="N22" s="62">
        <f>'дод 3 '!O53</f>
        <v>172000</v>
      </c>
      <c r="O22" s="62">
        <f>'дод 3 '!P53</f>
        <v>9484880</v>
      </c>
      <c r="P22" s="154"/>
    </row>
    <row r="23" spans="1:16" ht="21.75" customHeight="1" x14ac:dyDescent="0.25">
      <c r="A23" s="46"/>
      <c r="B23" s="46"/>
      <c r="C23" s="3" t="s">
        <v>308</v>
      </c>
      <c r="D23" s="62">
        <f>'дод 3 '!E54</f>
        <v>6214300</v>
      </c>
      <c r="E23" s="62">
        <f>'дод 3 '!F54</f>
        <v>6214300</v>
      </c>
      <c r="F23" s="62">
        <f>'дод 3 '!G54</f>
        <v>5102000</v>
      </c>
      <c r="G23" s="62">
        <f>'дод 3 '!H54</f>
        <v>0</v>
      </c>
      <c r="H23" s="62">
        <f>'дод 3 '!I54</f>
        <v>0</v>
      </c>
      <c r="I23" s="62">
        <f>'дод 3 '!J54</f>
        <v>0</v>
      </c>
      <c r="J23" s="62">
        <f>'дод 3 '!K54</f>
        <v>0</v>
      </c>
      <c r="K23" s="62">
        <f>'дод 3 '!L54</f>
        <v>0</v>
      </c>
      <c r="L23" s="62">
        <f>'дод 3 '!M54</f>
        <v>0</v>
      </c>
      <c r="M23" s="62">
        <f>'дод 3 '!N54</f>
        <v>0</v>
      </c>
      <c r="N23" s="62">
        <f>'дод 3 '!O54</f>
        <v>0</v>
      </c>
      <c r="O23" s="62">
        <f>'дод 3 '!P54</f>
        <v>6214300</v>
      </c>
      <c r="P23" s="154"/>
    </row>
    <row r="24" spans="1:16" ht="40.5" customHeight="1" x14ac:dyDescent="0.25">
      <c r="A24" s="46" t="s">
        <v>71</v>
      </c>
      <c r="B24" s="46" t="s">
        <v>72</v>
      </c>
      <c r="C24" s="6" t="s">
        <v>432</v>
      </c>
      <c r="D24" s="62">
        <f>'дод 3 '!E55</f>
        <v>28023440</v>
      </c>
      <c r="E24" s="62">
        <f>'дод 3 '!F55</f>
        <v>28023440</v>
      </c>
      <c r="F24" s="62">
        <f>'дод 3 '!G55</f>
        <v>19715700</v>
      </c>
      <c r="G24" s="62">
        <f>'дод 3 '!H55</f>
        <v>3358190</v>
      </c>
      <c r="H24" s="62">
        <f>'дод 3 '!I55</f>
        <v>0</v>
      </c>
      <c r="I24" s="62">
        <f>'дод 3 '!J55</f>
        <v>300000</v>
      </c>
      <c r="J24" s="62">
        <f>'дод 3 '!K55</f>
        <v>300000</v>
      </c>
      <c r="K24" s="62">
        <f>'дод 3 '!L55</f>
        <v>0</v>
      </c>
      <c r="L24" s="62">
        <f>'дод 3 '!M55</f>
        <v>0</v>
      </c>
      <c r="M24" s="62">
        <f>'дод 3 '!N55</f>
        <v>0</v>
      </c>
      <c r="N24" s="62">
        <f>'дод 3 '!O55</f>
        <v>300000</v>
      </c>
      <c r="O24" s="62">
        <f>'дод 3 '!P55</f>
        <v>28323440</v>
      </c>
      <c r="P24" s="154"/>
    </row>
    <row r="25" spans="1:16" ht="30.75" customHeight="1" x14ac:dyDescent="0.25">
      <c r="A25" s="46" t="s">
        <v>73</v>
      </c>
      <c r="B25" s="46" t="s">
        <v>72</v>
      </c>
      <c r="C25" s="6" t="s">
        <v>433</v>
      </c>
      <c r="D25" s="62">
        <f>'дод 3 '!E119</f>
        <v>39038600</v>
      </c>
      <c r="E25" s="62">
        <f>'дод 3 '!F119</f>
        <v>39038600</v>
      </c>
      <c r="F25" s="62">
        <f>'дод 3 '!G119</f>
        <v>30830000</v>
      </c>
      <c r="G25" s="62">
        <f>'дод 3 '!H119</f>
        <v>793600</v>
      </c>
      <c r="H25" s="62">
        <f>'дод 3 '!I119</f>
        <v>0</v>
      </c>
      <c r="I25" s="62">
        <f>'дод 3 '!J119</f>
        <v>3321640</v>
      </c>
      <c r="J25" s="62">
        <f>'дод 3 '!K119</f>
        <v>542000</v>
      </c>
      <c r="K25" s="62">
        <f>'дод 3 '!L119</f>
        <v>2774920</v>
      </c>
      <c r="L25" s="62">
        <f>'дод 3 '!M119</f>
        <v>2267316</v>
      </c>
      <c r="M25" s="62">
        <f>'дод 3 '!N119</f>
        <v>0</v>
      </c>
      <c r="N25" s="62">
        <f>'дод 3 '!O119</f>
        <v>546720</v>
      </c>
      <c r="O25" s="62">
        <f>'дод 3 '!P119</f>
        <v>42360240</v>
      </c>
      <c r="P25" s="154"/>
    </row>
    <row r="26" spans="1:16" ht="39.75" customHeight="1" x14ac:dyDescent="0.25">
      <c r="A26" s="46" t="s">
        <v>261</v>
      </c>
      <c r="B26" s="46" t="s">
        <v>74</v>
      </c>
      <c r="C26" s="6" t="s">
        <v>434</v>
      </c>
      <c r="D26" s="62">
        <f>'дод 3 '!E56</f>
        <v>116186900</v>
      </c>
      <c r="E26" s="62">
        <f>'дод 3 '!F56</f>
        <v>116186900</v>
      </c>
      <c r="F26" s="62">
        <f>'дод 3 '!G56</f>
        <v>69744500</v>
      </c>
      <c r="G26" s="62">
        <f>'дод 3 '!H56</f>
        <v>11007217</v>
      </c>
      <c r="H26" s="62">
        <f>'дод 3 '!I56</f>
        <v>0</v>
      </c>
      <c r="I26" s="62">
        <f>'дод 3 '!J56</f>
        <v>8079105</v>
      </c>
      <c r="J26" s="62">
        <f>'дод 3 '!K56</f>
        <v>0</v>
      </c>
      <c r="K26" s="62">
        <f>'дод 3 '!L56</f>
        <v>7974105</v>
      </c>
      <c r="L26" s="62">
        <f>'дод 3 '!M56</f>
        <v>2495573</v>
      </c>
      <c r="M26" s="62">
        <f>'дод 3 '!N56</f>
        <v>2976862</v>
      </c>
      <c r="N26" s="62">
        <f>'дод 3 '!O56</f>
        <v>105000</v>
      </c>
      <c r="O26" s="62">
        <f>'дод 3 '!P56</f>
        <v>124266005</v>
      </c>
      <c r="P26" s="154"/>
    </row>
    <row r="27" spans="1:16" ht="21" customHeight="1" x14ac:dyDescent="0.25">
      <c r="A27" s="46"/>
      <c r="B27" s="46"/>
      <c r="C27" s="3" t="s">
        <v>308</v>
      </c>
      <c r="D27" s="62">
        <f>'дод 3 '!E57</f>
        <v>17825000</v>
      </c>
      <c r="E27" s="62">
        <f>'дод 3 '!F57</f>
        <v>17825000</v>
      </c>
      <c r="F27" s="62">
        <f>'дод 3 '!G57</f>
        <v>14610650</v>
      </c>
      <c r="G27" s="62">
        <f>'дод 3 '!H57</f>
        <v>0</v>
      </c>
      <c r="H27" s="62">
        <f>'дод 3 '!I57</f>
        <v>0</v>
      </c>
      <c r="I27" s="62">
        <f>'дод 3 '!J57</f>
        <v>0</v>
      </c>
      <c r="J27" s="62">
        <f>'дод 3 '!K57</f>
        <v>0</v>
      </c>
      <c r="K27" s="62">
        <f>'дод 3 '!L57</f>
        <v>0</v>
      </c>
      <c r="L27" s="62">
        <f>'дод 3 '!M57</f>
        <v>0</v>
      </c>
      <c r="M27" s="62">
        <f>'дод 3 '!N57</f>
        <v>0</v>
      </c>
      <c r="N27" s="62">
        <f>'дод 3 '!O57</f>
        <v>0</v>
      </c>
      <c r="O27" s="62">
        <f>'дод 3 '!P57</f>
        <v>17825000</v>
      </c>
      <c r="P27" s="154"/>
    </row>
    <row r="28" spans="1:16" ht="33" customHeight="1" x14ac:dyDescent="0.25">
      <c r="A28" s="46" t="s">
        <v>142</v>
      </c>
      <c r="B28" s="46" t="s">
        <v>75</v>
      </c>
      <c r="C28" s="6" t="s">
        <v>435</v>
      </c>
      <c r="D28" s="62">
        <f>'дод 3 '!E58</f>
        <v>2893730</v>
      </c>
      <c r="E28" s="62">
        <f>'дод 3 '!F58</f>
        <v>2893730</v>
      </c>
      <c r="F28" s="62">
        <f>'дод 3 '!G58</f>
        <v>2237500</v>
      </c>
      <c r="G28" s="62">
        <f>'дод 3 '!H58</f>
        <v>120380</v>
      </c>
      <c r="H28" s="62">
        <f>'дод 3 '!I58</f>
        <v>0</v>
      </c>
      <c r="I28" s="62">
        <f>'дод 3 '!J58</f>
        <v>0</v>
      </c>
      <c r="J28" s="62">
        <f>'дод 3 '!K58</f>
        <v>0</v>
      </c>
      <c r="K28" s="62">
        <f>'дод 3 '!L58</f>
        <v>0</v>
      </c>
      <c r="L28" s="62">
        <f>'дод 3 '!M58</f>
        <v>0</v>
      </c>
      <c r="M28" s="62">
        <f>'дод 3 '!N58</f>
        <v>0</v>
      </c>
      <c r="N28" s="62">
        <f>'дод 3 '!O58</f>
        <v>0</v>
      </c>
      <c r="O28" s="62">
        <f>'дод 3 '!P58</f>
        <v>2893730</v>
      </c>
      <c r="P28" s="154"/>
    </row>
    <row r="29" spans="1:16" ht="36" customHeight="1" x14ac:dyDescent="0.25">
      <c r="A29" s="46" t="s">
        <v>327</v>
      </c>
      <c r="B29" s="46" t="s">
        <v>75</v>
      </c>
      <c r="C29" s="6" t="s">
        <v>329</v>
      </c>
      <c r="D29" s="62">
        <f>'дод 3 '!E59</f>
        <v>9345170</v>
      </c>
      <c r="E29" s="62">
        <f>'дод 3 '!F59</f>
        <v>9345170</v>
      </c>
      <c r="F29" s="62">
        <f>'дод 3 '!G59</f>
        <v>6782550</v>
      </c>
      <c r="G29" s="62">
        <f>'дод 3 '!H59</f>
        <v>613500</v>
      </c>
      <c r="H29" s="62">
        <f>'дод 3 '!I59</f>
        <v>0</v>
      </c>
      <c r="I29" s="62">
        <f>'дод 3 '!J59</f>
        <v>300000</v>
      </c>
      <c r="J29" s="62">
        <f>'дод 3 '!K59</f>
        <v>300000</v>
      </c>
      <c r="K29" s="62">
        <f>'дод 3 '!L59</f>
        <v>0</v>
      </c>
      <c r="L29" s="62">
        <f>'дод 3 '!M59</f>
        <v>0</v>
      </c>
      <c r="M29" s="62">
        <f>'дод 3 '!N59</f>
        <v>0</v>
      </c>
      <c r="N29" s="62">
        <f>'дод 3 '!O59</f>
        <v>300000</v>
      </c>
      <c r="O29" s="62">
        <f>'дод 3 '!P59</f>
        <v>9645170</v>
      </c>
      <c r="P29" s="154"/>
    </row>
    <row r="30" spans="1:16" ht="25.5" customHeight="1" x14ac:dyDescent="0.25">
      <c r="A30" s="46" t="s">
        <v>328</v>
      </c>
      <c r="B30" s="46" t="s">
        <v>75</v>
      </c>
      <c r="C30" s="6" t="s">
        <v>330</v>
      </c>
      <c r="D30" s="62">
        <f>'дод 3 '!E60</f>
        <v>107400</v>
      </c>
      <c r="E30" s="62">
        <f>'дод 3 '!F60</f>
        <v>107400</v>
      </c>
      <c r="F30" s="62">
        <f>'дод 3 '!G60</f>
        <v>0</v>
      </c>
      <c r="G30" s="62">
        <f>'дод 3 '!H60</f>
        <v>0</v>
      </c>
      <c r="H30" s="62">
        <f>'дод 3 '!I60</f>
        <v>0</v>
      </c>
      <c r="I30" s="62">
        <f>'дод 3 '!J60</f>
        <v>0</v>
      </c>
      <c r="J30" s="62">
        <f>'дод 3 '!K60</f>
        <v>0</v>
      </c>
      <c r="K30" s="62">
        <f>'дод 3 '!L60</f>
        <v>0</v>
      </c>
      <c r="L30" s="62">
        <f>'дод 3 '!M60</f>
        <v>0</v>
      </c>
      <c r="M30" s="62">
        <f>'дод 3 '!N60</f>
        <v>0</v>
      </c>
      <c r="N30" s="62">
        <f>'дод 3 '!O60</f>
        <v>0</v>
      </c>
      <c r="O30" s="62">
        <f>'дод 3 '!P60</f>
        <v>107400</v>
      </c>
      <c r="P30" s="154"/>
    </row>
    <row r="31" spans="1:16" ht="25.5" customHeight="1" x14ac:dyDescent="0.25">
      <c r="A31" s="46" t="s">
        <v>391</v>
      </c>
      <c r="B31" s="46" t="s">
        <v>75</v>
      </c>
      <c r="C31" s="42" t="s">
        <v>390</v>
      </c>
      <c r="D31" s="62">
        <f>SUM('дод 3 '!E61)</f>
        <v>1627940</v>
      </c>
      <c r="E31" s="62">
        <f>SUM('дод 3 '!F61)</f>
        <v>1627940</v>
      </c>
      <c r="F31" s="62">
        <f>SUM('дод 3 '!G61)</f>
        <v>1224320</v>
      </c>
      <c r="G31" s="62">
        <f>SUM('дод 3 '!H61)</f>
        <v>81470</v>
      </c>
      <c r="H31" s="62">
        <f>SUM('дод 3 '!I61)</f>
        <v>0</v>
      </c>
      <c r="I31" s="62">
        <f>SUM('дод 3 '!J61)</f>
        <v>0</v>
      </c>
      <c r="J31" s="62">
        <f>SUM('дод 3 '!K61)</f>
        <v>0</v>
      </c>
      <c r="K31" s="62">
        <f>SUM('дод 3 '!L61)</f>
        <v>0</v>
      </c>
      <c r="L31" s="62">
        <f>SUM('дод 3 '!M61)</f>
        <v>0</v>
      </c>
      <c r="M31" s="62">
        <f>SUM('дод 3 '!N61)</f>
        <v>0</v>
      </c>
      <c r="N31" s="62">
        <f>SUM('дод 3 '!O61)</f>
        <v>0</v>
      </c>
      <c r="O31" s="62">
        <f>SUM('дод 3 '!P61)</f>
        <v>1627940</v>
      </c>
      <c r="P31" s="154"/>
    </row>
    <row r="32" spans="1:16" ht="15.75" customHeight="1" x14ac:dyDescent="0.25">
      <c r="A32" s="46"/>
      <c r="B32" s="46"/>
      <c r="C32" s="3" t="s">
        <v>308</v>
      </c>
      <c r="D32" s="62">
        <f>'дод 3 '!E62</f>
        <v>1236370</v>
      </c>
      <c r="E32" s="62">
        <f>'дод 3 '!F62</f>
        <v>1236370</v>
      </c>
      <c r="F32" s="62">
        <f>'дод 3 '!G62</f>
        <v>1013420</v>
      </c>
      <c r="G32" s="62">
        <f>'дод 3 '!H62</f>
        <v>0</v>
      </c>
      <c r="H32" s="62">
        <f>'дод 3 '!I62</f>
        <v>0</v>
      </c>
      <c r="I32" s="62">
        <f>'дод 3 '!J62</f>
        <v>0</v>
      </c>
      <c r="J32" s="62">
        <f>'дод 3 '!K62</f>
        <v>0</v>
      </c>
      <c r="K32" s="62">
        <f>'дод 3 '!L62</f>
        <v>0</v>
      </c>
      <c r="L32" s="62">
        <f>'дод 3 '!M62</f>
        <v>0</v>
      </c>
      <c r="M32" s="62">
        <f>'дод 3 '!N62</f>
        <v>0</v>
      </c>
      <c r="N32" s="62">
        <f>'дод 3 '!O62</f>
        <v>0</v>
      </c>
      <c r="O32" s="62">
        <f>'дод 3 '!P62</f>
        <v>1236370</v>
      </c>
      <c r="P32" s="154"/>
    </row>
    <row r="33" spans="1:16" s="82" customFormat="1" ht="19.5" customHeight="1" x14ac:dyDescent="0.25">
      <c r="A33" s="47" t="s">
        <v>76</v>
      </c>
      <c r="B33" s="48"/>
      <c r="C33" s="9" t="s">
        <v>77</v>
      </c>
      <c r="D33" s="61">
        <f>D35+D37+D39+D41+D42+D44+D45</f>
        <v>167983211</v>
      </c>
      <c r="E33" s="61">
        <f t="shared" ref="E33:O33" si="3">E35+E37+E39+E41+E42+E44+E45</f>
        <v>167983211</v>
      </c>
      <c r="F33" s="61">
        <f t="shared" si="3"/>
        <v>0</v>
      </c>
      <c r="G33" s="61">
        <f t="shared" si="3"/>
        <v>0</v>
      </c>
      <c r="H33" s="61">
        <f t="shared" si="3"/>
        <v>0</v>
      </c>
      <c r="I33" s="61">
        <f t="shared" si="3"/>
        <v>44907100</v>
      </c>
      <c r="J33" s="61">
        <f t="shared" si="3"/>
        <v>44907100</v>
      </c>
      <c r="K33" s="61">
        <f t="shared" si="3"/>
        <v>0</v>
      </c>
      <c r="L33" s="61">
        <f t="shared" si="3"/>
        <v>0</v>
      </c>
      <c r="M33" s="61">
        <f t="shared" si="3"/>
        <v>0</v>
      </c>
      <c r="N33" s="61">
        <f t="shared" si="3"/>
        <v>44907100</v>
      </c>
      <c r="O33" s="61">
        <f t="shared" si="3"/>
        <v>212890311</v>
      </c>
      <c r="P33" s="154"/>
    </row>
    <row r="34" spans="1:16" s="82" customFormat="1" ht="23.25" customHeight="1" x14ac:dyDescent="0.25">
      <c r="A34" s="47"/>
      <c r="B34" s="48"/>
      <c r="C34" s="2" t="s">
        <v>308</v>
      </c>
      <c r="D34" s="61">
        <f>D36+D38+D40+D43</f>
        <v>57157811</v>
      </c>
      <c r="E34" s="61">
        <f t="shared" ref="E34:O34" si="4">E36+E38+E40+E43</f>
        <v>57157811</v>
      </c>
      <c r="F34" s="61">
        <f t="shared" si="4"/>
        <v>0</v>
      </c>
      <c r="G34" s="61">
        <f t="shared" si="4"/>
        <v>0</v>
      </c>
      <c r="H34" s="61">
        <f t="shared" si="4"/>
        <v>0</v>
      </c>
      <c r="I34" s="61">
        <f t="shared" si="4"/>
        <v>0</v>
      </c>
      <c r="J34" s="61">
        <f t="shared" si="4"/>
        <v>0</v>
      </c>
      <c r="K34" s="61">
        <f t="shared" si="4"/>
        <v>0</v>
      </c>
      <c r="L34" s="61">
        <f t="shared" si="4"/>
        <v>0</v>
      </c>
      <c r="M34" s="61">
        <f t="shared" si="4"/>
        <v>0</v>
      </c>
      <c r="N34" s="61">
        <f t="shared" si="4"/>
        <v>0</v>
      </c>
      <c r="O34" s="61">
        <f t="shared" si="4"/>
        <v>57157811</v>
      </c>
      <c r="P34" s="146">
        <v>21</v>
      </c>
    </row>
    <row r="35" spans="1:16" ht="31.5" x14ac:dyDescent="0.25">
      <c r="A35" s="46" t="s">
        <v>78</v>
      </c>
      <c r="B35" s="46" t="s">
        <v>79</v>
      </c>
      <c r="C35" s="6" t="s">
        <v>38</v>
      </c>
      <c r="D35" s="62">
        <f>'дод 3 '!E75</f>
        <v>119324491</v>
      </c>
      <c r="E35" s="62">
        <f>'дод 3 '!F75</f>
        <v>119324491</v>
      </c>
      <c r="F35" s="62">
        <f>'дод 3 '!G75</f>
        <v>0</v>
      </c>
      <c r="G35" s="62">
        <f>'дод 3 '!H75</f>
        <v>0</v>
      </c>
      <c r="H35" s="62">
        <f>'дод 3 '!I75</f>
        <v>0</v>
      </c>
      <c r="I35" s="62">
        <f>'дод 3 '!J75</f>
        <v>28736500</v>
      </c>
      <c r="J35" s="62">
        <f>'дод 3 '!K75</f>
        <v>28736500</v>
      </c>
      <c r="K35" s="62">
        <f>'дод 3 '!L75</f>
        <v>0</v>
      </c>
      <c r="L35" s="62">
        <f>'дод 3 '!M75</f>
        <v>0</v>
      </c>
      <c r="M35" s="62">
        <f>'дод 3 '!N75</f>
        <v>0</v>
      </c>
      <c r="N35" s="62">
        <f>'дод 3 '!O75</f>
        <v>28736500</v>
      </c>
      <c r="O35" s="62">
        <f>'дод 3 '!P75</f>
        <v>148060991</v>
      </c>
      <c r="P35" s="146"/>
    </row>
    <row r="36" spans="1:16" ht="15.75" customHeight="1" x14ac:dyDescent="0.25">
      <c r="A36" s="46"/>
      <c r="B36" s="46"/>
      <c r="C36" s="3" t="s">
        <v>308</v>
      </c>
      <c r="D36" s="62">
        <f>'дод 3 '!E76</f>
        <v>48187871</v>
      </c>
      <c r="E36" s="62">
        <f>'дод 3 '!F76</f>
        <v>48187871</v>
      </c>
      <c r="F36" s="62">
        <f>'дод 3 '!G76</f>
        <v>0</v>
      </c>
      <c r="G36" s="62">
        <f>'дод 3 '!H76</f>
        <v>0</v>
      </c>
      <c r="H36" s="62">
        <f>'дод 3 '!I76</f>
        <v>0</v>
      </c>
      <c r="I36" s="62">
        <f>'дод 3 '!J76</f>
        <v>0</v>
      </c>
      <c r="J36" s="62">
        <f>'дод 3 '!K76</f>
        <v>0</v>
      </c>
      <c r="K36" s="62">
        <f>'дод 3 '!L76</f>
        <v>0</v>
      </c>
      <c r="L36" s="62">
        <f>'дод 3 '!M76</f>
        <v>0</v>
      </c>
      <c r="M36" s="62">
        <f>'дод 3 '!N76</f>
        <v>0</v>
      </c>
      <c r="N36" s="62">
        <f>'дод 3 '!O76</f>
        <v>0</v>
      </c>
      <c r="O36" s="62">
        <f>'дод 3 '!P76</f>
        <v>48187871</v>
      </c>
      <c r="P36" s="146"/>
    </row>
    <row r="37" spans="1:16" ht="42.75" customHeight="1" x14ac:dyDescent="0.25">
      <c r="A37" s="46" t="s">
        <v>143</v>
      </c>
      <c r="B37" s="46" t="s">
        <v>80</v>
      </c>
      <c r="C37" s="6" t="s">
        <v>144</v>
      </c>
      <c r="D37" s="62">
        <f>'дод 3 '!E77</f>
        <v>15325473</v>
      </c>
      <c r="E37" s="62">
        <f>'дод 3 '!F77</f>
        <v>15325473</v>
      </c>
      <c r="F37" s="62">
        <f>'дод 3 '!G77</f>
        <v>0</v>
      </c>
      <c r="G37" s="62">
        <f>'дод 3 '!H77</f>
        <v>0</v>
      </c>
      <c r="H37" s="62">
        <f>'дод 3 '!I77</f>
        <v>0</v>
      </c>
      <c r="I37" s="62">
        <f>'дод 3 '!J77</f>
        <v>15040600</v>
      </c>
      <c r="J37" s="62">
        <f>'дод 3 '!K77</f>
        <v>15040600</v>
      </c>
      <c r="K37" s="62">
        <f>'дод 3 '!L77</f>
        <v>0</v>
      </c>
      <c r="L37" s="62">
        <f>'дод 3 '!M77</f>
        <v>0</v>
      </c>
      <c r="M37" s="62">
        <f>'дод 3 '!N77</f>
        <v>0</v>
      </c>
      <c r="N37" s="62">
        <f>'дод 3 '!O77</f>
        <v>15040600</v>
      </c>
      <c r="O37" s="62">
        <f>'дод 3 '!P77</f>
        <v>30366073</v>
      </c>
      <c r="P37" s="146"/>
    </row>
    <row r="38" spans="1:16" ht="24" customHeight="1" x14ac:dyDescent="0.25">
      <c r="A38" s="46"/>
      <c r="B38" s="46"/>
      <c r="C38" s="3" t="s">
        <v>308</v>
      </c>
      <c r="D38" s="62">
        <f>'дод 3 '!E78</f>
        <v>6347600</v>
      </c>
      <c r="E38" s="62">
        <f>'дод 3 '!F78</f>
        <v>6347600</v>
      </c>
      <c r="F38" s="62">
        <f>'дод 3 '!G78</f>
        <v>0</v>
      </c>
      <c r="G38" s="62">
        <f>'дод 3 '!H78</f>
        <v>0</v>
      </c>
      <c r="H38" s="62">
        <f>'дод 3 '!I78</f>
        <v>0</v>
      </c>
      <c r="I38" s="62">
        <f>'дод 3 '!J78</f>
        <v>0</v>
      </c>
      <c r="J38" s="62">
        <f>'дод 3 '!K78</f>
        <v>0</v>
      </c>
      <c r="K38" s="62">
        <f>'дод 3 '!L78</f>
        <v>0</v>
      </c>
      <c r="L38" s="62">
        <f>'дод 3 '!M78</f>
        <v>0</v>
      </c>
      <c r="M38" s="62">
        <f>'дод 3 '!N78</f>
        <v>0</v>
      </c>
      <c r="N38" s="62">
        <f>'дод 3 '!O78</f>
        <v>0</v>
      </c>
      <c r="O38" s="62">
        <f>'дод 3 '!P78</f>
        <v>6347600</v>
      </c>
      <c r="P38" s="146"/>
    </row>
    <row r="39" spans="1:16" ht="25.5" customHeight="1" x14ac:dyDescent="0.25">
      <c r="A39" s="46" t="s">
        <v>145</v>
      </c>
      <c r="B39" s="46" t="s">
        <v>81</v>
      </c>
      <c r="C39" s="6" t="s">
        <v>146</v>
      </c>
      <c r="D39" s="62">
        <f>'дод 3 '!E79</f>
        <v>6663426</v>
      </c>
      <c r="E39" s="62">
        <f>'дод 3 '!F79</f>
        <v>6663426</v>
      </c>
      <c r="F39" s="62">
        <f>'дод 3 '!G79</f>
        <v>0</v>
      </c>
      <c r="G39" s="62">
        <f>'дод 3 '!H79</f>
        <v>0</v>
      </c>
      <c r="H39" s="62">
        <f>'дод 3 '!I79</f>
        <v>0</v>
      </c>
      <c r="I39" s="62">
        <f>'дод 3 '!J79</f>
        <v>1130000</v>
      </c>
      <c r="J39" s="62">
        <f>'дод 3 '!K79</f>
        <v>1130000</v>
      </c>
      <c r="K39" s="62">
        <f>'дод 3 '!L79</f>
        <v>0</v>
      </c>
      <c r="L39" s="62">
        <f>'дод 3 '!M79</f>
        <v>0</v>
      </c>
      <c r="M39" s="62">
        <f>'дод 3 '!N79</f>
        <v>0</v>
      </c>
      <c r="N39" s="62">
        <f>'дод 3 '!O79</f>
        <v>1130000</v>
      </c>
      <c r="O39" s="62">
        <f>'дод 3 '!P79</f>
        <v>7793426</v>
      </c>
      <c r="P39" s="146"/>
    </row>
    <row r="40" spans="1:16" ht="25.5" customHeight="1" x14ac:dyDescent="0.25">
      <c r="A40" s="46"/>
      <c r="B40" s="46"/>
      <c r="C40" s="3" t="s">
        <v>308</v>
      </c>
      <c r="D40" s="62">
        <f>'дод 3 '!E80</f>
        <v>1132200</v>
      </c>
      <c r="E40" s="62">
        <f>'дод 3 '!F80</f>
        <v>1132200</v>
      </c>
      <c r="F40" s="62">
        <f>'дод 3 '!G80</f>
        <v>0</v>
      </c>
      <c r="G40" s="62">
        <f>'дод 3 '!H80</f>
        <v>0</v>
      </c>
      <c r="H40" s="62">
        <f>'дод 3 '!I80</f>
        <v>0</v>
      </c>
      <c r="I40" s="62">
        <f>'дод 3 '!J80</f>
        <v>0</v>
      </c>
      <c r="J40" s="62">
        <f>'дод 3 '!K80</f>
        <v>0</v>
      </c>
      <c r="K40" s="62">
        <f>'дод 3 '!L80</f>
        <v>0</v>
      </c>
      <c r="L40" s="62">
        <f>'дод 3 '!M80</f>
        <v>0</v>
      </c>
      <c r="M40" s="62">
        <f>'дод 3 '!N80</f>
        <v>0</v>
      </c>
      <c r="N40" s="62">
        <f>'дод 3 '!O80</f>
        <v>0</v>
      </c>
      <c r="O40" s="62">
        <f>'дод 3 '!P80</f>
        <v>1132200</v>
      </c>
      <c r="P40" s="146"/>
    </row>
    <row r="41" spans="1:16" ht="54" customHeight="1" x14ac:dyDescent="0.25">
      <c r="A41" s="46" t="s">
        <v>147</v>
      </c>
      <c r="B41" s="46" t="s">
        <v>365</v>
      </c>
      <c r="C41" s="6" t="s">
        <v>148</v>
      </c>
      <c r="D41" s="62">
        <f>'дод 3 '!E81</f>
        <v>1870468</v>
      </c>
      <c r="E41" s="62">
        <f>'дод 3 '!F81</f>
        <v>1870468</v>
      </c>
      <c r="F41" s="62">
        <f>'дод 3 '!G81</f>
        <v>0</v>
      </c>
      <c r="G41" s="62">
        <f>'дод 3 '!H81</f>
        <v>0</v>
      </c>
      <c r="H41" s="62">
        <f>'дод 3 '!I81</f>
        <v>0</v>
      </c>
      <c r="I41" s="62">
        <f>'дод 3 '!J81</f>
        <v>0</v>
      </c>
      <c r="J41" s="62">
        <f>'дод 3 '!K81</f>
        <v>0</v>
      </c>
      <c r="K41" s="62">
        <f>'дод 3 '!L81</f>
        <v>0</v>
      </c>
      <c r="L41" s="62">
        <f>'дод 3 '!M81</f>
        <v>0</v>
      </c>
      <c r="M41" s="62">
        <f>'дод 3 '!N81</f>
        <v>0</v>
      </c>
      <c r="N41" s="62">
        <f>'дод 3 '!O81</f>
        <v>0</v>
      </c>
      <c r="O41" s="62">
        <f>'дод 3 '!P81</f>
        <v>1870468</v>
      </c>
      <c r="P41" s="146"/>
    </row>
    <row r="42" spans="1:16" ht="36.75" customHeight="1" x14ac:dyDescent="0.25">
      <c r="A42" s="49">
        <v>2144</v>
      </c>
      <c r="B42" s="46" t="s">
        <v>82</v>
      </c>
      <c r="C42" s="6" t="s">
        <v>149</v>
      </c>
      <c r="D42" s="62">
        <f>'дод 3 '!E82</f>
        <v>3090140</v>
      </c>
      <c r="E42" s="62">
        <f>'дод 3 '!F82</f>
        <v>3090140</v>
      </c>
      <c r="F42" s="62">
        <f>'дод 3 '!G82</f>
        <v>0</v>
      </c>
      <c r="G42" s="62">
        <f>'дод 3 '!H82</f>
        <v>0</v>
      </c>
      <c r="H42" s="62">
        <f>'дод 3 '!I82</f>
        <v>0</v>
      </c>
      <c r="I42" s="62">
        <f>'дод 3 '!J82</f>
        <v>0</v>
      </c>
      <c r="J42" s="62">
        <f>'дод 3 '!K82</f>
        <v>0</v>
      </c>
      <c r="K42" s="62">
        <f>'дод 3 '!L82</f>
        <v>0</v>
      </c>
      <c r="L42" s="62">
        <f>'дод 3 '!M82</f>
        <v>0</v>
      </c>
      <c r="M42" s="62">
        <f>'дод 3 '!N82</f>
        <v>0</v>
      </c>
      <c r="N42" s="62">
        <f>'дод 3 '!O82</f>
        <v>0</v>
      </c>
      <c r="O42" s="62">
        <f>'дод 3 '!P82</f>
        <v>3090140</v>
      </c>
      <c r="P42" s="146"/>
    </row>
    <row r="43" spans="1:16" ht="24.75" customHeight="1" x14ac:dyDescent="0.25">
      <c r="A43" s="49"/>
      <c r="B43" s="46"/>
      <c r="C43" s="3" t="s">
        <v>308</v>
      </c>
      <c r="D43" s="62">
        <f>'дод 3 '!E83</f>
        <v>1490140</v>
      </c>
      <c r="E43" s="62">
        <f>'дод 3 '!F83</f>
        <v>1490140</v>
      </c>
      <c r="F43" s="62">
        <f>'дод 3 '!G83</f>
        <v>0</v>
      </c>
      <c r="G43" s="62">
        <f>'дод 3 '!H83</f>
        <v>0</v>
      </c>
      <c r="H43" s="62">
        <f>'дод 3 '!I83</f>
        <v>0</v>
      </c>
      <c r="I43" s="62">
        <f>'дод 3 '!J83</f>
        <v>0</v>
      </c>
      <c r="J43" s="62">
        <f>'дод 3 '!K83</f>
        <v>0</v>
      </c>
      <c r="K43" s="62">
        <f>'дод 3 '!L83</f>
        <v>0</v>
      </c>
      <c r="L43" s="62">
        <f>'дод 3 '!M83</f>
        <v>0</v>
      </c>
      <c r="M43" s="62">
        <f>'дод 3 '!N83</f>
        <v>0</v>
      </c>
      <c r="N43" s="62">
        <f>'дод 3 '!O83</f>
        <v>0</v>
      </c>
      <c r="O43" s="62">
        <f>'дод 3 '!P83</f>
        <v>1490140</v>
      </c>
      <c r="P43" s="146"/>
    </row>
    <row r="44" spans="1:16" ht="37.5" customHeight="1" x14ac:dyDescent="0.25">
      <c r="A44" s="46" t="s">
        <v>331</v>
      </c>
      <c r="B44" s="46" t="s">
        <v>82</v>
      </c>
      <c r="C44" s="3" t="s">
        <v>333</v>
      </c>
      <c r="D44" s="62">
        <f>'дод 3 '!E84</f>
        <v>2894213</v>
      </c>
      <c r="E44" s="62">
        <f>'дод 3 '!F84</f>
        <v>2894213</v>
      </c>
      <c r="F44" s="62">
        <f>'дод 3 '!G84</f>
        <v>0</v>
      </c>
      <c r="G44" s="62">
        <f>'дод 3 '!H84</f>
        <v>0</v>
      </c>
      <c r="H44" s="62">
        <f>'дод 3 '!I84</f>
        <v>0</v>
      </c>
      <c r="I44" s="62">
        <f>'дод 3 '!J84</f>
        <v>0</v>
      </c>
      <c r="J44" s="62">
        <f>'дод 3 '!K84</f>
        <v>0</v>
      </c>
      <c r="K44" s="62">
        <f>'дод 3 '!L84</f>
        <v>0</v>
      </c>
      <c r="L44" s="62">
        <f>'дод 3 '!M84</f>
        <v>0</v>
      </c>
      <c r="M44" s="62">
        <f>'дод 3 '!N84</f>
        <v>0</v>
      </c>
      <c r="N44" s="62">
        <f>'дод 3 '!O84</f>
        <v>0</v>
      </c>
      <c r="O44" s="62">
        <f>'дод 3 '!P84</f>
        <v>2894213</v>
      </c>
      <c r="P44" s="146"/>
    </row>
    <row r="45" spans="1:16" ht="21.75" customHeight="1" x14ac:dyDescent="0.25">
      <c r="A45" s="46" t="s">
        <v>332</v>
      </c>
      <c r="B45" s="46" t="s">
        <v>82</v>
      </c>
      <c r="C45" s="3" t="s">
        <v>334</v>
      </c>
      <c r="D45" s="62">
        <f>'дод 3 '!E85</f>
        <v>18815000</v>
      </c>
      <c r="E45" s="62">
        <f>'дод 3 '!F85</f>
        <v>18815000</v>
      </c>
      <c r="F45" s="62">
        <f>'дод 3 '!G85</f>
        <v>0</v>
      </c>
      <c r="G45" s="62">
        <f>'дод 3 '!H85</f>
        <v>0</v>
      </c>
      <c r="H45" s="62">
        <f>'дод 3 '!I85</f>
        <v>0</v>
      </c>
      <c r="I45" s="62">
        <f>'дод 3 '!J85</f>
        <v>0</v>
      </c>
      <c r="J45" s="62">
        <f>'дод 3 '!K85</f>
        <v>0</v>
      </c>
      <c r="K45" s="62">
        <f>'дод 3 '!L85</f>
        <v>0</v>
      </c>
      <c r="L45" s="62">
        <f>'дод 3 '!M85</f>
        <v>0</v>
      </c>
      <c r="M45" s="62">
        <f>'дод 3 '!N85</f>
        <v>0</v>
      </c>
      <c r="N45" s="62">
        <f>'дод 3 '!O85</f>
        <v>0</v>
      </c>
      <c r="O45" s="62">
        <f>'дод 3 '!P85</f>
        <v>18815000</v>
      </c>
      <c r="P45" s="146"/>
    </row>
    <row r="46" spans="1:16" s="82" customFormat="1" ht="34.5" customHeight="1" x14ac:dyDescent="0.25">
      <c r="A46" s="47" t="s">
        <v>83</v>
      </c>
      <c r="B46" s="50"/>
      <c r="C46" s="2" t="s">
        <v>84</v>
      </c>
      <c r="D46" s="61">
        <f>SUM(D47+D48+D49+D50+D51+D52+D53+D54+D55+D56+D57+D58+D59+D60+D61+D62+D63+D64+D65+D66+D67+D68+D69)</f>
        <v>145280520.11000001</v>
      </c>
      <c r="E46" s="61">
        <f t="shared" ref="E46:O46" si="5">SUM(E47+E48+E49+E50+E51+E52+E53+E54+E55+E56+E57+E58+E59+E60+E61+E62+E63+E64+E65+E66+E67+E68+E69)</f>
        <v>145280520.11000001</v>
      </c>
      <c r="F46" s="61">
        <f t="shared" si="5"/>
        <v>16632985</v>
      </c>
      <c r="G46" s="61">
        <f t="shared" si="5"/>
        <v>938160</v>
      </c>
      <c r="H46" s="61">
        <f t="shared" si="5"/>
        <v>0</v>
      </c>
      <c r="I46" s="61">
        <f t="shared" si="5"/>
        <v>1246640</v>
      </c>
      <c r="J46" s="61">
        <f t="shared" si="5"/>
        <v>1138540</v>
      </c>
      <c r="K46" s="61">
        <f t="shared" si="5"/>
        <v>108100</v>
      </c>
      <c r="L46" s="61">
        <f t="shared" si="5"/>
        <v>85100</v>
      </c>
      <c r="M46" s="61">
        <f t="shared" si="5"/>
        <v>0</v>
      </c>
      <c r="N46" s="61">
        <f t="shared" si="5"/>
        <v>1138540</v>
      </c>
      <c r="O46" s="61">
        <f t="shared" si="5"/>
        <v>146527160.11000001</v>
      </c>
      <c r="P46" s="146"/>
    </row>
    <row r="47" spans="1:16" ht="45" customHeight="1" x14ac:dyDescent="0.25">
      <c r="A47" s="46" t="s">
        <v>118</v>
      </c>
      <c r="B47" s="46" t="s">
        <v>67</v>
      </c>
      <c r="C47" s="3" t="s">
        <v>150</v>
      </c>
      <c r="D47" s="62">
        <f>'дод 3 '!E92</f>
        <v>582400</v>
      </c>
      <c r="E47" s="62">
        <f>'дод 3 '!F92</f>
        <v>582400</v>
      </c>
      <c r="F47" s="62">
        <f>'дод 3 '!G92</f>
        <v>0</v>
      </c>
      <c r="G47" s="62">
        <f>'дод 3 '!H92</f>
        <v>0</v>
      </c>
      <c r="H47" s="62">
        <f>'дод 3 '!I92</f>
        <v>0</v>
      </c>
      <c r="I47" s="62">
        <f>'дод 3 '!J92</f>
        <v>0</v>
      </c>
      <c r="J47" s="62">
        <f>'дод 3 '!K92</f>
        <v>0</v>
      </c>
      <c r="K47" s="62">
        <f>'дод 3 '!L92</f>
        <v>0</v>
      </c>
      <c r="L47" s="62">
        <f>'дод 3 '!M92</f>
        <v>0</v>
      </c>
      <c r="M47" s="62">
        <f>'дод 3 '!N92</f>
        <v>0</v>
      </c>
      <c r="N47" s="62">
        <f>'дод 3 '!O92</f>
        <v>0</v>
      </c>
      <c r="O47" s="62">
        <f>'дод 3 '!P92</f>
        <v>582400</v>
      </c>
      <c r="P47" s="146"/>
    </row>
    <row r="48" spans="1:16" ht="41.25" customHeight="1" x14ac:dyDescent="0.25">
      <c r="A48" s="46" t="s">
        <v>151</v>
      </c>
      <c r="B48" s="46" t="s">
        <v>69</v>
      </c>
      <c r="C48" s="3" t="s">
        <v>423</v>
      </c>
      <c r="D48" s="62">
        <f>'дод 3 '!E93</f>
        <v>1300000</v>
      </c>
      <c r="E48" s="62">
        <f>'дод 3 '!F93</f>
        <v>1300000</v>
      </c>
      <c r="F48" s="62">
        <f>'дод 3 '!G93</f>
        <v>0</v>
      </c>
      <c r="G48" s="62">
        <f>'дод 3 '!H93</f>
        <v>0</v>
      </c>
      <c r="H48" s="62">
        <f>'дод 3 '!I93</f>
        <v>0</v>
      </c>
      <c r="I48" s="62">
        <f>'дод 3 '!J93</f>
        <v>0</v>
      </c>
      <c r="J48" s="62">
        <f>'дод 3 '!K93</f>
        <v>0</v>
      </c>
      <c r="K48" s="62">
        <f>'дод 3 '!L93</f>
        <v>0</v>
      </c>
      <c r="L48" s="62">
        <f>'дод 3 '!M93</f>
        <v>0</v>
      </c>
      <c r="M48" s="62">
        <f>'дод 3 '!N93</f>
        <v>0</v>
      </c>
      <c r="N48" s="62">
        <f>'дод 3 '!O93</f>
        <v>0</v>
      </c>
      <c r="O48" s="62">
        <f>'дод 3 '!P93</f>
        <v>1300000</v>
      </c>
      <c r="P48" s="146"/>
    </row>
    <row r="49" spans="1:16" ht="54.75" customHeight="1" x14ac:dyDescent="0.25">
      <c r="A49" s="46" t="s">
        <v>119</v>
      </c>
      <c r="B49" s="46" t="s">
        <v>69</v>
      </c>
      <c r="C49" s="3" t="s">
        <v>55</v>
      </c>
      <c r="D49" s="62">
        <f>'дод 3 '!E94+'дод 3 '!E17</f>
        <v>26906057.109999999</v>
      </c>
      <c r="E49" s="62">
        <f>'дод 3 '!F94+'дод 3 '!F17</f>
        <v>26906057.109999999</v>
      </c>
      <c r="F49" s="62">
        <f>'дод 3 '!G94+'дод 3 '!G17</f>
        <v>0</v>
      </c>
      <c r="G49" s="62">
        <f>'дод 3 '!H94+'дод 3 '!H17</f>
        <v>0</v>
      </c>
      <c r="H49" s="62">
        <f>'дод 3 '!I94+'дод 3 '!I17</f>
        <v>0</v>
      </c>
      <c r="I49" s="62">
        <f>'дод 3 '!J94+'дод 3 '!J17</f>
        <v>0</v>
      </c>
      <c r="J49" s="62">
        <f>'дод 3 '!K94+'дод 3 '!K17</f>
        <v>0</v>
      </c>
      <c r="K49" s="62">
        <f>'дод 3 '!L94+'дод 3 '!L17</f>
        <v>0</v>
      </c>
      <c r="L49" s="62">
        <f>'дод 3 '!M94+'дод 3 '!M17</f>
        <v>0</v>
      </c>
      <c r="M49" s="62">
        <f>'дод 3 '!N94+'дод 3 '!N17</f>
        <v>0</v>
      </c>
      <c r="N49" s="62">
        <f>'дод 3 '!O94+'дод 3 '!O17</f>
        <v>0</v>
      </c>
      <c r="O49" s="62">
        <f>'дод 3 '!P94+'дод 3 '!P17</f>
        <v>26906057.109999999</v>
      </c>
      <c r="P49" s="146"/>
    </row>
    <row r="50" spans="1:16" ht="46.5" customHeight="1" x14ac:dyDescent="0.25">
      <c r="A50" s="46" t="s">
        <v>380</v>
      </c>
      <c r="B50" s="46" t="s">
        <v>69</v>
      </c>
      <c r="C50" s="3" t="s">
        <v>379</v>
      </c>
      <c r="D50" s="62">
        <f>'дод 3 '!E95</f>
        <v>1000000</v>
      </c>
      <c r="E50" s="62">
        <f>'дод 3 '!F95</f>
        <v>1000000</v>
      </c>
      <c r="F50" s="62">
        <f>'дод 3 '!G95</f>
        <v>0</v>
      </c>
      <c r="G50" s="62">
        <f>'дод 3 '!H95</f>
        <v>0</v>
      </c>
      <c r="H50" s="62">
        <f>'дод 3 '!I95</f>
        <v>0</v>
      </c>
      <c r="I50" s="62">
        <f>'дод 3 '!J95</f>
        <v>0</v>
      </c>
      <c r="J50" s="62">
        <f>'дод 3 '!K95</f>
        <v>0</v>
      </c>
      <c r="K50" s="62">
        <f>'дод 3 '!L95</f>
        <v>0</v>
      </c>
      <c r="L50" s="62">
        <f>'дод 3 '!M95</f>
        <v>0</v>
      </c>
      <c r="M50" s="62">
        <f>'дод 3 '!N95</f>
        <v>0</v>
      </c>
      <c r="N50" s="62">
        <f>'дод 3 '!O95</f>
        <v>0</v>
      </c>
      <c r="O50" s="62">
        <f>'дод 3 '!P95</f>
        <v>1000000</v>
      </c>
      <c r="P50" s="146"/>
    </row>
    <row r="51" spans="1:16" ht="45" customHeight="1" x14ac:dyDescent="0.25">
      <c r="A51" s="46" t="s">
        <v>152</v>
      </c>
      <c r="B51" s="46" t="s">
        <v>69</v>
      </c>
      <c r="C51" s="3" t="s">
        <v>25</v>
      </c>
      <c r="D51" s="62">
        <f>'дод 3 '!E96+'дод 3 '!E18</f>
        <v>40740825</v>
      </c>
      <c r="E51" s="62">
        <f>'дод 3 '!F96+'дод 3 '!F18</f>
        <v>40740825</v>
      </c>
      <c r="F51" s="62">
        <f>'дод 3 '!G96+'дод 3 '!G18</f>
        <v>0</v>
      </c>
      <c r="G51" s="62">
        <f>'дод 3 '!H96+'дод 3 '!H18</f>
        <v>0</v>
      </c>
      <c r="H51" s="62">
        <f>'дод 3 '!I96+'дод 3 '!I18</f>
        <v>0</v>
      </c>
      <c r="I51" s="62">
        <f>'дод 3 '!J96+'дод 3 '!J18</f>
        <v>0</v>
      </c>
      <c r="J51" s="62">
        <f>'дод 3 '!K96+'дод 3 '!K18</f>
        <v>0</v>
      </c>
      <c r="K51" s="62">
        <f>'дод 3 '!L96+'дод 3 '!L18</f>
        <v>0</v>
      </c>
      <c r="L51" s="62">
        <f>'дод 3 '!M96+'дод 3 '!M18</f>
        <v>0</v>
      </c>
      <c r="M51" s="62">
        <f>'дод 3 '!N96+'дод 3 '!N18</f>
        <v>0</v>
      </c>
      <c r="N51" s="62">
        <f>'дод 3 '!O96+'дод 3 '!O18</f>
        <v>0</v>
      </c>
      <c r="O51" s="62">
        <f>'дод 3 '!P96+'дод 3 '!P18</f>
        <v>40740825</v>
      </c>
      <c r="P51" s="146"/>
    </row>
    <row r="52" spans="1:16" ht="40.5" customHeight="1" x14ac:dyDescent="0.25">
      <c r="A52" s="46" t="s">
        <v>121</v>
      </c>
      <c r="B52" s="46" t="s">
        <v>69</v>
      </c>
      <c r="C52" s="3" t="s">
        <v>41</v>
      </c>
      <c r="D52" s="62">
        <f>'дод 3 '!E97</f>
        <v>853000</v>
      </c>
      <c r="E52" s="62">
        <f>'дод 3 '!F97</f>
        <v>853000</v>
      </c>
      <c r="F52" s="62">
        <f>'дод 3 '!G97</f>
        <v>0</v>
      </c>
      <c r="G52" s="62">
        <f>'дод 3 '!H97</f>
        <v>0</v>
      </c>
      <c r="H52" s="62">
        <f>'дод 3 '!I97</f>
        <v>0</v>
      </c>
      <c r="I52" s="62">
        <f>'дод 3 '!J97</f>
        <v>0</v>
      </c>
      <c r="J52" s="62">
        <f>'дод 3 '!K97</f>
        <v>0</v>
      </c>
      <c r="K52" s="62">
        <f>'дод 3 '!L97</f>
        <v>0</v>
      </c>
      <c r="L52" s="62">
        <f>'дод 3 '!M97</f>
        <v>0</v>
      </c>
      <c r="M52" s="62">
        <f>'дод 3 '!N97</f>
        <v>0</v>
      </c>
      <c r="N52" s="62">
        <f>'дод 3 '!O97</f>
        <v>0</v>
      </c>
      <c r="O52" s="62">
        <f>'дод 3 '!P97</f>
        <v>853000</v>
      </c>
      <c r="P52" s="146"/>
    </row>
    <row r="53" spans="1:16" ht="40.5" customHeight="1" x14ac:dyDescent="0.25">
      <c r="A53" s="46" t="s">
        <v>368</v>
      </c>
      <c r="B53" s="46" t="s">
        <v>67</v>
      </c>
      <c r="C53" s="3" t="s">
        <v>369</v>
      </c>
      <c r="D53" s="62">
        <f>'дод 3 '!E98</f>
        <v>228400</v>
      </c>
      <c r="E53" s="62">
        <f>'дод 3 '!F98</f>
        <v>228400</v>
      </c>
      <c r="F53" s="62">
        <f>'дод 3 '!G98</f>
        <v>0</v>
      </c>
      <c r="G53" s="62">
        <f>'дод 3 '!H98</f>
        <v>0</v>
      </c>
      <c r="H53" s="62">
        <f>'дод 3 '!I98</f>
        <v>0</v>
      </c>
      <c r="I53" s="62">
        <f>'дод 3 '!J98</f>
        <v>0</v>
      </c>
      <c r="J53" s="62">
        <f>'дод 3 '!K98</f>
        <v>0</v>
      </c>
      <c r="K53" s="62">
        <f>'дод 3 '!L98</f>
        <v>0</v>
      </c>
      <c r="L53" s="62">
        <f>'дод 3 '!M98</f>
        <v>0</v>
      </c>
      <c r="M53" s="62">
        <f>'дод 3 '!N98</f>
        <v>0</v>
      </c>
      <c r="N53" s="62">
        <f>'дод 3 '!O98</f>
        <v>0</v>
      </c>
      <c r="O53" s="62">
        <f>'дод 3 '!P98</f>
        <v>228400</v>
      </c>
      <c r="P53" s="146"/>
    </row>
    <row r="54" spans="1:16" ht="74.25" customHeight="1" x14ac:dyDescent="0.25">
      <c r="A54" s="46" t="s">
        <v>122</v>
      </c>
      <c r="B54" s="46" t="s">
        <v>65</v>
      </c>
      <c r="C54" s="3" t="s">
        <v>42</v>
      </c>
      <c r="D54" s="62">
        <f>'дод 3 '!E99</f>
        <v>13529730</v>
      </c>
      <c r="E54" s="62">
        <f>'дод 3 '!F99</f>
        <v>13529730</v>
      </c>
      <c r="F54" s="62">
        <f>'дод 3 '!G99</f>
        <v>10389550</v>
      </c>
      <c r="G54" s="62">
        <f>'дод 3 '!H99</f>
        <v>230060</v>
      </c>
      <c r="H54" s="62">
        <f>'дод 3 '!I99</f>
        <v>0</v>
      </c>
      <c r="I54" s="62">
        <f>'дод 3 '!J99</f>
        <v>451000</v>
      </c>
      <c r="J54" s="62">
        <f>'дод 3 '!K99</f>
        <v>342900</v>
      </c>
      <c r="K54" s="62">
        <f>'дод 3 '!L99</f>
        <v>108100</v>
      </c>
      <c r="L54" s="62">
        <f>'дод 3 '!M99</f>
        <v>85100</v>
      </c>
      <c r="M54" s="62">
        <f>'дод 3 '!N99</f>
        <v>0</v>
      </c>
      <c r="N54" s="62">
        <f>'дод 3 '!O99</f>
        <v>342900</v>
      </c>
      <c r="O54" s="62">
        <f>'дод 3 '!P99</f>
        <v>13980730</v>
      </c>
      <c r="P54" s="146"/>
    </row>
    <row r="55" spans="1:16" ht="69.75" customHeight="1" x14ac:dyDescent="0.25">
      <c r="A55" s="46" t="s">
        <v>392</v>
      </c>
      <c r="B55" s="46" t="s">
        <v>120</v>
      </c>
      <c r="C55" s="42" t="s">
        <v>393</v>
      </c>
      <c r="D55" s="62">
        <f>SUM('дод 3 '!E114)</f>
        <v>0</v>
      </c>
      <c r="E55" s="62">
        <f>SUM('дод 3 '!F114)</f>
        <v>0</v>
      </c>
      <c r="F55" s="62">
        <f>SUM('дод 3 '!G114)</f>
        <v>0</v>
      </c>
      <c r="G55" s="62">
        <f>SUM('дод 3 '!H114)</f>
        <v>0</v>
      </c>
      <c r="H55" s="62">
        <f>SUM('дод 3 '!I114)</f>
        <v>0</v>
      </c>
      <c r="I55" s="62">
        <f>SUM('дод 3 '!J114)</f>
        <v>20000</v>
      </c>
      <c r="J55" s="62">
        <f>SUM('дод 3 '!K114)</f>
        <v>20000</v>
      </c>
      <c r="K55" s="62">
        <f>SUM('дод 3 '!L114)</f>
        <v>0</v>
      </c>
      <c r="L55" s="62">
        <f>SUM('дод 3 '!M114)</f>
        <v>0</v>
      </c>
      <c r="M55" s="62">
        <f>SUM('дод 3 '!N114)</f>
        <v>0</v>
      </c>
      <c r="N55" s="62">
        <f>SUM('дод 3 '!O114)</f>
        <v>20000</v>
      </c>
      <c r="O55" s="62">
        <f>SUM('дод 3 '!P114)</f>
        <v>20000</v>
      </c>
      <c r="P55" s="146"/>
    </row>
    <row r="56" spans="1:16" s="84" customFormat="1" ht="43.5" customHeight="1" x14ac:dyDescent="0.25">
      <c r="A56" s="46" t="s">
        <v>123</v>
      </c>
      <c r="B56" s="46" t="s">
        <v>120</v>
      </c>
      <c r="C56" s="3" t="s">
        <v>43</v>
      </c>
      <c r="D56" s="62">
        <f>'дод 3 '!E115</f>
        <v>90500</v>
      </c>
      <c r="E56" s="62">
        <f>'дод 3 '!F115</f>
        <v>90500</v>
      </c>
      <c r="F56" s="62">
        <f>'дод 3 '!G115</f>
        <v>0</v>
      </c>
      <c r="G56" s="62">
        <f>'дод 3 '!H115</f>
        <v>0</v>
      </c>
      <c r="H56" s="62">
        <f>'дод 3 '!I115</f>
        <v>0</v>
      </c>
      <c r="I56" s="62">
        <f>'дод 3 '!J115</f>
        <v>0</v>
      </c>
      <c r="J56" s="62">
        <f>'дод 3 '!K115</f>
        <v>0</v>
      </c>
      <c r="K56" s="62">
        <f>'дод 3 '!L115</f>
        <v>0</v>
      </c>
      <c r="L56" s="62">
        <f>'дод 3 '!M115</f>
        <v>0</v>
      </c>
      <c r="M56" s="62">
        <f>'дод 3 '!N115</f>
        <v>0</v>
      </c>
      <c r="N56" s="62">
        <f>'дод 3 '!O115</f>
        <v>0</v>
      </c>
      <c r="O56" s="62">
        <f>'дод 3 '!P115</f>
        <v>90500</v>
      </c>
      <c r="P56" s="146"/>
    </row>
    <row r="57" spans="1:16" s="84" customFormat="1" ht="42.75" customHeight="1" x14ac:dyDescent="0.25">
      <c r="A57" s="46" t="s">
        <v>153</v>
      </c>
      <c r="B57" s="46" t="s">
        <v>120</v>
      </c>
      <c r="C57" s="3" t="s">
        <v>154</v>
      </c>
      <c r="D57" s="62">
        <f>'дод 3 '!E19</f>
        <v>2529735</v>
      </c>
      <c r="E57" s="62">
        <f>'дод 3 '!F19</f>
        <v>2529735</v>
      </c>
      <c r="F57" s="62">
        <f>'дод 3 '!G19</f>
        <v>1883250</v>
      </c>
      <c r="G57" s="62">
        <f>'дод 3 '!H19</f>
        <v>50170</v>
      </c>
      <c r="H57" s="62">
        <f>'дод 3 '!I19</f>
        <v>0</v>
      </c>
      <c r="I57" s="62">
        <f>'дод 3 '!J19</f>
        <v>0</v>
      </c>
      <c r="J57" s="62">
        <f>'дод 3 '!K19</f>
        <v>0</v>
      </c>
      <c r="K57" s="62">
        <f>'дод 3 '!L19</f>
        <v>0</v>
      </c>
      <c r="L57" s="62">
        <f>'дод 3 '!M19</f>
        <v>0</v>
      </c>
      <c r="M57" s="62">
        <f>'дод 3 '!N19</f>
        <v>0</v>
      </c>
      <c r="N57" s="62">
        <f>'дод 3 '!O19</f>
        <v>0</v>
      </c>
      <c r="O57" s="62">
        <f>'дод 3 '!P19</f>
        <v>2529735</v>
      </c>
      <c r="P57" s="146"/>
    </row>
    <row r="58" spans="1:16" s="84" customFormat="1" ht="57" customHeight="1" x14ac:dyDescent="0.25">
      <c r="A58" s="49" t="s">
        <v>127</v>
      </c>
      <c r="B58" s="49" t="s">
        <v>120</v>
      </c>
      <c r="C58" s="3" t="s">
        <v>401</v>
      </c>
      <c r="D58" s="62">
        <f>'дод 3 '!E20</f>
        <v>850000</v>
      </c>
      <c r="E58" s="62">
        <f>'дод 3 '!F20</f>
        <v>850000</v>
      </c>
      <c r="F58" s="62">
        <f>'дод 3 '!G20</f>
        <v>0</v>
      </c>
      <c r="G58" s="62">
        <f>'дод 3 '!H20</f>
        <v>0</v>
      </c>
      <c r="H58" s="62">
        <f>'дод 3 '!I20</f>
        <v>0</v>
      </c>
      <c r="I58" s="62">
        <f>'дод 3 '!J20</f>
        <v>0</v>
      </c>
      <c r="J58" s="62">
        <f>'дод 3 '!K20</f>
        <v>0</v>
      </c>
      <c r="K58" s="62">
        <f>'дод 3 '!L20</f>
        <v>0</v>
      </c>
      <c r="L58" s="62">
        <f>'дод 3 '!M20</f>
        <v>0</v>
      </c>
      <c r="M58" s="62">
        <f>'дод 3 '!N20</f>
        <v>0</v>
      </c>
      <c r="N58" s="62">
        <f>'дод 3 '!O20</f>
        <v>0</v>
      </c>
      <c r="O58" s="62">
        <f>'дод 3 '!P20</f>
        <v>850000</v>
      </c>
      <c r="P58" s="146">
        <v>22</v>
      </c>
    </row>
    <row r="59" spans="1:16" ht="75" customHeight="1" x14ac:dyDescent="0.25">
      <c r="A59" s="46" t="s">
        <v>128</v>
      </c>
      <c r="B59" s="46" t="s">
        <v>120</v>
      </c>
      <c r="C59" s="6" t="s">
        <v>28</v>
      </c>
      <c r="D59" s="62">
        <f>'дод 3 '!E63+'дод 3 '!E21</f>
        <v>7560000</v>
      </c>
      <c r="E59" s="62">
        <f>'дод 3 '!F63+'дод 3 '!F21</f>
        <v>7560000</v>
      </c>
      <c r="F59" s="62">
        <f>'дод 3 '!G63+'дод 3 '!G21</f>
        <v>0</v>
      </c>
      <c r="G59" s="62">
        <f>'дод 3 '!H63+'дод 3 '!H21</f>
        <v>0</v>
      </c>
      <c r="H59" s="62">
        <f>'дод 3 '!I63+'дод 3 '!I21</f>
        <v>0</v>
      </c>
      <c r="I59" s="62">
        <f>'дод 3 '!J63+'дод 3 '!J21</f>
        <v>0</v>
      </c>
      <c r="J59" s="62">
        <f>'дод 3 '!K63+'дод 3 '!K21</f>
        <v>0</v>
      </c>
      <c r="K59" s="62">
        <f>'дод 3 '!L63+'дод 3 '!L21</f>
        <v>0</v>
      </c>
      <c r="L59" s="62">
        <f>'дод 3 '!M63+'дод 3 '!M21</f>
        <v>0</v>
      </c>
      <c r="M59" s="62">
        <f>'дод 3 '!N63+'дод 3 '!N21</f>
        <v>0</v>
      </c>
      <c r="N59" s="62">
        <f>'дод 3 '!O63+'дод 3 '!O21</f>
        <v>0</v>
      </c>
      <c r="O59" s="62">
        <f>'дод 3 '!P63+'дод 3 '!P21</f>
        <v>7560000</v>
      </c>
      <c r="P59" s="146"/>
    </row>
    <row r="60" spans="1:16" ht="92.25" customHeight="1" x14ac:dyDescent="0.25">
      <c r="A60" s="46" t="s">
        <v>129</v>
      </c>
      <c r="B60" s="46">
        <v>1010</v>
      </c>
      <c r="C60" s="3" t="s">
        <v>335</v>
      </c>
      <c r="D60" s="62">
        <f>'дод 3 '!E100</f>
        <v>1911000</v>
      </c>
      <c r="E60" s="62">
        <f>'дод 3 '!F100</f>
        <v>1911000</v>
      </c>
      <c r="F60" s="62">
        <f>'дод 3 '!G100</f>
        <v>0</v>
      </c>
      <c r="G60" s="62">
        <f>'дод 3 '!H100</f>
        <v>0</v>
      </c>
      <c r="H60" s="62">
        <f>'дод 3 '!I100</f>
        <v>0</v>
      </c>
      <c r="I60" s="62">
        <f>'дод 3 '!J100</f>
        <v>0</v>
      </c>
      <c r="J60" s="62">
        <f>'дод 3 '!K100</f>
        <v>0</v>
      </c>
      <c r="K60" s="62">
        <f>'дод 3 '!L100</f>
        <v>0</v>
      </c>
      <c r="L60" s="62">
        <f>'дод 3 '!M100</f>
        <v>0</v>
      </c>
      <c r="M60" s="62">
        <f>'дод 3 '!N100</f>
        <v>0</v>
      </c>
      <c r="N60" s="62">
        <f>'дод 3 '!O100</f>
        <v>0</v>
      </c>
      <c r="O60" s="62">
        <f>'дод 3 '!P100</f>
        <v>1911000</v>
      </c>
      <c r="P60" s="146"/>
    </row>
    <row r="61" spans="1:16" s="84" customFormat="1" ht="53.25" customHeight="1" x14ac:dyDescent="0.25">
      <c r="A61" s="46" t="s">
        <v>370</v>
      </c>
      <c r="B61" s="46">
        <v>1010</v>
      </c>
      <c r="C61" s="3" t="s">
        <v>372</v>
      </c>
      <c r="D61" s="62">
        <f>'дод 3 '!E101</f>
        <v>228095</v>
      </c>
      <c r="E61" s="62">
        <f>'дод 3 '!F101</f>
        <v>228095</v>
      </c>
      <c r="F61" s="62">
        <f>'дод 3 '!G101</f>
        <v>0</v>
      </c>
      <c r="G61" s="62">
        <f>'дод 3 '!H101</f>
        <v>0</v>
      </c>
      <c r="H61" s="62">
        <f>'дод 3 '!I101</f>
        <v>0</v>
      </c>
      <c r="I61" s="62">
        <f>'дод 3 '!J101</f>
        <v>0</v>
      </c>
      <c r="J61" s="62">
        <f>'дод 3 '!K101</f>
        <v>0</v>
      </c>
      <c r="K61" s="62">
        <f>'дод 3 '!L101</f>
        <v>0</v>
      </c>
      <c r="L61" s="62">
        <f>'дод 3 '!M101</f>
        <v>0</v>
      </c>
      <c r="M61" s="62">
        <f>'дод 3 '!N101</f>
        <v>0</v>
      </c>
      <c r="N61" s="62">
        <f>'дод 3 '!O101</f>
        <v>0</v>
      </c>
      <c r="O61" s="62">
        <f>'дод 3 '!P101</f>
        <v>228095</v>
      </c>
      <c r="P61" s="146"/>
    </row>
    <row r="62" spans="1:16" s="84" customFormat="1" ht="38.25" customHeight="1" x14ac:dyDescent="0.25">
      <c r="A62" s="46" t="s">
        <v>371</v>
      </c>
      <c r="B62" s="46">
        <v>1010</v>
      </c>
      <c r="C62" s="3" t="s">
        <v>373</v>
      </c>
      <c r="D62" s="62">
        <f>'дод 3 '!E102</f>
        <v>90</v>
      </c>
      <c r="E62" s="62">
        <f>'дод 3 '!F102</f>
        <v>90</v>
      </c>
      <c r="F62" s="62">
        <f>'дод 3 '!G102</f>
        <v>0</v>
      </c>
      <c r="G62" s="62">
        <f>'дод 3 '!H102</f>
        <v>0</v>
      </c>
      <c r="H62" s="62">
        <f>'дод 3 '!I102</f>
        <v>0</v>
      </c>
      <c r="I62" s="62">
        <f>'дод 3 '!J102</f>
        <v>0</v>
      </c>
      <c r="J62" s="62">
        <f>'дод 3 '!K102</f>
        <v>0</v>
      </c>
      <c r="K62" s="62">
        <f>'дод 3 '!L102</f>
        <v>0</v>
      </c>
      <c r="L62" s="62">
        <f>'дод 3 '!M102</f>
        <v>0</v>
      </c>
      <c r="M62" s="62">
        <f>'дод 3 '!N102</f>
        <v>0</v>
      </c>
      <c r="N62" s="62">
        <f>'дод 3 '!O102</f>
        <v>0</v>
      </c>
      <c r="O62" s="62">
        <f>'дод 3 '!P102</f>
        <v>90</v>
      </c>
      <c r="P62" s="146"/>
    </row>
    <row r="63" spans="1:16" ht="77.25" customHeight="1" x14ac:dyDescent="0.25">
      <c r="A63" s="46" t="s">
        <v>124</v>
      </c>
      <c r="B63" s="46" t="s">
        <v>68</v>
      </c>
      <c r="C63" s="3" t="s">
        <v>402</v>
      </c>
      <c r="D63" s="62">
        <f>'дод 3 '!E103</f>
        <v>2075000</v>
      </c>
      <c r="E63" s="62">
        <f>'дод 3 '!F103</f>
        <v>2075000</v>
      </c>
      <c r="F63" s="62">
        <f>'дод 3 '!G103</f>
        <v>0</v>
      </c>
      <c r="G63" s="62">
        <f>'дод 3 '!H103</f>
        <v>0</v>
      </c>
      <c r="H63" s="62">
        <f>'дод 3 '!I103</f>
        <v>0</v>
      </c>
      <c r="I63" s="62">
        <f>'дод 3 '!J103</f>
        <v>0</v>
      </c>
      <c r="J63" s="62">
        <f>'дод 3 '!K103</f>
        <v>0</v>
      </c>
      <c r="K63" s="62">
        <f>'дод 3 '!L103</f>
        <v>0</v>
      </c>
      <c r="L63" s="62">
        <f>'дод 3 '!M103</f>
        <v>0</v>
      </c>
      <c r="M63" s="62">
        <f>'дод 3 '!N103</f>
        <v>0</v>
      </c>
      <c r="N63" s="62">
        <f>'дод 3 '!O103</f>
        <v>0</v>
      </c>
      <c r="O63" s="62">
        <f>'дод 3 '!P103</f>
        <v>2075000</v>
      </c>
      <c r="P63" s="146"/>
    </row>
    <row r="64" spans="1:16" s="84" customFormat="1" ht="36.75" customHeight="1" x14ac:dyDescent="0.25">
      <c r="A64" s="46" t="s">
        <v>336</v>
      </c>
      <c r="B64" s="46" t="s">
        <v>67</v>
      </c>
      <c r="C64" s="3" t="s">
        <v>24</v>
      </c>
      <c r="D64" s="62">
        <f>'дод 3 '!E104</f>
        <v>2178000</v>
      </c>
      <c r="E64" s="62">
        <f>'дод 3 '!F104</f>
        <v>2178000</v>
      </c>
      <c r="F64" s="62">
        <f>'дод 3 '!G104</f>
        <v>0</v>
      </c>
      <c r="G64" s="62">
        <f>'дод 3 '!H104</f>
        <v>0</v>
      </c>
      <c r="H64" s="62">
        <f>'дод 3 '!I104</f>
        <v>0</v>
      </c>
      <c r="I64" s="62">
        <f>'дод 3 '!J104</f>
        <v>0</v>
      </c>
      <c r="J64" s="62">
        <f>'дод 3 '!K104</f>
        <v>0</v>
      </c>
      <c r="K64" s="62">
        <f>'дод 3 '!L104</f>
        <v>0</v>
      </c>
      <c r="L64" s="62">
        <f>'дод 3 '!M104</f>
        <v>0</v>
      </c>
      <c r="M64" s="62">
        <f>'дод 3 '!N104</f>
        <v>0</v>
      </c>
      <c r="N64" s="62">
        <f>'дод 3 '!O104</f>
        <v>0</v>
      </c>
      <c r="O64" s="62">
        <f>'дод 3 '!P104</f>
        <v>2178000</v>
      </c>
      <c r="P64" s="146"/>
    </row>
    <row r="65" spans="1:16" s="84" customFormat="1" ht="55.5" customHeight="1" x14ac:dyDescent="0.25">
      <c r="A65" s="46" t="s">
        <v>337</v>
      </c>
      <c r="B65" s="46" t="s">
        <v>67</v>
      </c>
      <c r="C65" s="3" t="s">
        <v>366</v>
      </c>
      <c r="D65" s="62">
        <f>'дод 3 '!E105</f>
        <v>1892237</v>
      </c>
      <c r="E65" s="62">
        <f>'дод 3 '!F105</f>
        <v>1892237</v>
      </c>
      <c r="F65" s="62">
        <f>'дод 3 '!G105</f>
        <v>0</v>
      </c>
      <c r="G65" s="62">
        <f>'дод 3 '!H105</f>
        <v>0</v>
      </c>
      <c r="H65" s="62">
        <f>'дод 3 '!I105</f>
        <v>0</v>
      </c>
      <c r="I65" s="62">
        <f>'дод 3 '!J105</f>
        <v>0</v>
      </c>
      <c r="J65" s="62">
        <f>'дод 3 '!K105</f>
        <v>0</v>
      </c>
      <c r="K65" s="62">
        <f>'дод 3 '!L105</f>
        <v>0</v>
      </c>
      <c r="L65" s="62">
        <f>'дод 3 '!M105</f>
        <v>0</v>
      </c>
      <c r="M65" s="62">
        <f>'дод 3 '!N105</f>
        <v>0</v>
      </c>
      <c r="N65" s="62">
        <f>'дод 3 '!O105</f>
        <v>0</v>
      </c>
      <c r="O65" s="62">
        <f>'дод 3 '!P105</f>
        <v>1892237</v>
      </c>
      <c r="P65" s="146"/>
    </row>
    <row r="66" spans="1:16" ht="43.5" customHeight="1" x14ac:dyDescent="0.25">
      <c r="A66" s="46" t="s">
        <v>125</v>
      </c>
      <c r="B66" s="46" t="s">
        <v>71</v>
      </c>
      <c r="C66" s="3" t="s">
        <v>403</v>
      </c>
      <c r="D66" s="62">
        <f>'дод 3 '!E106</f>
        <v>86500</v>
      </c>
      <c r="E66" s="62">
        <f>'дод 3 '!F106</f>
        <v>86500</v>
      </c>
      <c r="F66" s="62">
        <f>'дод 3 '!G106</f>
        <v>0</v>
      </c>
      <c r="G66" s="62">
        <f>'дод 3 '!H106</f>
        <v>0</v>
      </c>
      <c r="H66" s="62">
        <f>'дод 3 '!I106</f>
        <v>0</v>
      </c>
      <c r="I66" s="62">
        <f>'дод 3 '!J106</f>
        <v>0</v>
      </c>
      <c r="J66" s="62">
        <f>'дод 3 '!K106</f>
        <v>0</v>
      </c>
      <c r="K66" s="62">
        <f>'дод 3 '!L106</f>
        <v>0</v>
      </c>
      <c r="L66" s="62">
        <f>'дод 3 '!M106</f>
        <v>0</v>
      </c>
      <c r="M66" s="62">
        <f>'дод 3 '!N106</f>
        <v>0</v>
      </c>
      <c r="N66" s="62">
        <f>'дод 3 '!O106</f>
        <v>0</v>
      </c>
      <c r="O66" s="62">
        <f>'дод 3 '!P106</f>
        <v>86500</v>
      </c>
      <c r="P66" s="146"/>
    </row>
    <row r="67" spans="1:16" ht="27.75" customHeight="1" x14ac:dyDescent="0.25">
      <c r="A67" s="46" t="s">
        <v>338</v>
      </c>
      <c r="B67" s="46" t="s">
        <v>126</v>
      </c>
      <c r="C67" s="3" t="s">
        <v>50</v>
      </c>
      <c r="D67" s="62">
        <f>'дод 3 '!E107+'дод 3 '!E130</f>
        <v>600000</v>
      </c>
      <c r="E67" s="62">
        <f>'дод 3 '!F107+'дод 3 '!F130</f>
        <v>600000</v>
      </c>
      <c r="F67" s="62">
        <f>'дод 3 '!G107+'дод 3 '!G130</f>
        <v>163935</v>
      </c>
      <c r="G67" s="62">
        <f>'дод 3 '!H107+'дод 3 '!H130</f>
        <v>0</v>
      </c>
      <c r="H67" s="62">
        <f>'дод 3 '!I107+'дод 3 '!I130</f>
        <v>0</v>
      </c>
      <c r="I67" s="62">
        <f>'дод 3 '!J107+'дод 3 '!J130</f>
        <v>0</v>
      </c>
      <c r="J67" s="62">
        <f>'дод 3 '!K107+'дод 3 '!K130</f>
        <v>0</v>
      </c>
      <c r="K67" s="62">
        <f>'дод 3 '!L107+'дод 3 '!L130</f>
        <v>0</v>
      </c>
      <c r="L67" s="62">
        <f>'дод 3 '!M107+'дод 3 '!M130</f>
        <v>0</v>
      </c>
      <c r="M67" s="62">
        <f>'дод 3 '!N107+'дод 3 '!N130</f>
        <v>0</v>
      </c>
      <c r="N67" s="62">
        <f>'дод 3 '!O107+'дод 3 '!O130</f>
        <v>0</v>
      </c>
      <c r="O67" s="62">
        <f>'дод 3 '!P107+'дод 3 '!P130</f>
        <v>600000</v>
      </c>
      <c r="P67" s="146"/>
    </row>
    <row r="68" spans="1:16" s="84" customFormat="1" ht="32.25" customHeight="1" x14ac:dyDescent="0.25">
      <c r="A68" s="46" t="s">
        <v>339</v>
      </c>
      <c r="B68" s="46" t="s">
        <v>71</v>
      </c>
      <c r="C68" s="3" t="s">
        <v>341</v>
      </c>
      <c r="D68" s="62">
        <f>'дод 3 '!E108+'дод 3 '!E22</f>
        <v>6644225</v>
      </c>
      <c r="E68" s="62">
        <f>'дод 3 '!F108+'дод 3 '!F22</f>
        <v>6644225</v>
      </c>
      <c r="F68" s="62">
        <f>'дод 3 '!G108+'дод 3 '!G22</f>
        <v>4196250</v>
      </c>
      <c r="G68" s="62">
        <f>'дод 3 '!H108+'дод 3 '!H22</f>
        <v>657930</v>
      </c>
      <c r="H68" s="62">
        <f>'дод 3 '!I108+'дод 3 '!I22</f>
        <v>0</v>
      </c>
      <c r="I68" s="62">
        <f>'дод 3 '!J108+'дод 3 '!J22</f>
        <v>740000</v>
      </c>
      <c r="J68" s="62">
        <f>'дод 3 '!K108+'дод 3 '!K22</f>
        <v>740000</v>
      </c>
      <c r="K68" s="62">
        <f>'дод 3 '!L108+'дод 3 '!L22</f>
        <v>0</v>
      </c>
      <c r="L68" s="62">
        <f>'дод 3 '!M108+'дод 3 '!M22</f>
        <v>0</v>
      </c>
      <c r="M68" s="62">
        <f>'дод 3 '!N108+'дод 3 '!N22</f>
        <v>0</v>
      </c>
      <c r="N68" s="62">
        <f>'дод 3 '!O108+'дод 3 '!O22</f>
        <v>740000</v>
      </c>
      <c r="O68" s="62">
        <f>'дод 3 '!P108+'дод 3 '!P22</f>
        <v>7384225</v>
      </c>
      <c r="P68" s="146"/>
    </row>
    <row r="69" spans="1:16" s="84" customFormat="1" ht="31.5" customHeight="1" x14ac:dyDescent="0.25">
      <c r="A69" s="46" t="s">
        <v>340</v>
      </c>
      <c r="B69" s="46" t="s">
        <v>71</v>
      </c>
      <c r="C69" s="3" t="s">
        <v>342</v>
      </c>
      <c r="D69" s="62">
        <f>'дод 3 '!E64+'дод 3 '!E109+'дод 3 '!E23</f>
        <v>33494726</v>
      </c>
      <c r="E69" s="62">
        <f>'дод 3 '!F64+'дод 3 '!F109+'дод 3 '!F23</f>
        <v>33494726</v>
      </c>
      <c r="F69" s="62">
        <f>'дод 3 '!G64+'дод 3 '!G109+'дод 3 '!G23</f>
        <v>0</v>
      </c>
      <c r="G69" s="62">
        <f>'дод 3 '!H64+'дод 3 '!H109+'дод 3 '!H23</f>
        <v>0</v>
      </c>
      <c r="H69" s="62">
        <f>'дод 3 '!I64+'дод 3 '!I109+'дод 3 '!I23</f>
        <v>0</v>
      </c>
      <c r="I69" s="62">
        <f>'дод 3 '!J64+'дод 3 '!J109+'дод 3 '!J23</f>
        <v>35640</v>
      </c>
      <c r="J69" s="62">
        <f>'дод 3 '!K64+'дод 3 '!K109+'дод 3 '!K23</f>
        <v>35640</v>
      </c>
      <c r="K69" s="62">
        <f>'дод 3 '!L64+'дод 3 '!L109+'дод 3 '!L23</f>
        <v>0</v>
      </c>
      <c r="L69" s="62">
        <f>'дод 3 '!M64+'дод 3 '!M109+'дод 3 '!M23</f>
        <v>0</v>
      </c>
      <c r="M69" s="62">
        <f>'дод 3 '!N64+'дод 3 '!N109+'дод 3 '!N23</f>
        <v>0</v>
      </c>
      <c r="N69" s="62">
        <f>'дод 3 '!O64+'дод 3 '!O109+'дод 3 '!O23</f>
        <v>35640</v>
      </c>
      <c r="O69" s="62">
        <f>'дод 3 '!P64+'дод 3 '!P109+'дод 3 '!P23</f>
        <v>33530366</v>
      </c>
      <c r="P69" s="146"/>
    </row>
    <row r="70" spans="1:16" s="82" customFormat="1" ht="19.5" customHeight="1" x14ac:dyDescent="0.25">
      <c r="A70" s="47" t="s">
        <v>90</v>
      </c>
      <c r="B70" s="50"/>
      <c r="C70" s="2" t="s">
        <v>91</v>
      </c>
      <c r="D70" s="61">
        <f t="shared" ref="D70:O70" si="6">D71+D72+D73+D74</f>
        <v>32140815</v>
      </c>
      <c r="E70" s="61">
        <f t="shared" si="6"/>
        <v>32140815</v>
      </c>
      <c r="F70" s="61">
        <f t="shared" si="6"/>
        <v>19079400</v>
      </c>
      <c r="G70" s="61">
        <f t="shared" si="6"/>
        <v>2209260</v>
      </c>
      <c r="H70" s="61">
        <f t="shared" si="6"/>
        <v>0</v>
      </c>
      <c r="I70" s="61">
        <f t="shared" si="6"/>
        <v>623495</v>
      </c>
      <c r="J70" s="61">
        <f t="shared" si="6"/>
        <v>587495</v>
      </c>
      <c r="K70" s="61">
        <f t="shared" si="6"/>
        <v>36000</v>
      </c>
      <c r="L70" s="61">
        <f t="shared" si="6"/>
        <v>12100</v>
      </c>
      <c r="M70" s="61">
        <f t="shared" si="6"/>
        <v>3300</v>
      </c>
      <c r="N70" s="61">
        <f t="shared" si="6"/>
        <v>587495</v>
      </c>
      <c r="O70" s="61">
        <f t="shared" si="6"/>
        <v>32764310</v>
      </c>
      <c r="P70" s="146"/>
    </row>
    <row r="71" spans="1:16" ht="22.5" customHeight="1" x14ac:dyDescent="0.25">
      <c r="A71" s="46" t="s">
        <v>92</v>
      </c>
      <c r="B71" s="46" t="s">
        <v>93</v>
      </c>
      <c r="C71" s="3" t="s">
        <v>21</v>
      </c>
      <c r="D71" s="62">
        <f>'дод 3 '!E120</f>
        <v>19287735</v>
      </c>
      <c r="E71" s="62">
        <f>'дод 3 '!F120</f>
        <v>19287735</v>
      </c>
      <c r="F71" s="62">
        <f>'дод 3 '!G120</f>
        <v>13804000</v>
      </c>
      <c r="G71" s="62">
        <f>'дод 3 '!H120</f>
        <v>1346200</v>
      </c>
      <c r="H71" s="62">
        <f>'дод 3 '!I120</f>
        <v>0</v>
      </c>
      <c r="I71" s="62">
        <f>'дод 3 '!J120</f>
        <v>346795</v>
      </c>
      <c r="J71" s="62">
        <f>'дод 3 '!K120</f>
        <v>316795</v>
      </c>
      <c r="K71" s="62">
        <f>'дод 3 '!L120</f>
        <v>30000</v>
      </c>
      <c r="L71" s="62">
        <f>'дод 3 '!M120</f>
        <v>12100</v>
      </c>
      <c r="M71" s="62">
        <f>'дод 3 '!N120</f>
        <v>0</v>
      </c>
      <c r="N71" s="62">
        <f>'дод 3 '!O120</f>
        <v>316795</v>
      </c>
      <c r="O71" s="62">
        <f>'дод 3 '!P120</f>
        <v>19634530</v>
      </c>
      <c r="P71" s="146"/>
    </row>
    <row r="72" spans="1:16" ht="33.75" customHeight="1" x14ac:dyDescent="0.25">
      <c r="A72" s="46" t="s">
        <v>376</v>
      </c>
      <c r="B72" s="46" t="s">
        <v>377</v>
      </c>
      <c r="C72" s="3" t="s">
        <v>378</v>
      </c>
      <c r="D72" s="62">
        <f>'дод 3 '!E24+'дод 3 '!E121</f>
        <v>5203480</v>
      </c>
      <c r="E72" s="62">
        <f>'дод 3 '!F24+'дод 3 '!F121</f>
        <v>5203480</v>
      </c>
      <c r="F72" s="62">
        <f>'дод 3 '!G24+'дод 3 '!G121</f>
        <v>2522400</v>
      </c>
      <c r="G72" s="62">
        <f>'дод 3 '!H24+'дод 3 '!H121</f>
        <v>738960</v>
      </c>
      <c r="H72" s="62">
        <f>'дод 3 '!I24+'дод 3 '!I121</f>
        <v>0</v>
      </c>
      <c r="I72" s="62">
        <f>'дод 3 '!J24+'дод 3 '!J121</f>
        <v>52700</v>
      </c>
      <c r="J72" s="62">
        <f>'дод 3 '!K24+'дод 3 '!K121</f>
        <v>46700</v>
      </c>
      <c r="K72" s="62">
        <f>'дод 3 '!L24+'дод 3 '!L121</f>
        <v>6000</v>
      </c>
      <c r="L72" s="62">
        <f>'дод 3 '!M24+'дод 3 '!M121</f>
        <v>0</v>
      </c>
      <c r="M72" s="62">
        <f>'дод 3 '!N24+'дод 3 '!N121</f>
        <v>3300</v>
      </c>
      <c r="N72" s="62">
        <f>'дод 3 '!O24+'дод 3 '!O121</f>
        <v>46700</v>
      </c>
      <c r="O72" s="62">
        <f>'дод 3 '!P24+'дод 3 '!P121</f>
        <v>5256180</v>
      </c>
      <c r="P72" s="146"/>
    </row>
    <row r="73" spans="1:16" s="84" customFormat="1" ht="39.75" customHeight="1" x14ac:dyDescent="0.25">
      <c r="A73" s="46" t="s">
        <v>343</v>
      </c>
      <c r="B73" s="46" t="s">
        <v>94</v>
      </c>
      <c r="C73" s="3" t="s">
        <v>404</v>
      </c>
      <c r="D73" s="62">
        <f>'дод 3 '!E25+'дод 3 '!E122</f>
        <v>4903900</v>
      </c>
      <c r="E73" s="62">
        <f>'дод 3 '!F25+'дод 3 '!F122</f>
        <v>4903900</v>
      </c>
      <c r="F73" s="62">
        <f>'дод 3 '!G25+'дод 3 '!G122</f>
        <v>2753000</v>
      </c>
      <c r="G73" s="62">
        <f>'дод 3 '!H25+'дод 3 '!H122</f>
        <v>124100</v>
      </c>
      <c r="H73" s="62">
        <f>'дод 3 '!I25+'дод 3 '!I122</f>
        <v>0</v>
      </c>
      <c r="I73" s="62">
        <f>'дод 3 '!J25+'дод 3 '!J122</f>
        <v>224000</v>
      </c>
      <c r="J73" s="62">
        <f>'дод 3 '!K25+'дод 3 '!K122</f>
        <v>224000</v>
      </c>
      <c r="K73" s="62">
        <f>'дод 3 '!L25+'дод 3 '!L122</f>
        <v>0</v>
      </c>
      <c r="L73" s="62">
        <f>'дод 3 '!M25+'дод 3 '!M122</f>
        <v>0</v>
      </c>
      <c r="M73" s="62">
        <f>'дод 3 '!N25+'дод 3 '!N122</f>
        <v>0</v>
      </c>
      <c r="N73" s="62">
        <f>'дод 3 '!O25+'дод 3 '!O122</f>
        <v>224000</v>
      </c>
      <c r="O73" s="62">
        <f>'дод 3 '!P25+'дод 3 '!P122</f>
        <v>5127900</v>
      </c>
      <c r="P73" s="146"/>
    </row>
    <row r="74" spans="1:16" s="84" customFormat="1" ht="30" customHeight="1" x14ac:dyDescent="0.25">
      <c r="A74" s="46" t="s">
        <v>344</v>
      </c>
      <c r="B74" s="46" t="s">
        <v>94</v>
      </c>
      <c r="C74" s="3" t="s">
        <v>345</v>
      </c>
      <c r="D74" s="62">
        <f>'дод 3 '!E26+'дод 3 '!E123</f>
        <v>2745700</v>
      </c>
      <c r="E74" s="62">
        <f>'дод 3 '!F26+'дод 3 '!F123</f>
        <v>2745700</v>
      </c>
      <c r="F74" s="62">
        <f>'дод 3 '!G26+'дод 3 '!G123</f>
        <v>0</v>
      </c>
      <c r="G74" s="62">
        <f>'дод 3 '!H26+'дод 3 '!H123</f>
        <v>0</v>
      </c>
      <c r="H74" s="62">
        <f>'дод 3 '!I26+'дод 3 '!I123</f>
        <v>0</v>
      </c>
      <c r="I74" s="62">
        <f>'дод 3 '!J26+'дод 3 '!J123</f>
        <v>0</v>
      </c>
      <c r="J74" s="62">
        <f>'дод 3 '!K26+'дод 3 '!K123</f>
        <v>0</v>
      </c>
      <c r="K74" s="62">
        <f>'дод 3 '!L26+'дод 3 '!L123</f>
        <v>0</v>
      </c>
      <c r="L74" s="62">
        <f>'дод 3 '!M26+'дод 3 '!M123</f>
        <v>0</v>
      </c>
      <c r="M74" s="62">
        <f>'дод 3 '!N26+'дод 3 '!N123</f>
        <v>0</v>
      </c>
      <c r="N74" s="62">
        <f>'дод 3 '!O26+'дод 3 '!O123</f>
        <v>0</v>
      </c>
      <c r="O74" s="62">
        <f>'дод 3 '!P26+'дод 3 '!P123</f>
        <v>2745700</v>
      </c>
      <c r="P74" s="146"/>
    </row>
    <row r="75" spans="1:16" s="82" customFormat="1" ht="21.75" customHeight="1" x14ac:dyDescent="0.25">
      <c r="A75" s="47" t="s">
        <v>97</v>
      </c>
      <c r="B75" s="50"/>
      <c r="C75" s="2" t="s">
        <v>98</v>
      </c>
      <c r="D75" s="61">
        <f t="shared" ref="D75:O75" si="7">D76+D77+D78+D79+D80+D81</f>
        <v>45771470</v>
      </c>
      <c r="E75" s="61">
        <f t="shared" si="7"/>
        <v>45771470</v>
      </c>
      <c r="F75" s="61">
        <f t="shared" si="7"/>
        <v>17286800</v>
      </c>
      <c r="G75" s="61">
        <f t="shared" si="7"/>
        <v>1430790</v>
      </c>
      <c r="H75" s="61">
        <f t="shared" si="7"/>
        <v>0</v>
      </c>
      <c r="I75" s="61">
        <f t="shared" si="7"/>
        <v>2422120</v>
      </c>
      <c r="J75" s="61">
        <f t="shared" si="7"/>
        <v>2243000</v>
      </c>
      <c r="K75" s="61">
        <f t="shared" si="7"/>
        <v>179120</v>
      </c>
      <c r="L75" s="61">
        <f t="shared" si="7"/>
        <v>91105</v>
      </c>
      <c r="M75" s="61">
        <f t="shared" si="7"/>
        <v>51050</v>
      </c>
      <c r="N75" s="61">
        <f t="shared" si="7"/>
        <v>2243000</v>
      </c>
      <c r="O75" s="61">
        <f t="shared" si="7"/>
        <v>48193590</v>
      </c>
      <c r="P75" s="146"/>
    </row>
    <row r="76" spans="1:16" s="84" customFormat="1" ht="43.5" customHeight="1" x14ac:dyDescent="0.25">
      <c r="A76" s="46" t="s">
        <v>99</v>
      </c>
      <c r="B76" s="46" t="s">
        <v>100</v>
      </c>
      <c r="C76" s="3" t="s">
        <v>29</v>
      </c>
      <c r="D76" s="62">
        <f>'дод 3 '!E27</f>
        <v>1750000</v>
      </c>
      <c r="E76" s="62">
        <f>'дод 3 '!F27</f>
        <v>1750000</v>
      </c>
      <c r="F76" s="62">
        <f>'дод 3 '!G27</f>
        <v>0</v>
      </c>
      <c r="G76" s="62">
        <f>'дод 3 '!H27</f>
        <v>0</v>
      </c>
      <c r="H76" s="62">
        <f>'дод 3 '!I27</f>
        <v>0</v>
      </c>
      <c r="I76" s="62">
        <f>'дод 3 '!J27</f>
        <v>0</v>
      </c>
      <c r="J76" s="62">
        <f>'дод 3 '!K27</f>
        <v>0</v>
      </c>
      <c r="K76" s="62">
        <f>'дод 3 '!L27</f>
        <v>0</v>
      </c>
      <c r="L76" s="62">
        <f>'дод 3 '!M27</f>
        <v>0</v>
      </c>
      <c r="M76" s="62">
        <f>'дод 3 '!N27</f>
        <v>0</v>
      </c>
      <c r="N76" s="62">
        <f>'дод 3 '!O27</f>
        <v>0</v>
      </c>
      <c r="O76" s="62">
        <f>'дод 3 '!P27</f>
        <v>1750000</v>
      </c>
      <c r="P76" s="146"/>
    </row>
    <row r="77" spans="1:16" s="84" customFormat="1" ht="39.75" customHeight="1" x14ac:dyDescent="0.25">
      <c r="A77" s="46" t="s">
        <v>101</v>
      </c>
      <c r="B77" s="46" t="s">
        <v>100</v>
      </c>
      <c r="C77" s="3" t="s">
        <v>22</v>
      </c>
      <c r="D77" s="62">
        <f>'дод 3 '!E28</f>
        <v>2177000</v>
      </c>
      <c r="E77" s="62">
        <f>'дод 3 '!F28</f>
        <v>2177000</v>
      </c>
      <c r="F77" s="62">
        <f>'дод 3 '!G28</f>
        <v>0</v>
      </c>
      <c r="G77" s="62">
        <f>'дод 3 '!H28</f>
        <v>0</v>
      </c>
      <c r="H77" s="62">
        <f>'дод 3 '!I28</f>
        <v>0</v>
      </c>
      <c r="I77" s="62">
        <f>'дод 3 '!J28</f>
        <v>0</v>
      </c>
      <c r="J77" s="62">
        <f>'дод 3 '!K28</f>
        <v>0</v>
      </c>
      <c r="K77" s="62">
        <f>'дод 3 '!L28</f>
        <v>0</v>
      </c>
      <c r="L77" s="62">
        <f>'дод 3 '!M28</f>
        <v>0</v>
      </c>
      <c r="M77" s="62">
        <f>'дод 3 '!N28</f>
        <v>0</v>
      </c>
      <c r="N77" s="62">
        <f>'дод 3 '!O28</f>
        <v>0</v>
      </c>
      <c r="O77" s="62">
        <f>'дод 3 '!P28</f>
        <v>2177000</v>
      </c>
      <c r="P77" s="146"/>
    </row>
    <row r="78" spans="1:16" s="84" customFormat="1" ht="36.75" customHeight="1" x14ac:dyDescent="0.25">
      <c r="A78" s="46" t="s">
        <v>137</v>
      </c>
      <c r="B78" s="46" t="s">
        <v>100</v>
      </c>
      <c r="C78" s="3" t="s">
        <v>30</v>
      </c>
      <c r="D78" s="62">
        <f>'дод 3 '!E65+'дод 3 '!E29</f>
        <v>19929330</v>
      </c>
      <c r="E78" s="62">
        <f>'дод 3 '!F65+'дод 3 '!F29</f>
        <v>19929330</v>
      </c>
      <c r="F78" s="62">
        <f>'дод 3 '!G65+'дод 3 '!G29</f>
        <v>14839900</v>
      </c>
      <c r="G78" s="62">
        <f>'дод 3 '!H65+'дод 3 '!H29</f>
        <v>1060690</v>
      </c>
      <c r="H78" s="62">
        <f>'дод 3 '!I65+'дод 3 '!I29</f>
        <v>0</v>
      </c>
      <c r="I78" s="62">
        <f>'дод 3 '!J65+'дод 3 '!J29</f>
        <v>1250000</v>
      </c>
      <c r="J78" s="62">
        <f>'дод 3 '!K65+'дод 3 '!K29</f>
        <v>1250000</v>
      </c>
      <c r="K78" s="62">
        <f>'дод 3 '!L65+'дод 3 '!L29</f>
        <v>0</v>
      </c>
      <c r="L78" s="62">
        <f>'дод 3 '!M65+'дод 3 '!M29</f>
        <v>0</v>
      </c>
      <c r="M78" s="62">
        <f>'дод 3 '!N65+'дод 3 '!N29</f>
        <v>0</v>
      </c>
      <c r="N78" s="62">
        <f>'дод 3 '!O65+'дод 3 '!O29</f>
        <v>1250000</v>
      </c>
      <c r="O78" s="62">
        <f>'дод 3 '!P65+'дод 3 '!P29</f>
        <v>21179330</v>
      </c>
      <c r="P78" s="146"/>
    </row>
    <row r="79" spans="1:16" s="84" customFormat="1" ht="31.5" customHeight="1" x14ac:dyDescent="0.25">
      <c r="A79" s="46" t="s">
        <v>138</v>
      </c>
      <c r="B79" s="46" t="s">
        <v>100</v>
      </c>
      <c r="C79" s="3" t="s">
        <v>31</v>
      </c>
      <c r="D79" s="62">
        <f>'дод 3 '!E30</f>
        <v>11163630</v>
      </c>
      <c r="E79" s="62">
        <f>'дод 3 '!F30</f>
        <v>11163630</v>
      </c>
      <c r="F79" s="62">
        <f>'дод 3 '!G30</f>
        <v>0</v>
      </c>
      <c r="G79" s="62">
        <f>'дод 3 '!H30</f>
        <v>0</v>
      </c>
      <c r="H79" s="62">
        <f>'дод 3 '!I30</f>
        <v>0</v>
      </c>
      <c r="I79" s="62">
        <f>'дод 3 '!J30</f>
        <v>93000</v>
      </c>
      <c r="J79" s="62">
        <f>'дод 3 '!K30</f>
        <v>93000</v>
      </c>
      <c r="K79" s="62">
        <f>'дод 3 '!L30</f>
        <v>0</v>
      </c>
      <c r="L79" s="62">
        <f>'дод 3 '!M30</f>
        <v>0</v>
      </c>
      <c r="M79" s="62">
        <f>'дод 3 '!N30</f>
        <v>0</v>
      </c>
      <c r="N79" s="62">
        <f>'дод 3 '!O30</f>
        <v>93000</v>
      </c>
      <c r="O79" s="62">
        <f>'дод 3 '!P30</f>
        <v>11256630</v>
      </c>
      <c r="P79" s="146"/>
    </row>
    <row r="80" spans="1:16" s="84" customFormat="1" ht="60" customHeight="1" x14ac:dyDescent="0.25">
      <c r="A80" s="46" t="s">
        <v>133</v>
      </c>
      <c r="B80" s="46" t="s">
        <v>100</v>
      </c>
      <c r="C80" s="3" t="s">
        <v>134</v>
      </c>
      <c r="D80" s="62">
        <f>'дод 3 '!E31</f>
        <v>3943120</v>
      </c>
      <c r="E80" s="62">
        <f>'дод 3 '!F31</f>
        <v>3943120</v>
      </c>
      <c r="F80" s="62">
        <f>'дод 3 '!G31</f>
        <v>2446900</v>
      </c>
      <c r="G80" s="62">
        <f>'дод 3 '!H31</f>
        <v>370100</v>
      </c>
      <c r="H80" s="62">
        <f>'дод 3 '!I31</f>
        <v>0</v>
      </c>
      <c r="I80" s="62">
        <f>'дод 3 '!J31</f>
        <v>1079120</v>
      </c>
      <c r="J80" s="62">
        <f>'дод 3 '!K31</f>
        <v>900000</v>
      </c>
      <c r="K80" s="62">
        <f>'дод 3 '!L31</f>
        <v>179120</v>
      </c>
      <c r="L80" s="62">
        <f>'дод 3 '!M31</f>
        <v>91105</v>
      </c>
      <c r="M80" s="62">
        <f>'дод 3 '!N31</f>
        <v>51050</v>
      </c>
      <c r="N80" s="62">
        <f>'дод 3 '!O31</f>
        <v>900000</v>
      </c>
      <c r="O80" s="62">
        <f>'дод 3 '!P31</f>
        <v>5022240</v>
      </c>
      <c r="P80" s="146">
        <v>23</v>
      </c>
    </row>
    <row r="81" spans="1:16" s="84" customFormat="1" ht="42" customHeight="1" x14ac:dyDescent="0.25">
      <c r="A81" s="46" t="s">
        <v>136</v>
      </c>
      <c r="B81" s="46" t="s">
        <v>100</v>
      </c>
      <c r="C81" s="3" t="s">
        <v>135</v>
      </c>
      <c r="D81" s="62">
        <f>'дод 3 '!E32</f>
        <v>6808390</v>
      </c>
      <c r="E81" s="62">
        <f>'дод 3 '!F32</f>
        <v>6808390</v>
      </c>
      <c r="F81" s="62">
        <f>'дод 3 '!G32</f>
        <v>0</v>
      </c>
      <c r="G81" s="62">
        <f>'дод 3 '!H32</f>
        <v>0</v>
      </c>
      <c r="H81" s="62">
        <f>'дод 3 '!I32</f>
        <v>0</v>
      </c>
      <c r="I81" s="62">
        <f>'дод 3 '!J32</f>
        <v>0</v>
      </c>
      <c r="J81" s="62">
        <f>'дод 3 '!K32</f>
        <v>0</v>
      </c>
      <c r="K81" s="62">
        <f>'дод 3 '!L32</f>
        <v>0</v>
      </c>
      <c r="L81" s="62">
        <f>'дод 3 '!M32</f>
        <v>0</v>
      </c>
      <c r="M81" s="62">
        <f>'дод 3 '!N32</f>
        <v>0</v>
      </c>
      <c r="N81" s="62">
        <f>'дод 3 '!O32</f>
        <v>0</v>
      </c>
      <c r="O81" s="62">
        <f>'дод 3 '!P32</f>
        <v>6808390</v>
      </c>
      <c r="P81" s="146"/>
    </row>
    <row r="82" spans="1:16" s="82" customFormat="1" ht="27" customHeight="1" x14ac:dyDescent="0.25">
      <c r="A82" s="47" t="s">
        <v>85</v>
      </c>
      <c r="B82" s="50"/>
      <c r="C82" s="2" t="s">
        <v>86</v>
      </c>
      <c r="D82" s="61">
        <f>D83+D84+D85+D86+D87+D88+D89+D90</f>
        <v>246915222.95999998</v>
      </c>
      <c r="E82" s="61">
        <f t="shared" ref="E82:O82" si="8">E83+E84+E85+E86+E87+E88+E89+E90</f>
        <v>213730784.95999998</v>
      </c>
      <c r="F82" s="61">
        <f t="shared" si="8"/>
        <v>0</v>
      </c>
      <c r="G82" s="61">
        <f t="shared" si="8"/>
        <v>27913306</v>
      </c>
      <c r="H82" s="61">
        <f t="shared" si="8"/>
        <v>33184438</v>
      </c>
      <c r="I82" s="61">
        <f t="shared" si="8"/>
        <v>135800383.25999999</v>
      </c>
      <c r="J82" s="61">
        <f t="shared" si="8"/>
        <v>135642680.19999999</v>
      </c>
      <c r="K82" s="61">
        <f t="shared" si="8"/>
        <v>0</v>
      </c>
      <c r="L82" s="61">
        <f t="shared" si="8"/>
        <v>0</v>
      </c>
      <c r="M82" s="61">
        <f t="shared" si="8"/>
        <v>0</v>
      </c>
      <c r="N82" s="61">
        <f t="shared" si="8"/>
        <v>135800383.25999999</v>
      </c>
      <c r="O82" s="61">
        <f t="shared" si="8"/>
        <v>382715606.22000003</v>
      </c>
      <c r="P82" s="146"/>
    </row>
    <row r="83" spans="1:16" s="84" customFormat="1" ht="33.75" customHeight="1" x14ac:dyDescent="0.25">
      <c r="A83" s="46" t="s">
        <v>155</v>
      </c>
      <c r="B83" s="46" t="s">
        <v>87</v>
      </c>
      <c r="C83" s="3" t="s">
        <v>156</v>
      </c>
      <c r="D83" s="62">
        <f>'дод 3 '!E131</f>
        <v>0</v>
      </c>
      <c r="E83" s="62">
        <f>'дод 3 '!F131</f>
        <v>0</v>
      </c>
      <c r="F83" s="62">
        <f>'дод 3 '!G131</f>
        <v>0</v>
      </c>
      <c r="G83" s="62">
        <f>'дод 3 '!H131</f>
        <v>0</v>
      </c>
      <c r="H83" s="62">
        <f>'дод 3 '!I131</f>
        <v>0</v>
      </c>
      <c r="I83" s="62">
        <f>'дод 3 '!J131</f>
        <v>10459562.93</v>
      </c>
      <c r="J83" s="62">
        <f>'дод 3 '!K131</f>
        <v>10429562.93</v>
      </c>
      <c r="K83" s="62">
        <f>'дод 3 '!L131</f>
        <v>0</v>
      </c>
      <c r="L83" s="62">
        <f>'дод 3 '!M131</f>
        <v>0</v>
      </c>
      <c r="M83" s="62">
        <f>'дод 3 '!N131</f>
        <v>0</v>
      </c>
      <c r="N83" s="62">
        <f>'дод 3 '!O131</f>
        <v>10459562.93</v>
      </c>
      <c r="O83" s="62">
        <f>'дод 3 '!P131</f>
        <v>10459562.93</v>
      </c>
      <c r="P83" s="146"/>
    </row>
    <row r="84" spans="1:16" s="84" customFormat="1" ht="36.75" customHeight="1" x14ac:dyDescent="0.25">
      <c r="A84" s="46" t="s">
        <v>157</v>
      </c>
      <c r="B84" s="46" t="s">
        <v>89</v>
      </c>
      <c r="C84" s="3" t="s">
        <v>178</v>
      </c>
      <c r="D84" s="62">
        <f>'дод 3 '!E132</f>
        <v>30925000</v>
      </c>
      <c r="E84" s="62">
        <f>'дод 3 '!F132</f>
        <v>425000</v>
      </c>
      <c r="F84" s="62">
        <f>'дод 3 '!G132</f>
        <v>0</v>
      </c>
      <c r="G84" s="62">
        <f>'дод 3 '!H132</f>
        <v>0</v>
      </c>
      <c r="H84" s="62">
        <f>'дод 3 '!I132</f>
        <v>30500000</v>
      </c>
      <c r="I84" s="62">
        <f>'дод 3 '!J132</f>
        <v>1721000</v>
      </c>
      <c r="J84" s="62">
        <f>'дод 3 '!K132</f>
        <v>1721000</v>
      </c>
      <c r="K84" s="62">
        <f>'дод 3 '!L132</f>
        <v>0</v>
      </c>
      <c r="L84" s="62">
        <f>'дод 3 '!M132</f>
        <v>0</v>
      </c>
      <c r="M84" s="62">
        <f>'дод 3 '!N132</f>
        <v>0</v>
      </c>
      <c r="N84" s="62">
        <f>'дод 3 '!O132</f>
        <v>1721000</v>
      </c>
      <c r="O84" s="62">
        <f>'дод 3 '!P132</f>
        <v>32646000</v>
      </c>
      <c r="P84" s="146"/>
    </row>
    <row r="85" spans="1:16" s="84" customFormat="1" ht="36.75" customHeight="1" x14ac:dyDescent="0.25">
      <c r="A85" s="49" t="s">
        <v>302</v>
      </c>
      <c r="B85" s="49" t="s">
        <v>89</v>
      </c>
      <c r="C85" s="3" t="s">
        <v>303</v>
      </c>
      <c r="D85" s="62">
        <f>'дод 3 '!E133</f>
        <v>193887</v>
      </c>
      <c r="E85" s="62">
        <f>'дод 3 '!F133</f>
        <v>193887</v>
      </c>
      <c r="F85" s="62">
        <f>'дод 3 '!G133</f>
        <v>0</v>
      </c>
      <c r="G85" s="62">
        <f>'дод 3 '!H133</f>
        <v>0</v>
      </c>
      <c r="H85" s="62">
        <f>'дод 3 '!I133</f>
        <v>0</v>
      </c>
      <c r="I85" s="62">
        <f>'дод 3 '!J133</f>
        <v>13408448.83</v>
      </c>
      <c r="J85" s="62">
        <f>'дод 3 '!K133</f>
        <v>13358448.83</v>
      </c>
      <c r="K85" s="62">
        <f>'дод 3 '!L133</f>
        <v>0</v>
      </c>
      <c r="L85" s="62">
        <f>'дод 3 '!M133</f>
        <v>0</v>
      </c>
      <c r="M85" s="62">
        <f>'дод 3 '!N133</f>
        <v>0</v>
      </c>
      <c r="N85" s="62">
        <f>'дод 3 '!O133</f>
        <v>13408448.83</v>
      </c>
      <c r="O85" s="62">
        <f>'дод 3 '!P133</f>
        <v>13602335.83</v>
      </c>
      <c r="P85" s="146"/>
    </row>
    <row r="86" spans="1:16" s="84" customFormat="1" ht="33" customHeight="1" x14ac:dyDescent="0.25">
      <c r="A86" s="46" t="s">
        <v>305</v>
      </c>
      <c r="B86" s="46" t="s">
        <v>89</v>
      </c>
      <c r="C86" s="3" t="s">
        <v>405</v>
      </c>
      <c r="D86" s="62">
        <f>'дод 3 '!E134</f>
        <v>100000</v>
      </c>
      <c r="E86" s="62">
        <f>'дод 3 '!F134</f>
        <v>100000</v>
      </c>
      <c r="F86" s="62">
        <f>'дод 3 '!G134</f>
        <v>0</v>
      </c>
      <c r="G86" s="62">
        <f>'дод 3 '!H134</f>
        <v>0</v>
      </c>
      <c r="H86" s="62">
        <f>'дод 3 '!I134</f>
        <v>0</v>
      </c>
      <c r="I86" s="62">
        <f>'дод 3 '!J134</f>
        <v>0</v>
      </c>
      <c r="J86" s="62">
        <f>'дод 3 '!K134</f>
        <v>0</v>
      </c>
      <c r="K86" s="62">
        <f>'дод 3 '!L134</f>
        <v>0</v>
      </c>
      <c r="L86" s="62">
        <f>'дод 3 '!M134</f>
        <v>0</v>
      </c>
      <c r="M86" s="62">
        <f>'дод 3 '!N134</f>
        <v>0</v>
      </c>
      <c r="N86" s="62">
        <f>'дод 3 '!O134</f>
        <v>0</v>
      </c>
      <c r="O86" s="62">
        <f>'дод 3 '!P134</f>
        <v>100000</v>
      </c>
      <c r="P86" s="146"/>
    </row>
    <row r="87" spans="1:16" s="84" customFormat="1" ht="52.5" customHeight="1" x14ac:dyDescent="0.25">
      <c r="A87" s="46" t="s">
        <v>88</v>
      </c>
      <c r="B87" s="46" t="s">
        <v>89</v>
      </c>
      <c r="C87" s="3" t="s">
        <v>160</v>
      </c>
      <c r="D87" s="62">
        <f>'дод 3 '!E135</f>
        <v>2595232</v>
      </c>
      <c r="E87" s="62">
        <f>'дод 3 '!F135</f>
        <v>0</v>
      </c>
      <c r="F87" s="62">
        <f>'дод 3 '!G135</f>
        <v>0</v>
      </c>
      <c r="G87" s="62">
        <f>'дод 3 '!H135</f>
        <v>0</v>
      </c>
      <c r="H87" s="62">
        <f>'дод 3 '!I135</f>
        <v>2595232</v>
      </c>
      <c r="I87" s="62">
        <f>'дод 3 '!J135</f>
        <v>0</v>
      </c>
      <c r="J87" s="62">
        <f>'дод 3 '!K135</f>
        <v>0</v>
      </c>
      <c r="K87" s="62">
        <f>'дод 3 '!L135</f>
        <v>0</v>
      </c>
      <c r="L87" s="62">
        <f>'дод 3 '!M135</f>
        <v>0</v>
      </c>
      <c r="M87" s="62">
        <f>'дод 3 '!N135</f>
        <v>0</v>
      </c>
      <c r="N87" s="62">
        <f>'дод 3 '!O135</f>
        <v>0</v>
      </c>
      <c r="O87" s="62">
        <f>'дод 3 '!P135</f>
        <v>2595232</v>
      </c>
      <c r="P87" s="146"/>
    </row>
    <row r="88" spans="1:16" ht="30" customHeight="1" x14ac:dyDescent="0.25">
      <c r="A88" s="46" t="s">
        <v>158</v>
      </c>
      <c r="B88" s="46" t="s">
        <v>89</v>
      </c>
      <c r="C88" s="3" t="s">
        <v>159</v>
      </c>
      <c r="D88" s="62">
        <f>'дод 3 '!E136+'дод 3 '!E156</f>
        <v>190960547.56999999</v>
      </c>
      <c r="E88" s="62">
        <f>'дод 3 '!F136+'дод 3 '!F156</f>
        <v>190960547.56999999</v>
      </c>
      <c r="F88" s="62">
        <f>'дод 3 '!G136+'дод 3 '!G156</f>
        <v>0</v>
      </c>
      <c r="G88" s="62">
        <f>'дод 3 '!H136+'дод 3 '!H156</f>
        <v>27870906</v>
      </c>
      <c r="H88" s="62">
        <f>'дод 3 '!I136+'дод 3 '!I156</f>
        <v>0</v>
      </c>
      <c r="I88" s="62">
        <f>'дод 3 '!J136+'дод 3 '!J156</f>
        <v>100174304.15000001</v>
      </c>
      <c r="J88" s="62">
        <f>'дод 3 '!K136+'дод 3 '!K156</f>
        <v>100174304.15000001</v>
      </c>
      <c r="K88" s="62">
        <f>'дод 3 '!L136+'дод 3 '!L156</f>
        <v>0</v>
      </c>
      <c r="L88" s="62">
        <f>'дод 3 '!M136+'дод 3 '!M156</f>
        <v>0</v>
      </c>
      <c r="M88" s="62">
        <f>'дод 3 '!N136+'дод 3 '!N156</f>
        <v>0</v>
      </c>
      <c r="N88" s="62">
        <f>'дод 3 '!O136+'дод 3 '!O156</f>
        <v>100174304.15000001</v>
      </c>
      <c r="O88" s="62">
        <f>'дод 3 '!P136+'дод 3 '!P156</f>
        <v>291134851.72000003</v>
      </c>
      <c r="P88" s="146"/>
    </row>
    <row r="89" spans="1:16" s="84" customFormat="1" ht="57" customHeight="1" x14ac:dyDescent="0.25">
      <c r="A89" s="46" t="s">
        <v>162</v>
      </c>
      <c r="B89" s="51" t="s">
        <v>87</v>
      </c>
      <c r="C89" s="3" t="s">
        <v>163</v>
      </c>
      <c r="D89" s="62">
        <f>'дод 3 '!E157</f>
        <v>84906</v>
      </c>
      <c r="E89" s="62">
        <f>'дод 3 '!F157</f>
        <v>0</v>
      </c>
      <c r="F89" s="62">
        <f>'дод 3 '!G157</f>
        <v>0</v>
      </c>
      <c r="G89" s="62">
        <f>'дод 3 '!H157</f>
        <v>0</v>
      </c>
      <c r="H89" s="62">
        <f>'дод 3 '!I157</f>
        <v>84906</v>
      </c>
      <c r="I89" s="62">
        <f>'дод 3 '!J157</f>
        <v>77703.06</v>
      </c>
      <c r="J89" s="62">
        <f>'дод 3 '!K157</f>
        <v>0</v>
      </c>
      <c r="K89" s="62">
        <f>'дод 3 '!L157</f>
        <v>0</v>
      </c>
      <c r="L89" s="62">
        <f>'дод 3 '!M157</f>
        <v>0</v>
      </c>
      <c r="M89" s="62">
        <f>'дод 3 '!N157</f>
        <v>0</v>
      </c>
      <c r="N89" s="62">
        <f>'дод 3 '!O157</f>
        <v>77703.06</v>
      </c>
      <c r="O89" s="62">
        <f>'дод 3 '!P157</f>
        <v>162609.06</v>
      </c>
      <c r="P89" s="146"/>
    </row>
    <row r="90" spans="1:16" ht="39.75" customHeight="1" x14ac:dyDescent="0.25">
      <c r="A90" s="46" t="s">
        <v>172</v>
      </c>
      <c r="B90" s="51" t="s">
        <v>364</v>
      </c>
      <c r="C90" s="3" t="s">
        <v>173</v>
      </c>
      <c r="D90" s="62">
        <f>'дод 3 '!E137+'дод 3 '!E170</f>
        <v>22055650.390000001</v>
      </c>
      <c r="E90" s="62">
        <f>'дод 3 '!F137+'дод 3 '!F170</f>
        <v>22051350.390000001</v>
      </c>
      <c r="F90" s="62">
        <f>'дод 3 '!G137+'дод 3 '!G170</f>
        <v>0</v>
      </c>
      <c r="G90" s="62">
        <f>'дод 3 '!H137+'дод 3 '!H170</f>
        <v>42400</v>
      </c>
      <c r="H90" s="62">
        <f>'дод 3 '!I137+'дод 3 '!I170</f>
        <v>4300</v>
      </c>
      <c r="I90" s="62">
        <f>'дод 3 '!J137+'дод 3 '!J170</f>
        <v>9959364.2899999991</v>
      </c>
      <c r="J90" s="62">
        <f>'дод 3 '!K137+'дод 3 '!K170</f>
        <v>9959364.2899999991</v>
      </c>
      <c r="K90" s="62">
        <f>'дод 3 '!L137+'дод 3 '!L170</f>
        <v>0</v>
      </c>
      <c r="L90" s="62">
        <f>'дод 3 '!M137+'дод 3 '!M170</f>
        <v>0</v>
      </c>
      <c r="M90" s="62">
        <f>'дод 3 '!N137+'дод 3 '!N170</f>
        <v>0</v>
      </c>
      <c r="N90" s="62">
        <f>'дод 3 '!O137+'дод 3 '!O170</f>
        <v>9959364.2899999991</v>
      </c>
      <c r="O90" s="62">
        <f>'дод 3 '!P137+'дод 3 '!P170</f>
        <v>32015014.68</v>
      </c>
      <c r="P90" s="146"/>
    </row>
    <row r="91" spans="1:16" s="82" customFormat="1" ht="29.25" customHeight="1" x14ac:dyDescent="0.25">
      <c r="A91" s="47" t="s">
        <v>164</v>
      </c>
      <c r="B91" s="50"/>
      <c r="C91" s="2" t="s">
        <v>165</v>
      </c>
      <c r="D91" s="61">
        <f>D93+D95+D107+D109+D111+D120</f>
        <v>32746667</v>
      </c>
      <c r="E91" s="61">
        <f t="shared" ref="E91:O91" si="9">E93+E95+E107+E109+E111+E120</f>
        <v>20929667</v>
      </c>
      <c r="F91" s="61">
        <f t="shared" si="9"/>
        <v>0</v>
      </c>
      <c r="G91" s="61">
        <f t="shared" si="9"/>
        <v>0</v>
      </c>
      <c r="H91" s="61">
        <f t="shared" si="9"/>
        <v>11817000</v>
      </c>
      <c r="I91" s="61">
        <f>I93+I95+I107+I109+I111+I120</f>
        <v>264734465.25999999</v>
      </c>
      <c r="J91" s="61">
        <f t="shared" si="9"/>
        <v>250225333.13</v>
      </c>
      <c r="K91" s="61">
        <f t="shared" si="9"/>
        <v>2621363.0100000002</v>
      </c>
      <c r="L91" s="61">
        <f t="shared" si="9"/>
        <v>0</v>
      </c>
      <c r="M91" s="61">
        <f t="shared" si="9"/>
        <v>0</v>
      </c>
      <c r="N91" s="61">
        <f t="shared" si="9"/>
        <v>262113102.25</v>
      </c>
      <c r="O91" s="61">
        <f t="shared" si="9"/>
        <v>297481132.25999999</v>
      </c>
      <c r="P91" s="146"/>
    </row>
    <row r="92" spans="1:16" s="82" customFormat="1" ht="18.75" customHeight="1" x14ac:dyDescent="0.25">
      <c r="A92" s="47"/>
      <c r="B92" s="50"/>
      <c r="C92" s="2" t="s">
        <v>308</v>
      </c>
      <c r="D92" s="61">
        <f>D96</f>
        <v>0</v>
      </c>
      <c r="E92" s="61">
        <f t="shared" ref="E92:O92" si="10">E96</f>
        <v>0</v>
      </c>
      <c r="F92" s="61">
        <f t="shared" si="10"/>
        <v>0</v>
      </c>
      <c r="G92" s="61">
        <f t="shared" si="10"/>
        <v>0</v>
      </c>
      <c r="H92" s="61">
        <f t="shared" si="10"/>
        <v>0</v>
      </c>
      <c r="I92" s="61">
        <f t="shared" si="10"/>
        <v>1187498.93</v>
      </c>
      <c r="J92" s="61">
        <f t="shared" si="10"/>
        <v>1187498.93</v>
      </c>
      <c r="K92" s="61">
        <f t="shared" si="10"/>
        <v>0</v>
      </c>
      <c r="L92" s="61">
        <f t="shared" si="10"/>
        <v>0</v>
      </c>
      <c r="M92" s="61">
        <f t="shared" si="10"/>
        <v>0</v>
      </c>
      <c r="N92" s="61">
        <f t="shared" si="10"/>
        <v>1187498.93</v>
      </c>
      <c r="O92" s="61">
        <f t="shared" si="10"/>
        <v>1187498.93</v>
      </c>
      <c r="P92" s="146"/>
    </row>
    <row r="93" spans="1:16" s="82" customFormat="1" x14ac:dyDescent="0.25">
      <c r="A93" s="47" t="s">
        <v>174</v>
      </c>
      <c r="B93" s="50"/>
      <c r="C93" s="2" t="s">
        <v>175</v>
      </c>
      <c r="D93" s="61">
        <f t="shared" ref="D93:O93" si="11">D94</f>
        <v>700000</v>
      </c>
      <c r="E93" s="61">
        <f t="shared" si="11"/>
        <v>700000</v>
      </c>
      <c r="F93" s="61">
        <f t="shared" si="11"/>
        <v>0</v>
      </c>
      <c r="G93" s="61">
        <f t="shared" si="11"/>
        <v>0</v>
      </c>
      <c r="H93" s="61">
        <f t="shared" si="11"/>
        <v>0</v>
      </c>
      <c r="I93" s="61">
        <f t="shared" si="11"/>
        <v>0</v>
      </c>
      <c r="J93" s="61">
        <f t="shared" si="11"/>
        <v>0</v>
      </c>
      <c r="K93" s="61">
        <f t="shared" si="11"/>
        <v>0</v>
      </c>
      <c r="L93" s="61">
        <f t="shared" si="11"/>
        <v>0</v>
      </c>
      <c r="M93" s="61">
        <f t="shared" si="11"/>
        <v>0</v>
      </c>
      <c r="N93" s="61">
        <f t="shared" si="11"/>
        <v>0</v>
      </c>
      <c r="O93" s="61">
        <f t="shared" si="11"/>
        <v>700000</v>
      </c>
      <c r="P93" s="146"/>
    </row>
    <row r="94" spans="1:16" ht="24" customHeight="1" x14ac:dyDescent="0.25">
      <c r="A94" s="46" t="s">
        <v>166</v>
      </c>
      <c r="B94" s="46" t="s">
        <v>103</v>
      </c>
      <c r="C94" s="3" t="s">
        <v>406</v>
      </c>
      <c r="D94" s="62">
        <f>'дод 3 '!E178</f>
        <v>700000</v>
      </c>
      <c r="E94" s="62">
        <f>'дод 3 '!F178</f>
        <v>700000</v>
      </c>
      <c r="F94" s="62">
        <f>'дод 3 '!G178</f>
        <v>0</v>
      </c>
      <c r="G94" s="62">
        <f>'дод 3 '!H178</f>
        <v>0</v>
      </c>
      <c r="H94" s="62">
        <f>'дод 3 '!I178</f>
        <v>0</v>
      </c>
      <c r="I94" s="62">
        <f>'дод 3 '!J178</f>
        <v>0</v>
      </c>
      <c r="J94" s="62">
        <f>'дод 3 '!K178</f>
        <v>0</v>
      </c>
      <c r="K94" s="62">
        <f>'дод 3 '!L178</f>
        <v>0</v>
      </c>
      <c r="L94" s="62">
        <f>'дод 3 '!M178</f>
        <v>0</v>
      </c>
      <c r="M94" s="62">
        <f>'дод 3 '!N178</f>
        <v>0</v>
      </c>
      <c r="N94" s="62">
        <f>'дод 3 '!O178</f>
        <v>0</v>
      </c>
      <c r="O94" s="62">
        <f>'дод 3 '!P178</f>
        <v>700000</v>
      </c>
      <c r="P94" s="146"/>
    </row>
    <row r="95" spans="1:16" s="82" customFormat="1" ht="21" customHeight="1" x14ac:dyDescent="0.25">
      <c r="A95" s="47" t="s">
        <v>117</v>
      </c>
      <c r="B95" s="47"/>
      <c r="C95" s="13" t="s">
        <v>167</v>
      </c>
      <c r="D95" s="61">
        <f>D97+D98+D99+D101+D102+D104+D100+D103+D105</f>
        <v>0</v>
      </c>
      <c r="E95" s="61">
        <f t="shared" ref="E95:O95" si="12">E97+E98+E99+E101+E102+E104+E100+E103+E105</f>
        <v>0</v>
      </c>
      <c r="F95" s="61">
        <f t="shared" si="12"/>
        <v>0</v>
      </c>
      <c r="G95" s="61">
        <f t="shared" si="12"/>
        <v>0</v>
      </c>
      <c r="H95" s="61">
        <f t="shared" si="12"/>
        <v>0</v>
      </c>
      <c r="I95" s="61">
        <f t="shared" si="12"/>
        <v>102360281.13</v>
      </c>
      <c r="J95" s="61">
        <f t="shared" si="12"/>
        <v>102360281.13</v>
      </c>
      <c r="K95" s="61">
        <f t="shared" si="12"/>
        <v>0</v>
      </c>
      <c r="L95" s="61">
        <f t="shared" si="12"/>
        <v>0</v>
      </c>
      <c r="M95" s="61">
        <f t="shared" si="12"/>
        <v>0</v>
      </c>
      <c r="N95" s="61">
        <f t="shared" si="12"/>
        <v>102360281.13</v>
      </c>
      <c r="O95" s="61">
        <f t="shared" si="12"/>
        <v>102360281.13</v>
      </c>
      <c r="P95" s="146"/>
    </row>
    <row r="96" spans="1:16" s="82" customFormat="1" ht="21" customHeight="1" x14ac:dyDescent="0.25">
      <c r="A96" s="47"/>
      <c r="B96" s="47"/>
      <c r="C96" s="2" t="s">
        <v>308</v>
      </c>
      <c r="D96" s="61">
        <f>D106</f>
        <v>0</v>
      </c>
      <c r="E96" s="61">
        <f t="shared" ref="E96:O96" si="13">E106</f>
        <v>0</v>
      </c>
      <c r="F96" s="61">
        <f t="shared" si="13"/>
        <v>0</v>
      </c>
      <c r="G96" s="61">
        <f t="shared" si="13"/>
        <v>0</v>
      </c>
      <c r="H96" s="61">
        <f t="shared" si="13"/>
        <v>0</v>
      </c>
      <c r="I96" s="61">
        <f t="shared" si="13"/>
        <v>1187498.93</v>
      </c>
      <c r="J96" s="61">
        <f t="shared" si="13"/>
        <v>1187498.93</v>
      </c>
      <c r="K96" s="61">
        <f t="shared" si="13"/>
        <v>0</v>
      </c>
      <c r="L96" s="61">
        <f t="shared" si="13"/>
        <v>0</v>
      </c>
      <c r="M96" s="61">
        <f t="shared" si="13"/>
        <v>0</v>
      </c>
      <c r="N96" s="61">
        <f t="shared" si="13"/>
        <v>1187498.93</v>
      </c>
      <c r="O96" s="61">
        <f t="shared" si="13"/>
        <v>1187498.93</v>
      </c>
      <c r="P96" s="146"/>
    </row>
    <row r="97" spans="1:16" ht="36" customHeight="1" x14ac:dyDescent="0.25">
      <c r="A97" s="49" t="s">
        <v>315</v>
      </c>
      <c r="B97" s="49" t="s">
        <v>132</v>
      </c>
      <c r="C97" s="3" t="s">
        <v>324</v>
      </c>
      <c r="D97" s="62">
        <f>'дод 3 '!E158+'дод 3 '!E138</f>
        <v>0</v>
      </c>
      <c r="E97" s="62">
        <f>'дод 3 '!F158+'дод 3 '!F138</f>
        <v>0</v>
      </c>
      <c r="F97" s="62">
        <f>'дод 3 '!G158+'дод 3 '!G138</f>
        <v>0</v>
      </c>
      <c r="G97" s="62">
        <f>'дод 3 '!H158+'дод 3 '!H138</f>
        <v>0</v>
      </c>
      <c r="H97" s="62">
        <f>'дод 3 '!I158+'дод 3 '!I138</f>
        <v>0</v>
      </c>
      <c r="I97" s="62">
        <f>'дод 3 '!J158+'дод 3 '!J138</f>
        <v>13146097.759999998</v>
      </c>
      <c r="J97" s="62">
        <f>'дод 3 '!K158+'дод 3 '!K138</f>
        <v>13146097.759999998</v>
      </c>
      <c r="K97" s="62">
        <f>'дод 3 '!L158+'дод 3 '!L138</f>
        <v>0</v>
      </c>
      <c r="L97" s="62">
        <f>'дод 3 '!M158+'дод 3 '!M138</f>
        <v>0</v>
      </c>
      <c r="M97" s="62">
        <f>'дод 3 '!N158+'дод 3 '!N138</f>
        <v>0</v>
      </c>
      <c r="N97" s="62">
        <f>'дод 3 '!O158+'дод 3 '!O138</f>
        <v>13146097.759999998</v>
      </c>
      <c r="O97" s="62">
        <f>'дод 3 '!P158+'дод 3 '!P138</f>
        <v>13146097.759999998</v>
      </c>
      <c r="P97" s="146"/>
    </row>
    <row r="98" spans="1:16" s="84" customFormat="1" ht="32.25" customHeight="1" x14ac:dyDescent="0.25">
      <c r="A98" s="49" t="s">
        <v>320</v>
      </c>
      <c r="B98" s="49" t="s">
        <v>132</v>
      </c>
      <c r="C98" s="3" t="s">
        <v>325</v>
      </c>
      <c r="D98" s="62">
        <f>'дод 3 '!E159</f>
        <v>0</v>
      </c>
      <c r="E98" s="62">
        <f>'дод 3 '!F159</f>
        <v>0</v>
      </c>
      <c r="F98" s="62">
        <f>'дод 3 '!G159</f>
        <v>0</v>
      </c>
      <c r="G98" s="62">
        <f>'дод 3 '!H159</f>
        <v>0</v>
      </c>
      <c r="H98" s="62">
        <f>'дод 3 '!I159</f>
        <v>0</v>
      </c>
      <c r="I98" s="62">
        <f>'дод 3 '!J159</f>
        <v>4000000</v>
      </c>
      <c r="J98" s="62">
        <f>'дод 3 '!K159</f>
        <v>4000000</v>
      </c>
      <c r="K98" s="62">
        <f>'дод 3 '!L159</f>
        <v>0</v>
      </c>
      <c r="L98" s="62">
        <f>'дод 3 '!M159</f>
        <v>0</v>
      </c>
      <c r="M98" s="62">
        <f>'дод 3 '!N159</f>
        <v>0</v>
      </c>
      <c r="N98" s="62">
        <f>'дод 3 '!O159</f>
        <v>4000000</v>
      </c>
      <c r="O98" s="62">
        <f>'дод 3 '!P159</f>
        <v>4000000</v>
      </c>
      <c r="P98" s="146"/>
    </row>
    <row r="99" spans="1:16" s="84" customFormat="1" ht="32.25" customHeight="1" x14ac:dyDescent="0.25">
      <c r="A99" s="49" t="s">
        <v>322</v>
      </c>
      <c r="B99" s="49" t="s">
        <v>132</v>
      </c>
      <c r="C99" s="3" t="s">
        <v>326</v>
      </c>
      <c r="D99" s="62">
        <f>'дод 3 '!E160</f>
        <v>0</v>
      </c>
      <c r="E99" s="62">
        <f>'дод 3 '!F160</f>
        <v>0</v>
      </c>
      <c r="F99" s="62">
        <f>'дод 3 '!G160</f>
        <v>0</v>
      </c>
      <c r="G99" s="62">
        <f>'дод 3 '!H160</f>
        <v>0</v>
      </c>
      <c r="H99" s="62">
        <f>'дод 3 '!I160</f>
        <v>0</v>
      </c>
      <c r="I99" s="62">
        <f>'дод 3 '!J160</f>
        <v>4454849</v>
      </c>
      <c r="J99" s="62">
        <f>'дод 3 '!K160</f>
        <v>4454849</v>
      </c>
      <c r="K99" s="62">
        <f>'дод 3 '!L160</f>
        <v>0</v>
      </c>
      <c r="L99" s="62">
        <f>'дод 3 '!M160</f>
        <v>0</v>
      </c>
      <c r="M99" s="62">
        <f>'дод 3 '!N160</f>
        <v>0</v>
      </c>
      <c r="N99" s="62">
        <f>'дод 3 '!O160</f>
        <v>4454849</v>
      </c>
      <c r="O99" s="62">
        <f>'дод 3 '!P160</f>
        <v>4454849</v>
      </c>
      <c r="P99" s="146"/>
    </row>
    <row r="100" spans="1:16" s="84" customFormat="1" ht="31.5" x14ac:dyDescent="0.25">
      <c r="A100" s="49">
        <v>7325</v>
      </c>
      <c r="B100" s="49">
        <v>443</v>
      </c>
      <c r="C100" s="3" t="s">
        <v>422</v>
      </c>
      <c r="D100" s="62">
        <f>'дод 3 '!E161</f>
        <v>0</v>
      </c>
      <c r="E100" s="62">
        <f>'дод 3 '!F161</f>
        <v>0</v>
      </c>
      <c r="F100" s="62">
        <f>'дод 3 '!G161</f>
        <v>0</v>
      </c>
      <c r="G100" s="62">
        <f>'дод 3 '!H161</f>
        <v>0</v>
      </c>
      <c r="H100" s="62">
        <f>'дод 3 '!I161</f>
        <v>0</v>
      </c>
      <c r="I100" s="62">
        <f>'дод 3 '!J161</f>
        <v>100000</v>
      </c>
      <c r="J100" s="62">
        <f>'дод 3 '!K161</f>
        <v>100000</v>
      </c>
      <c r="K100" s="62">
        <f>'дод 3 '!L161</f>
        <v>0</v>
      </c>
      <c r="L100" s="62">
        <f>'дод 3 '!M161</f>
        <v>0</v>
      </c>
      <c r="M100" s="62">
        <f>'дод 3 '!N161</f>
        <v>0</v>
      </c>
      <c r="N100" s="62">
        <f>'дод 3 '!O161</f>
        <v>100000</v>
      </c>
      <c r="O100" s="62">
        <f>'дод 3 '!P161</f>
        <v>100000</v>
      </c>
      <c r="P100" s="146"/>
    </row>
    <row r="101" spans="1:16" ht="32.25" customHeight="1" x14ac:dyDescent="0.25">
      <c r="A101" s="49" t="s">
        <v>317</v>
      </c>
      <c r="B101" s="49" t="s">
        <v>132</v>
      </c>
      <c r="C101" s="3" t="s">
        <v>389</v>
      </c>
      <c r="D101" s="62">
        <f>'дод 3 '!E162+'дод 3 '!E139</f>
        <v>0</v>
      </c>
      <c r="E101" s="62">
        <f>'дод 3 '!F162+'дод 3 '!F139</f>
        <v>0</v>
      </c>
      <c r="F101" s="62">
        <f>'дод 3 '!G162+'дод 3 '!G139</f>
        <v>0</v>
      </c>
      <c r="G101" s="62">
        <f>'дод 3 '!H162+'дод 3 '!H139</f>
        <v>0</v>
      </c>
      <c r="H101" s="62">
        <f>'дод 3 '!I162+'дод 3 '!I139</f>
        <v>0</v>
      </c>
      <c r="I101" s="62">
        <f>'дод 3 '!J162+'дод 3 '!J139</f>
        <v>66888853.769999996</v>
      </c>
      <c r="J101" s="62">
        <f>'дод 3 '!K162+'дод 3 '!K139</f>
        <v>66888853.769999996</v>
      </c>
      <c r="K101" s="62">
        <f>'дод 3 '!L162+'дод 3 '!L139</f>
        <v>0</v>
      </c>
      <c r="L101" s="62">
        <f>'дод 3 '!M162+'дод 3 '!M139</f>
        <v>0</v>
      </c>
      <c r="M101" s="62">
        <f>'дод 3 '!N162+'дод 3 '!N139</f>
        <v>0</v>
      </c>
      <c r="N101" s="62">
        <f>'дод 3 '!O162+'дод 3 '!O139</f>
        <v>66888853.769999996</v>
      </c>
      <c r="O101" s="62">
        <f>'дод 3 '!P162+'дод 3 '!P139</f>
        <v>66888853.769999996</v>
      </c>
      <c r="P101" s="146"/>
    </row>
    <row r="102" spans="1:16" ht="35.25" customHeight="1" x14ac:dyDescent="0.25">
      <c r="A102" s="46" t="s">
        <v>168</v>
      </c>
      <c r="B102" s="46" t="s">
        <v>132</v>
      </c>
      <c r="C102" s="3" t="s">
        <v>1</v>
      </c>
      <c r="D102" s="62">
        <f>'дод 3 '!E141</f>
        <v>0</v>
      </c>
      <c r="E102" s="62">
        <f>'дод 3 '!F141</f>
        <v>0</v>
      </c>
      <c r="F102" s="62">
        <f>'дод 3 '!G141</f>
        <v>0</v>
      </c>
      <c r="G102" s="62">
        <f>'дод 3 '!H141</f>
        <v>0</v>
      </c>
      <c r="H102" s="62">
        <f>'дод 3 '!I141</f>
        <v>0</v>
      </c>
      <c r="I102" s="62">
        <f>'дод 3 '!J141</f>
        <v>3000000</v>
      </c>
      <c r="J102" s="62">
        <f>'дод 3 '!K141</f>
        <v>3000000</v>
      </c>
      <c r="K102" s="62">
        <f>'дод 3 '!L141</f>
        <v>0</v>
      </c>
      <c r="L102" s="62">
        <f>'дод 3 '!M141</f>
        <v>0</v>
      </c>
      <c r="M102" s="62">
        <f>'дод 3 '!N141</f>
        <v>0</v>
      </c>
      <c r="N102" s="62">
        <f>'дод 3 '!O141</f>
        <v>3000000</v>
      </c>
      <c r="O102" s="62">
        <f>'дод 3 '!P141</f>
        <v>3000000</v>
      </c>
      <c r="P102" s="146"/>
    </row>
    <row r="103" spans="1:16" ht="35.25" customHeight="1" x14ac:dyDescent="0.25">
      <c r="A103" s="46">
        <v>7361</v>
      </c>
      <c r="B103" s="46" t="s">
        <v>102</v>
      </c>
      <c r="C103" s="3" t="s">
        <v>451</v>
      </c>
      <c r="D103" s="62">
        <f>'дод 3 '!E140+'дод 3 '!E163+'дод 3 '!E86</f>
        <v>0</v>
      </c>
      <c r="E103" s="62">
        <f>'дод 3 '!F140+'дод 3 '!F163+'дод 3 '!F86</f>
        <v>0</v>
      </c>
      <c r="F103" s="62">
        <f>'дод 3 '!G140+'дод 3 '!G163+'дод 3 '!G86</f>
        <v>0</v>
      </c>
      <c r="G103" s="62">
        <f>'дод 3 '!H140+'дод 3 '!H163+'дод 3 '!H86</f>
        <v>0</v>
      </c>
      <c r="H103" s="62">
        <f>'дод 3 '!I140+'дод 3 '!I163+'дод 3 '!I86</f>
        <v>0</v>
      </c>
      <c r="I103" s="62">
        <f>'дод 3 '!J140+'дод 3 '!J163+'дод 3 '!J86</f>
        <v>9386113</v>
      </c>
      <c r="J103" s="62">
        <f>'дод 3 '!K140+'дод 3 '!K163+'дод 3 '!K86</f>
        <v>9386113</v>
      </c>
      <c r="K103" s="62">
        <f>'дод 3 '!L140+'дод 3 '!L163+'дод 3 '!L86</f>
        <v>0</v>
      </c>
      <c r="L103" s="62">
        <f>'дод 3 '!M140+'дод 3 '!M163+'дод 3 '!M86</f>
        <v>0</v>
      </c>
      <c r="M103" s="62">
        <f>'дод 3 '!N140+'дод 3 '!N163+'дод 3 '!N86</f>
        <v>0</v>
      </c>
      <c r="N103" s="62">
        <f>'дод 3 '!O140+'дод 3 '!O163+'дод 3 '!O86</f>
        <v>9386113</v>
      </c>
      <c r="O103" s="62">
        <f>'дод 3 '!P140+'дод 3 '!P163+'дод 3 '!P86</f>
        <v>9386113</v>
      </c>
      <c r="P103" s="146"/>
    </row>
    <row r="104" spans="1:16" s="84" customFormat="1" ht="46.5" customHeight="1" x14ac:dyDescent="0.25">
      <c r="A104" s="46">
        <v>7362</v>
      </c>
      <c r="B104" s="46" t="s">
        <v>102</v>
      </c>
      <c r="C104" s="3" t="s">
        <v>428</v>
      </c>
      <c r="D104" s="62">
        <f>'дод 3 '!E142</f>
        <v>0</v>
      </c>
      <c r="E104" s="62">
        <f>'дод 3 '!F142</f>
        <v>0</v>
      </c>
      <c r="F104" s="62">
        <f>'дод 3 '!G142</f>
        <v>0</v>
      </c>
      <c r="G104" s="62">
        <f>'дод 3 '!H142</f>
        <v>0</v>
      </c>
      <c r="H104" s="62">
        <f>'дод 3 '!I142</f>
        <v>0</v>
      </c>
      <c r="I104" s="62">
        <f>'дод 3 '!J142</f>
        <v>75600</v>
      </c>
      <c r="J104" s="62">
        <f>'дод 3 '!K142</f>
        <v>75600</v>
      </c>
      <c r="K104" s="62">
        <f>'дод 3 '!L142</f>
        <v>0</v>
      </c>
      <c r="L104" s="62">
        <f>'дод 3 '!M142</f>
        <v>0</v>
      </c>
      <c r="M104" s="62">
        <f>'дод 3 '!N142</f>
        <v>0</v>
      </c>
      <c r="N104" s="62">
        <f>'дод 3 '!O142</f>
        <v>75600</v>
      </c>
      <c r="O104" s="62">
        <f>'дод 3 '!P142</f>
        <v>75600</v>
      </c>
      <c r="P104" s="146"/>
    </row>
    <row r="105" spans="1:16" s="84" customFormat="1" ht="46.5" customHeight="1" x14ac:dyDescent="0.25">
      <c r="A105" s="46">
        <v>7363</v>
      </c>
      <c r="B105" s="110" t="s">
        <v>102</v>
      </c>
      <c r="C105" s="111" t="s">
        <v>438</v>
      </c>
      <c r="D105" s="62">
        <f>'дод 3 '!E66+'дод 3 '!E143+'дод 3 '!E164</f>
        <v>0</v>
      </c>
      <c r="E105" s="62">
        <f>'дод 3 '!F66+'дод 3 '!F143+'дод 3 '!F164</f>
        <v>0</v>
      </c>
      <c r="F105" s="62">
        <f>'дод 3 '!G66+'дод 3 '!G143+'дод 3 '!G164</f>
        <v>0</v>
      </c>
      <c r="G105" s="62">
        <f>'дод 3 '!H66+'дод 3 '!H143+'дод 3 '!H164</f>
        <v>0</v>
      </c>
      <c r="H105" s="62">
        <f>'дод 3 '!I66+'дод 3 '!I143+'дод 3 '!I164</f>
        <v>0</v>
      </c>
      <c r="I105" s="62">
        <f>'дод 3 '!J66+'дод 3 '!J143+'дод 3 '!J164</f>
        <v>1308767.6000000001</v>
      </c>
      <c r="J105" s="62">
        <f>'дод 3 '!K66+'дод 3 '!K143+'дод 3 '!K164</f>
        <v>1308767.6000000001</v>
      </c>
      <c r="K105" s="62">
        <f>'дод 3 '!L66+'дод 3 '!L143+'дод 3 '!L164</f>
        <v>0</v>
      </c>
      <c r="L105" s="62">
        <f>'дод 3 '!M66+'дод 3 '!M143+'дод 3 '!M164</f>
        <v>0</v>
      </c>
      <c r="M105" s="62">
        <f>'дод 3 '!N66+'дод 3 '!N143+'дод 3 '!N164</f>
        <v>0</v>
      </c>
      <c r="N105" s="62">
        <f>'дод 3 '!O66+'дод 3 '!O143+'дод 3 '!O164</f>
        <v>1308767.6000000001</v>
      </c>
      <c r="O105" s="62">
        <f>'дод 3 '!P66+'дод 3 '!P143+'дод 3 '!P164</f>
        <v>1308767.6000000001</v>
      </c>
      <c r="P105" s="146"/>
    </row>
    <row r="106" spans="1:16" s="84" customFormat="1" x14ac:dyDescent="0.25">
      <c r="A106" s="46"/>
      <c r="B106" s="110"/>
      <c r="C106" s="3" t="s">
        <v>308</v>
      </c>
      <c r="D106" s="62">
        <f>'дод 3 '!E67+'дод 3 '!E144</f>
        <v>0</v>
      </c>
      <c r="E106" s="62">
        <f>'дод 3 '!F67+'дод 3 '!F144</f>
        <v>0</v>
      </c>
      <c r="F106" s="62">
        <f>'дод 3 '!G67+'дод 3 '!G144</f>
        <v>0</v>
      </c>
      <c r="G106" s="62">
        <f>'дод 3 '!H67+'дод 3 '!H144</f>
        <v>0</v>
      </c>
      <c r="H106" s="62">
        <f>'дод 3 '!I67+'дод 3 '!I144</f>
        <v>0</v>
      </c>
      <c r="I106" s="62">
        <f>'дод 3 '!J67+'дод 3 '!J144</f>
        <v>1187498.93</v>
      </c>
      <c r="J106" s="62">
        <f>'дод 3 '!K67+'дод 3 '!K144</f>
        <v>1187498.93</v>
      </c>
      <c r="K106" s="62">
        <f>'дод 3 '!L67+'дод 3 '!L144</f>
        <v>0</v>
      </c>
      <c r="L106" s="62">
        <f>'дод 3 '!M67+'дод 3 '!M144</f>
        <v>0</v>
      </c>
      <c r="M106" s="62">
        <f>'дод 3 '!N67+'дод 3 '!N144</f>
        <v>0</v>
      </c>
      <c r="N106" s="62">
        <f>'дод 3 '!O67+'дод 3 '!O144</f>
        <v>1187498.93</v>
      </c>
      <c r="O106" s="62">
        <f>'дод 3 '!P67+'дод 3 '!P144</f>
        <v>1187498.93</v>
      </c>
      <c r="P106" s="146"/>
    </row>
    <row r="107" spans="1:16" s="82" customFormat="1" ht="39.75" customHeight="1" x14ac:dyDescent="0.25">
      <c r="A107" s="47" t="s">
        <v>105</v>
      </c>
      <c r="B107" s="50"/>
      <c r="C107" s="2" t="s">
        <v>2</v>
      </c>
      <c r="D107" s="61">
        <f>D108</f>
        <v>10000000</v>
      </c>
      <c r="E107" s="61">
        <f t="shared" ref="E107:O107" si="14">E108</f>
        <v>0</v>
      </c>
      <c r="F107" s="61">
        <f t="shared" si="14"/>
        <v>0</v>
      </c>
      <c r="G107" s="61">
        <f t="shared" si="14"/>
        <v>0</v>
      </c>
      <c r="H107" s="61">
        <f t="shared" si="14"/>
        <v>10000000</v>
      </c>
      <c r="I107" s="61">
        <f t="shared" si="14"/>
        <v>0</v>
      </c>
      <c r="J107" s="61">
        <f t="shared" si="14"/>
        <v>0</v>
      </c>
      <c r="K107" s="61">
        <f t="shared" si="14"/>
        <v>0</v>
      </c>
      <c r="L107" s="61">
        <f t="shared" si="14"/>
        <v>0</v>
      </c>
      <c r="M107" s="61">
        <f t="shared" si="14"/>
        <v>0</v>
      </c>
      <c r="N107" s="61">
        <f t="shared" si="14"/>
        <v>0</v>
      </c>
      <c r="O107" s="61">
        <f t="shared" si="14"/>
        <v>10000000</v>
      </c>
      <c r="P107" s="146"/>
    </row>
    <row r="108" spans="1:16" s="84" customFormat="1" ht="30" customHeight="1" x14ac:dyDescent="0.25">
      <c r="A108" s="46" t="s">
        <v>4</v>
      </c>
      <c r="B108" s="46" t="s">
        <v>104</v>
      </c>
      <c r="C108" s="3" t="s">
        <v>49</v>
      </c>
      <c r="D108" s="62">
        <f>'дод 3 '!E33</f>
        <v>10000000</v>
      </c>
      <c r="E108" s="62">
        <f>'дод 3 '!F33</f>
        <v>0</v>
      </c>
      <c r="F108" s="62">
        <f>'дод 3 '!G33</f>
        <v>0</v>
      </c>
      <c r="G108" s="62">
        <f>'дод 3 '!H33</f>
        <v>0</v>
      </c>
      <c r="H108" s="62">
        <f>'дод 3 '!I33</f>
        <v>10000000</v>
      </c>
      <c r="I108" s="62">
        <f>'дод 3 '!J33</f>
        <v>0</v>
      </c>
      <c r="J108" s="62">
        <f>'дод 3 '!K33</f>
        <v>0</v>
      </c>
      <c r="K108" s="62">
        <f>'дод 3 '!L33</f>
        <v>0</v>
      </c>
      <c r="L108" s="62">
        <f>'дод 3 '!M33</f>
        <v>0</v>
      </c>
      <c r="M108" s="62">
        <f>'дод 3 '!N33</f>
        <v>0</v>
      </c>
      <c r="N108" s="62">
        <f>'дод 3 '!O33</f>
        <v>0</v>
      </c>
      <c r="O108" s="62">
        <f>'дод 3 '!P33</f>
        <v>10000000</v>
      </c>
      <c r="P108" s="146">
        <v>24</v>
      </c>
    </row>
    <row r="109" spans="1:16" s="82" customFormat="1" ht="28.5" customHeight="1" x14ac:dyDescent="0.25">
      <c r="A109" s="48" t="s">
        <v>279</v>
      </c>
      <c r="B109" s="50"/>
      <c r="C109" s="2" t="s">
        <v>280</v>
      </c>
      <c r="D109" s="61">
        <f t="shared" ref="D109:O109" si="15">D110</f>
        <v>13450000</v>
      </c>
      <c r="E109" s="61">
        <f t="shared" si="15"/>
        <v>13450000</v>
      </c>
      <c r="F109" s="61">
        <f t="shared" si="15"/>
        <v>0</v>
      </c>
      <c r="G109" s="61">
        <f t="shared" si="15"/>
        <v>0</v>
      </c>
      <c r="H109" s="61">
        <f t="shared" si="15"/>
        <v>0</v>
      </c>
      <c r="I109" s="61">
        <f t="shared" si="15"/>
        <v>6050000</v>
      </c>
      <c r="J109" s="61">
        <f t="shared" si="15"/>
        <v>6050000</v>
      </c>
      <c r="K109" s="61">
        <f t="shared" si="15"/>
        <v>0</v>
      </c>
      <c r="L109" s="61">
        <f t="shared" si="15"/>
        <v>0</v>
      </c>
      <c r="M109" s="61">
        <f t="shared" si="15"/>
        <v>0</v>
      </c>
      <c r="N109" s="61">
        <f t="shared" si="15"/>
        <v>6050000</v>
      </c>
      <c r="O109" s="61">
        <f t="shared" si="15"/>
        <v>19500000</v>
      </c>
      <c r="P109" s="146"/>
    </row>
    <row r="110" spans="1:16" ht="37.5" customHeight="1" x14ac:dyDescent="0.25">
      <c r="A110" s="49" t="s">
        <v>277</v>
      </c>
      <c r="B110" s="49" t="s">
        <v>278</v>
      </c>
      <c r="C110" s="11" t="s">
        <v>276</v>
      </c>
      <c r="D110" s="62">
        <f>'дод 3 '!E34</f>
        <v>13450000</v>
      </c>
      <c r="E110" s="62">
        <f>'дод 3 '!F34</f>
        <v>13450000</v>
      </c>
      <c r="F110" s="62">
        <f>'дод 3 '!G34</f>
        <v>0</v>
      </c>
      <c r="G110" s="62">
        <f>'дод 3 '!H34</f>
        <v>0</v>
      </c>
      <c r="H110" s="62">
        <f>'дод 3 '!I34</f>
        <v>0</v>
      </c>
      <c r="I110" s="62">
        <f>'дод 3 '!J34</f>
        <v>6050000</v>
      </c>
      <c r="J110" s="62">
        <f>'дод 3 '!K34</f>
        <v>6050000</v>
      </c>
      <c r="K110" s="62">
        <f>'дод 3 '!L34</f>
        <v>0</v>
      </c>
      <c r="L110" s="62">
        <f>'дод 3 '!M34</f>
        <v>0</v>
      </c>
      <c r="M110" s="62">
        <f>'дод 3 '!N34</f>
        <v>0</v>
      </c>
      <c r="N110" s="62">
        <f>'дод 3 '!O34</f>
        <v>6050000</v>
      </c>
      <c r="O110" s="62">
        <f>'дод 3 '!P34</f>
        <v>19500000</v>
      </c>
      <c r="P110" s="146"/>
    </row>
    <row r="111" spans="1:16" s="82" customFormat="1" ht="38.25" customHeight="1" x14ac:dyDescent="0.25">
      <c r="A111" s="47" t="s">
        <v>108</v>
      </c>
      <c r="B111" s="50"/>
      <c r="C111" s="2" t="s">
        <v>5</v>
      </c>
      <c r="D111" s="61">
        <f t="shared" ref="D111:O111" si="16">D112+D113+D114+D115+D116+D117+D118+D119</f>
        <v>8596667</v>
      </c>
      <c r="E111" s="61">
        <f t="shared" si="16"/>
        <v>6779667</v>
      </c>
      <c r="F111" s="61">
        <f t="shared" si="16"/>
        <v>0</v>
      </c>
      <c r="G111" s="61">
        <f t="shared" si="16"/>
        <v>0</v>
      </c>
      <c r="H111" s="61">
        <f t="shared" si="16"/>
        <v>1817000</v>
      </c>
      <c r="I111" s="61">
        <f t="shared" si="16"/>
        <v>155439184.13</v>
      </c>
      <c r="J111" s="61">
        <f t="shared" si="16"/>
        <v>141815052</v>
      </c>
      <c r="K111" s="61">
        <f t="shared" si="16"/>
        <v>2621363.0100000002</v>
      </c>
      <c r="L111" s="61">
        <f t="shared" si="16"/>
        <v>0</v>
      </c>
      <c r="M111" s="61">
        <f t="shared" si="16"/>
        <v>0</v>
      </c>
      <c r="N111" s="61">
        <f t="shared" si="16"/>
        <v>152817821.12</v>
      </c>
      <c r="O111" s="61">
        <f t="shared" si="16"/>
        <v>164035851.13</v>
      </c>
      <c r="P111" s="146"/>
    </row>
    <row r="112" spans="1:16" ht="30.75" customHeight="1" x14ac:dyDescent="0.25">
      <c r="A112" s="46" t="s">
        <v>6</v>
      </c>
      <c r="B112" s="46" t="s">
        <v>107</v>
      </c>
      <c r="C112" s="3" t="s">
        <v>32</v>
      </c>
      <c r="D112" s="62">
        <f>'дод 3 '!E35+'дод 3 '!E179</f>
        <v>1235000</v>
      </c>
      <c r="E112" s="62">
        <f>'дод 3 '!F35+'дод 3 '!F179</f>
        <v>617000</v>
      </c>
      <c r="F112" s="62">
        <f>'дод 3 '!G35+'дод 3 '!G179</f>
        <v>0</v>
      </c>
      <c r="G112" s="62">
        <f>'дод 3 '!H35+'дод 3 '!H179</f>
        <v>0</v>
      </c>
      <c r="H112" s="62">
        <f>'дод 3 '!I35+'дод 3 '!I179</f>
        <v>618000</v>
      </c>
      <c r="I112" s="62">
        <f>'дод 3 '!J35+'дод 3 '!J179</f>
        <v>0</v>
      </c>
      <c r="J112" s="62">
        <f>'дод 3 '!K35+'дод 3 '!K179</f>
        <v>0</v>
      </c>
      <c r="K112" s="62">
        <f>'дод 3 '!L35+'дод 3 '!L179</f>
        <v>0</v>
      </c>
      <c r="L112" s="62">
        <f>'дод 3 '!M35+'дод 3 '!M179</f>
        <v>0</v>
      </c>
      <c r="M112" s="62">
        <f>'дод 3 '!N35+'дод 3 '!N179</f>
        <v>0</v>
      </c>
      <c r="N112" s="62">
        <f>'дод 3 '!O35+'дод 3 '!O179</f>
        <v>0</v>
      </c>
      <c r="O112" s="62">
        <f>'дод 3 '!P35+'дод 3 '!P179</f>
        <v>1235000</v>
      </c>
      <c r="P112" s="146"/>
    </row>
    <row r="113" spans="1:16" ht="24.75" customHeight="1" x14ac:dyDescent="0.25">
      <c r="A113" s="46" t="s">
        <v>3</v>
      </c>
      <c r="B113" s="46" t="s">
        <v>106</v>
      </c>
      <c r="C113" s="3" t="s">
        <v>45</v>
      </c>
      <c r="D113" s="62">
        <f>'дод 3 '!E68+'дод 3 '!E87+'дод 3 '!E124+'дод 3 '!E145+'дод 3 '!E165+'дод 3 '!E186</f>
        <v>4350811</v>
      </c>
      <c r="E113" s="62">
        <f>'дод 3 '!F68+'дод 3 '!F87+'дод 3 '!F124+'дод 3 '!F145+'дод 3 '!F165+'дод 3 '!F186</f>
        <v>3151811</v>
      </c>
      <c r="F113" s="62">
        <f>'дод 3 '!G68+'дод 3 '!G87+'дод 3 '!G124+'дод 3 '!G145+'дод 3 '!G165+'дод 3 '!G186</f>
        <v>0</v>
      </c>
      <c r="G113" s="62">
        <f>'дод 3 '!H68+'дод 3 '!H87+'дод 3 '!H124+'дод 3 '!H145+'дод 3 '!H165+'дод 3 '!H186</f>
        <v>0</v>
      </c>
      <c r="H113" s="62">
        <f>'дод 3 '!I68+'дод 3 '!I87+'дод 3 '!I124+'дод 3 '!I145+'дод 3 '!I165+'дод 3 '!I186</f>
        <v>1199000</v>
      </c>
      <c r="I113" s="62">
        <f>'дод 3 '!J68+'дод 3 '!J87+'дод 3 '!J124+'дод 3 '!J145+'дод 3 '!J165+'дод 3 '!J186</f>
        <v>111862174</v>
      </c>
      <c r="J113" s="62">
        <f>'дод 3 '!K68+'дод 3 '!K87+'дод 3 '!K124+'дод 3 '!K145+'дод 3 '!K165+'дод 3 '!K186</f>
        <v>102125722</v>
      </c>
      <c r="K113" s="62">
        <f>'дод 3 '!L68+'дод 3 '!L87+'дод 3 '!L124+'дод 3 '!L145+'дод 3 '!L165+'дод 3 '!L186</f>
        <v>0</v>
      </c>
      <c r="L113" s="62">
        <f>'дод 3 '!M68+'дод 3 '!M87+'дод 3 '!M124+'дод 3 '!M145+'дод 3 '!M165+'дод 3 '!M186</f>
        <v>0</v>
      </c>
      <c r="M113" s="62">
        <f>'дод 3 '!N68+'дод 3 '!N87+'дод 3 '!N124+'дод 3 '!N145+'дод 3 '!N165+'дод 3 '!N186</f>
        <v>0</v>
      </c>
      <c r="N113" s="62">
        <f>'дод 3 '!O68+'дод 3 '!O87+'дод 3 '!O124+'дод 3 '!O145+'дод 3 '!O165+'дод 3 '!O186</f>
        <v>111862174</v>
      </c>
      <c r="O113" s="62">
        <f>'дод 3 '!P68+'дод 3 '!P87+'дод 3 '!P124+'дод 3 '!P145+'дод 3 '!P165+'дод 3 '!P186</f>
        <v>116212985</v>
      </c>
      <c r="P113" s="146"/>
    </row>
    <row r="114" spans="1:16" ht="33.75" customHeight="1" x14ac:dyDescent="0.25">
      <c r="A114" s="46" t="s">
        <v>310</v>
      </c>
      <c r="B114" s="46" t="s">
        <v>102</v>
      </c>
      <c r="C114" s="3" t="s">
        <v>407</v>
      </c>
      <c r="D114" s="62">
        <f>'дод 3 '!E180</f>
        <v>0</v>
      </c>
      <c r="E114" s="62">
        <f>'дод 3 '!F180</f>
        <v>0</v>
      </c>
      <c r="F114" s="62">
        <f>'дод 3 '!G180</f>
        <v>0</v>
      </c>
      <c r="G114" s="62">
        <f>'дод 3 '!H180</f>
        <v>0</v>
      </c>
      <c r="H114" s="62">
        <f>'дод 3 '!I180</f>
        <v>0</v>
      </c>
      <c r="I114" s="62">
        <f>'дод 3 '!J180</f>
        <v>30000</v>
      </c>
      <c r="J114" s="62">
        <f>'дод 3 '!K180</f>
        <v>30000</v>
      </c>
      <c r="K114" s="62">
        <f>'дод 3 '!L180</f>
        <v>0</v>
      </c>
      <c r="L114" s="62">
        <f>'дод 3 '!M180</f>
        <v>0</v>
      </c>
      <c r="M114" s="62">
        <f>'дод 3 '!N180</f>
        <v>0</v>
      </c>
      <c r="N114" s="62">
        <f>'дод 3 '!O180</f>
        <v>30000</v>
      </c>
      <c r="O114" s="62">
        <f>'дод 3 '!P180</f>
        <v>30000</v>
      </c>
      <c r="P114" s="146"/>
    </row>
    <row r="115" spans="1:16" ht="59.25" customHeight="1" x14ac:dyDescent="0.25">
      <c r="A115" s="46" t="s">
        <v>312</v>
      </c>
      <c r="B115" s="46" t="s">
        <v>102</v>
      </c>
      <c r="C115" s="3" t="s">
        <v>313</v>
      </c>
      <c r="D115" s="62">
        <f>'дод 3 '!E181</f>
        <v>0</v>
      </c>
      <c r="E115" s="62">
        <f>'дод 3 '!F181</f>
        <v>0</v>
      </c>
      <c r="F115" s="62">
        <f>'дод 3 '!G181</f>
        <v>0</v>
      </c>
      <c r="G115" s="62">
        <f>'дод 3 '!H181</f>
        <v>0</v>
      </c>
      <c r="H115" s="62">
        <f>'дод 3 '!I181</f>
        <v>0</v>
      </c>
      <c r="I115" s="62">
        <f>'дод 3 '!J181</f>
        <v>45000</v>
      </c>
      <c r="J115" s="62">
        <f>'дод 3 '!K181</f>
        <v>45000</v>
      </c>
      <c r="K115" s="62">
        <f>'дод 3 '!L181</f>
        <v>0</v>
      </c>
      <c r="L115" s="62">
        <f>'дод 3 '!M181</f>
        <v>0</v>
      </c>
      <c r="M115" s="62">
        <f>'дод 3 '!N181</f>
        <v>0</v>
      </c>
      <c r="N115" s="62">
        <f>'дод 3 '!O181</f>
        <v>45000</v>
      </c>
      <c r="O115" s="62">
        <f>'дод 3 '!P181</f>
        <v>45000</v>
      </c>
      <c r="P115" s="146"/>
    </row>
    <row r="116" spans="1:16" ht="30.75" customHeight="1" x14ac:dyDescent="0.25">
      <c r="A116" s="46" t="s">
        <v>7</v>
      </c>
      <c r="B116" s="46" t="s">
        <v>102</v>
      </c>
      <c r="C116" s="3" t="s">
        <v>33</v>
      </c>
      <c r="D116" s="62">
        <f>'дод 3 '!E36+'дод 3 '!E146</f>
        <v>0</v>
      </c>
      <c r="E116" s="62">
        <f>'дод 3 '!F36+'дод 3 '!F146</f>
        <v>0</v>
      </c>
      <c r="F116" s="62">
        <f>'дод 3 '!G36+'дод 3 '!G146</f>
        <v>0</v>
      </c>
      <c r="G116" s="62">
        <f>'дод 3 '!H36+'дод 3 '!H146</f>
        <v>0</v>
      </c>
      <c r="H116" s="62">
        <f>'дод 3 '!I36+'дод 3 '!I146</f>
        <v>0</v>
      </c>
      <c r="I116" s="62">
        <f>'дод 3 '!J36+'дод 3 '!J146</f>
        <v>39614330</v>
      </c>
      <c r="J116" s="62">
        <f>'дод 3 '!K36+'дод 3 '!K146</f>
        <v>39614330</v>
      </c>
      <c r="K116" s="62">
        <f>'дод 3 '!L36+'дод 3 '!L146</f>
        <v>0</v>
      </c>
      <c r="L116" s="62">
        <f>'дод 3 '!M36+'дод 3 '!M146</f>
        <v>0</v>
      </c>
      <c r="M116" s="62">
        <f>'дод 3 '!N36+'дод 3 '!N146</f>
        <v>0</v>
      </c>
      <c r="N116" s="62">
        <f>'дод 3 '!O36+'дод 3 '!O146</f>
        <v>39614330</v>
      </c>
      <c r="O116" s="62">
        <f>'дод 3 '!P36+'дод 3 '!P146</f>
        <v>39614330</v>
      </c>
      <c r="P116" s="146"/>
    </row>
    <row r="117" spans="1:16" ht="36.75" customHeight="1" x14ac:dyDescent="0.25">
      <c r="A117" s="46" t="s">
        <v>290</v>
      </c>
      <c r="B117" s="46" t="s">
        <v>102</v>
      </c>
      <c r="C117" s="3" t="s">
        <v>291</v>
      </c>
      <c r="D117" s="62">
        <f>'дод 3 '!E37</f>
        <v>240069</v>
      </c>
      <c r="E117" s="62">
        <f>'дод 3 '!F37</f>
        <v>240069</v>
      </c>
      <c r="F117" s="62">
        <f>'дод 3 '!G37</f>
        <v>0</v>
      </c>
      <c r="G117" s="62">
        <f>'дод 3 '!H37</f>
        <v>0</v>
      </c>
      <c r="H117" s="62">
        <f>'дод 3 '!I37</f>
        <v>0</v>
      </c>
      <c r="I117" s="62">
        <f>'дод 3 '!J37</f>
        <v>0</v>
      </c>
      <c r="J117" s="62">
        <f>'дод 3 '!K37</f>
        <v>0</v>
      </c>
      <c r="K117" s="62">
        <f>'дод 3 '!L37</f>
        <v>0</v>
      </c>
      <c r="L117" s="62">
        <f>'дод 3 '!M37</f>
        <v>0</v>
      </c>
      <c r="M117" s="62">
        <f>'дод 3 '!N37</f>
        <v>0</v>
      </c>
      <c r="N117" s="62">
        <f>'дод 3 '!O37</f>
        <v>0</v>
      </c>
      <c r="O117" s="62">
        <f>'дод 3 '!P37</f>
        <v>240069</v>
      </c>
      <c r="P117" s="146"/>
    </row>
    <row r="118" spans="1:16" s="84" customFormat="1" ht="108" customHeight="1" x14ac:dyDescent="0.25">
      <c r="A118" s="46" t="s">
        <v>346</v>
      </c>
      <c r="B118" s="46" t="s">
        <v>102</v>
      </c>
      <c r="C118" s="3" t="s">
        <v>367</v>
      </c>
      <c r="D118" s="62">
        <f>'дод 3 '!E38+'дод 3 '!E147+'дод 3 '!E166+'дод 3 '!E171</f>
        <v>0</v>
      </c>
      <c r="E118" s="62">
        <f>'дод 3 '!F38+'дод 3 '!F147+'дод 3 '!F166+'дод 3 '!F171</f>
        <v>0</v>
      </c>
      <c r="F118" s="62">
        <f>'дод 3 '!G38+'дод 3 '!G147+'дод 3 '!G166+'дод 3 '!G171</f>
        <v>0</v>
      </c>
      <c r="G118" s="62">
        <f>'дод 3 '!H38+'дод 3 '!H147+'дод 3 '!H166+'дод 3 '!H171</f>
        <v>0</v>
      </c>
      <c r="H118" s="62">
        <f>'дод 3 '!I38+'дод 3 '!I147+'дод 3 '!I166+'дод 3 '!I171</f>
        <v>0</v>
      </c>
      <c r="I118" s="62">
        <f>'дод 3 '!J38+'дод 3 '!J147+'дод 3 '!J166+'дод 3 '!J171</f>
        <v>3887680.13</v>
      </c>
      <c r="J118" s="62">
        <f>'дод 3 '!K38+'дод 3 '!K147+'дод 3 '!K166+'дод 3 '!K171</f>
        <v>0</v>
      </c>
      <c r="K118" s="62">
        <f>'дод 3 '!L38+'дод 3 '!L147+'дод 3 '!L166+'дод 3 '!L171</f>
        <v>2621363.0100000002</v>
      </c>
      <c r="L118" s="62">
        <f>'дод 3 '!M38+'дод 3 '!M147+'дод 3 '!M166+'дод 3 '!M171</f>
        <v>0</v>
      </c>
      <c r="M118" s="62">
        <f>'дод 3 '!N38+'дод 3 '!N147+'дод 3 '!N166+'дод 3 '!N171</f>
        <v>0</v>
      </c>
      <c r="N118" s="62">
        <f>'дод 3 '!O38+'дод 3 '!O147+'дод 3 '!O166+'дод 3 '!O171</f>
        <v>1266317.1200000001</v>
      </c>
      <c r="O118" s="62">
        <f>'дод 3 '!P38+'дод 3 '!P147+'дод 3 '!P166+'дод 3 '!P171</f>
        <v>3887680.13</v>
      </c>
      <c r="P118" s="146"/>
    </row>
    <row r="119" spans="1:16" s="84" customFormat="1" ht="30.75" customHeight="1" x14ac:dyDescent="0.25">
      <c r="A119" s="46" t="s">
        <v>281</v>
      </c>
      <c r="B119" s="46" t="s">
        <v>102</v>
      </c>
      <c r="C119" s="3" t="s">
        <v>23</v>
      </c>
      <c r="D119" s="62">
        <f>'дод 3 '!E39+'дод 3 '!E182+'дод 3 '!E187</f>
        <v>2770787</v>
      </c>
      <c r="E119" s="62">
        <f>'дод 3 '!F39+'дод 3 '!F182+'дод 3 '!F187</f>
        <v>2770787</v>
      </c>
      <c r="F119" s="62">
        <f>'дод 3 '!G39+'дод 3 '!G182+'дод 3 '!G187</f>
        <v>0</v>
      </c>
      <c r="G119" s="62">
        <f>'дод 3 '!H39+'дод 3 '!H182+'дод 3 '!H187</f>
        <v>0</v>
      </c>
      <c r="H119" s="62">
        <f>'дод 3 '!I39+'дод 3 '!I182+'дод 3 '!I187</f>
        <v>0</v>
      </c>
      <c r="I119" s="62">
        <f>'дод 3 '!J39+'дод 3 '!J182+'дод 3 '!J187</f>
        <v>0</v>
      </c>
      <c r="J119" s="62">
        <f>'дод 3 '!K39+'дод 3 '!K182+'дод 3 '!K187</f>
        <v>0</v>
      </c>
      <c r="K119" s="62">
        <f>'дод 3 '!L39+'дод 3 '!L182+'дод 3 '!L187</f>
        <v>0</v>
      </c>
      <c r="L119" s="62">
        <f>'дод 3 '!M39+'дод 3 '!M182+'дод 3 '!M187</f>
        <v>0</v>
      </c>
      <c r="M119" s="62">
        <f>'дод 3 '!N39+'дод 3 '!N182+'дод 3 '!N187</f>
        <v>0</v>
      </c>
      <c r="N119" s="62">
        <f>'дод 3 '!O39+'дод 3 '!O182+'дод 3 '!O187</f>
        <v>0</v>
      </c>
      <c r="O119" s="62">
        <f>'дод 3 '!P39+'дод 3 '!P182+'дод 3 '!P187</f>
        <v>2770787</v>
      </c>
      <c r="P119" s="146"/>
    </row>
    <row r="120" spans="1:16" s="83" customFormat="1" ht="48.75" customHeight="1" x14ac:dyDescent="0.25">
      <c r="A120" s="47">
        <v>7700</v>
      </c>
      <c r="B120" s="47"/>
      <c r="C120" s="102" t="s">
        <v>426</v>
      </c>
      <c r="D120" s="61">
        <f>D121</f>
        <v>0</v>
      </c>
      <c r="E120" s="61">
        <f t="shared" ref="E120:O120" si="17">E121</f>
        <v>0</v>
      </c>
      <c r="F120" s="61">
        <f t="shared" si="17"/>
        <v>0</v>
      </c>
      <c r="G120" s="61">
        <f t="shared" si="17"/>
        <v>0</v>
      </c>
      <c r="H120" s="61">
        <f t="shared" si="17"/>
        <v>0</v>
      </c>
      <c r="I120" s="61">
        <f t="shared" si="17"/>
        <v>885000</v>
      </c>
      <c r="J120" s="61">
        <f t="shared" si="17"/>
        <v>0</v>
      </c>
      <c r="K120" s="61">
        <f t="shared" si="17"/>
        <v>0</v>
      </c>
      <c r="L120" s="61">
        <f t="shared" si="17"/>
        <v>0</v>
      </c>
      <c r="M120" s="61">
        <f t="shared" si="17"/>
        <v>0</v>
      </c>
      <c r="N120" s="61">
        <f t="shared" si="17"/>
        <v>885000</v>
      </c>
      <c r="O120" s="61">
        <f t="shared" si="17"/>
        <v>885000</v>
      </c>
      <c r="P120" s="146"/>
    </row>
    <row r="121" spans="1:16" s="84" customFormat="1" ht="46.5" customHeight="1" x14ac:dyDescent="0.25">
      <c r="A121" s="46">
        <v>7700</v>
      </c>
      <c r="B121" s="101" t="s">
        <v>113</v>
      </c>
      <c r="C121" s="24" t="s">
        <v>426</v>
      </c>
      <c r="D121" s="62">
        <f>'дод 3 '!E88</f>
        <v>0</v>
      </c>
      <c r="E121" s="62">
        <f>'дод 3 '!F88</f>
        <v>0</v>
      </c>
      <c r="F121" s="62">
        <f>'дод 3 '!G88</f>
        <v>0</v>
      </c>
      <c r="G121" s="62">
        <f>'дод 3 '!H88</f>
        <v>0</v>
      </c>
      <c r="H121" s="62">
        <f>'дод 3 '!I88</f>
        <v>0</v>
      </c>
      <c r="I121" s="62">
        <f>'дод 3 '!J88</f>
        <v>885000</v>
      </c>
      <c r="J121" s="62">
        <f>'дод 3 '!K88</f>
        <v>0</v>
      </c>
      <c r="K121" s="62">
        <f>'дод 3 '!L88</f>
        <v>0</v>
      </c>
      <c r="L121" s="62">
        <f>'дод 3 '!M88</f>
        <v>0</v>
      </c>
      <c r="M121" s="62">
        <f>'дод 3 '!N88</f>
        <v>0</v>
      </c>
      <c r="N121" s="62">
        <f>'дод 3 '!O88</f>
        <v>885000</v>
      </c>
      <c r="O121" s="62">
        <f>'дод 3 '!P88</f>
        <v>885000</v>
      </c>
      <c r="P121" s="146"/>
    </row>
    <row r="122" spans="1:16" s="82" customFormat="1" x14ac:dyDescent="0.25">
      <c r="A122" s="47" t="s">
        <v>114</v>
      </c>
      <c r="B122" s="48"/>
      <c r="C122" s="2" t="s">
        <v>9</v>
      </c>
      <c r="D122" s="61">
        <f t="shared" ref="D122:O122" si="18">D123+D126+D128+D131+D133+D134</f>
        <v>24027585</v>
      </c>
      <c r="E122" s="61">
        <f t="shared" si="18"/>
        <v>3885195</v>
      </c>
      <c r="F122" s="61">
        <f t="shared" si="18"/>
        <v>1542220</v>
      </c>
      <c r="G122" s="61">
        <f t="shared" si="18"/>
        <v>365540</v>
      </c>
      <c r="H122" s="61">
        <f t="shared" si="18"/>
        <v>0</v>
      </c>
      <c r="I122" s="61">
        <f t="shared" si="18"/>
        <v>8524643.4499999993</v>
      </c>
      <c r="J122" s="61">
        <f t="shared" si="18"/>
        <v>2159600</v>
      </c>
      <c r="K122" s="61">
        <f t="shared" si="18"/>
        <v>2552000</v>
      </c>
      <c r="L122" s="61">
        <f t="shared" si="18"/>
        <v>0</v>
      </c>
      <c r="M122" s="61">
        <f t="shared" si="18"/>
        <v>541400</v>
      </c>
      <c r="N122" s="61">
        <f t="shared" si="18"/>
        <v>5972643.4500000002</v>
      </c>
      <c r="O122" s="61">
        <f t="shared" si="18"/>
        <v>32552228.449999999</v>
      </c>
      <c r="P122" s="146"/>
    </row>
    <row r="123" spans="1:16" s="82" customFormat="1" ht="39.75" customHeight="1" x14ac:dyDescent="0.25">
      <c r="A123" s="47" t="s">
        <v>116</v>
      </c>
      <c r="B123" s="48"/>
      <c r="C123" s="2" t="s">
        <v>10</v>
      </c>
      <c r="D123" s="61">
        <f t="shared" ref="D123:O123" si="19">D124+D125</f>
        <v>2314770</v>
      </c>
      <c r="E123" s="61">
        <f t="shared" si="19"/>
        <v>2314770</v>
      </c>
      <c r="F123" s="61">
        <f t="shared" si="19"/>
        <v>1542220</v>
      </c>
      <c r="G123" s="61">
        <f t="shared" si="19"/>
        <v>87380</v>
      </c>
      <c r="H123" s="61">
        <f t="shared" si="19"/>
        <v>0</v>
      </c>
      <c r="I123" s="61">
        <f t="shared" si="19"/>
        <v>2165100</v>
      </c>
      <c r="J123" s="61">
        <f t="shared" si="19"/>
        <v>2159600</v>
      </c>
      <c r="K123" s="61">
        <f t="shared" si="19"/>
        <v>5500</v>
      </c>
      <c r="L123" s="61">
        <f t="shared" si="19"/>
        <v>0</v>
      </c>
      <c r="M123" s="61">
        <f t="shared" si="19"/>
        <v>1400</v>
      </c>
      <c r="N123" s="61">
        <f t="shared" si="19"/>
        <v>2159600</v>
      </c>
      <c r="O123" s="61">
        <f t="shared" si="19"/>
        <v>4479870</v>
      </c>
      <c r="P123" s="146"/>
    </row>
    <row r="124" spans="1:16" s="82" customFormat="1" ht="36.75" customHeight="1" x14ac:dyDescent="0.25">
      <c r="A124" s="49" t="s">
        <v>11</v>
      </c>
      <c r="B124" s="49" t="s">
        <v>109</v>
      </c>
      <c r="C124" s="3" t="s">
        <v>347</v>
      </c>
      <c r="D124" s="62">
        <f>'дод 3 '!E40</f>
        <v>284500</v>
      </c>
      <c r="E124" s="62">
        <f>'дод 3 '!F40</f>
        <v>284500</v>
      </c>
      <c r="F124" s="62">
        <f>'дод 3 '!G40</f>
        <v>0</v>
      </c>
      <c r="G124" s="62">
        <f>'дод 3 '!H40</f>
        <v>7500</v>
      </c>
      <c r="H124" s="62">
        <f>'дод 3 '!I40</f>
        <v>0</v>
      </c>
      <c r="I124" s="62">
        <f>'дод 3 '!J40</f>
        <v>2159600</v>
      </c>
      <c r="J124" s="62">
        <f>'дод 3 '!K40</f>
        <v>2159600</v>
      </c>
      <c r="K124" s="62">
        <f>'дод 3 '!L40</f>
        <v>0</v>
      </c>
      <c r="L124" s="62">
        <f>'дод 3 '!M40</f>
        <v>0</v>
      </c>
      <c r="M124" s="62">
        <f>'дод 3 '!N40</f>
        <v>0</v>
      </c>
      <c r="N124" s="62">
        <f>'дод 3 '!O40</f>
        <v>2159600</v>
      </c>
      <c r="O124" s="62">
        <f>'дод 3 '!P40</f>
        <v>2444100</v>
      </c>
      <c r="P124" s="146"/>
    </row>
    <row r="125" spans="1:16" ht="24.75" customHeight="1" x14ac:dyDescent="0.25">
      <c r="A125" s="46" t="s">
        <v>179</v>
      </c>
      <c r="B125" s="51" t="s">
        <v>109</v>
      </c>
      <c r="C125" s="3" t="s">
        <v>12</v>
      </c>
      <c r="D125" s="62">
        <f>'дод 3 '!E41</f>
        <v>2030270</v>
      </c>
      <c r="E125" s="62">
        <f>'дод 3 '!F41</f>
        <v>2030270</v>
      </c>
      <c r="F125" s="62">
        <f>'дод 3 '!G41</f>
        <v>1542220</v>
      </c>
      <c r="G125" s="62">
        <f>'дод 3 '!H41</f>
        <v>79880</v>
      </c>
      <c r="H125" s="62">
        <f>'дод 3 '!I41</f>
        <v>0</v>
      </c>
      <c r="I125" s="62">
        <f>'дод 3 '!J41</f>
        <v>5500</v>
      </c>
      <c r="J125" s="62">
        <f>'дод 3 '!K41</f>
        <v>0</v>
      </c>
      <c r="K125" s="62">
        <f>'дод 3 '!L41</f>
        <v>5500</v>
      </c>
      <c r="L125" s="62">
        <f>'дод 3 '!M41</f>
        <v>0</v>
      </c>
      <c r="M125" s="62">
        <f>'дод 3 '!N41</f>
        <v>1400</v>
      </c>
      <c r="N125" s="62">
        <f>'дод 3 '!O41</f>
        <v>0</v>
      </c>
      <c r="O125" s="62">
        <f>'дод 3 '!P41</f>
        <v>2035770</v>
      </c>
      <c r="P125" s="146"/>
    </row>
    <row r="126" spans="1:16" s="82" customFormat="1" ht="30" customHeight="1" x14ac:dyDescent="0.25">
      <c r="A126" s="47" t="s">
        <v>292</v>
      </c>
      <c r="B126" s="47"/>
      <c r="C126" s="12" t="s">
        <v>293</v>
      </c>
      <c r="D126" s="61">
        <f t="shared" ref="D126:O126" si="20">D127</f>
        <v>683360</v>
      </c>
      <c r="E126" s="61">
        <f t="shared" si="20"/>
        <v>683360</v>
      </c>
      <c r="F126" s="61">
        <f t="shared" si="20"/>
        <v>0</v>
      </c>
      <c r="G126" s="61">
        <f t="shared" si="20"/>
        <v>278160</v>
      </c>
      <c r="H126" s="61">
        <f t="shared" si="20"/>
        <v>0</v>
      </c>
      <c r="I126" s="61">
        <f t="shared" si="20"/>
        <v>0</v>
      </c>
      <c r="J126" s="61">
        <f t="shared" si="20"/>
        <v>0</v>
      </c>
      <c r="K126" s="61">
        <f t="shared" si="20"/>
        <v>0</v>
      </c>
      <c r="L126" s="61">
        <f t="shared" si="20"/>
        <v>0</v>
      </c>
      <c r="M126" s="61">
        <f t="shared" si="20"/>
        <v>0</v>
      </c>
      <c r="N126" s="61">
        <f t="shared" si="20"/>
        <v>0</v>
      </c>
      <c r="O126" s="61">
        <f t="shared" si="20"/>
        <v>683360</v>
      </c>
      <c r="P126" s="146"/>
    </row>
    <row r="127" spans="1:16" ht="30" customHeight="1" x14ac:dyDescent="0.25">
      <c r="A127" s="46" t="s">
        <v>286</v>
      </c>
      <c r="B127" s="51" t="s">
        <v>287</v>
      </c>
      <c r="C127" s="3" t="s">
        <v>288</v>
      </c>
      <c r="D127" s="62">
        <f>'дод 3 '!E42</f>
        <v>683360</v>
      </c>
      <c r="E127" s="62">
        <f>'дод 3 '!F42</f>
        <v>683360</v>
      </c>
      <c r="F127" s="62">
        <f>'дод 3 '!G42</f>
        <v>0</v>
      </c>
      <c r="G127" s="62">
        <f>'дод 3 '!H42</f>
        <v>278160</v>
      </c>
      <c r="H127" s="62">
        <f>'дод 3 '!I42</f>
        <v>0</v>
      </c>
      <c r="I127" s="62">
        <f>'дод 3 '!J42</f>
        <v>0</v>
      </c>
      <c r="J127" s="62">
        <f>'дод 3 '!K42</f>
        <v>0</v>
      </c>
      <c r="K127" s="62">
        <f>'дод 3 '!L42</f>
        <v>0</v>
      </c>
      <c r="L127" s="62">
        <f>'дод 3 '!M42</f>
        <v>0</v>
      </c>
      <c r="M127" s="62">
        <f>'дод 3 '!N42</f>
        <v>0</v>
      </c>
      <c r="N127" s="62">
        <f>'дод 3 '!O42</f>
        <v>0</v>
      </c>
      <c r="O127" s="62">
        <f>'дод 3 '!P42</f>
        <v>683360</v>
      </c>
      <c r="P127" s="146"/>
    </row>
    <row r="128" spans="1:16" s="82" customFormat="1" ht="22.5" customHeight="1" x14ac:dyDescent="0.25">
      <c r="A128" s="47" t="s">
        <v>8</v>
      </c>
      <c r="B128" s="48"/>
      <c r="C128" s="2" t="s">
        <v>13</v>
      </c>
      <c r="D128" s="61">
        <f t="shared" ref="D128:O128" si="21">D130+D129</f>
        <v>75000</v>
      </c>
      <c r="E128" s="61">
        <f t="shared" si="21"/>
        <v>75000</v>
      </c>
      <c r="F128" s="61">
        <f t="shared" si="21"/>
        <v>0</v>
      </c>
      <c r="G128" s="61">
        <f t="shared" si="21"/>
        <v>0</v>
      </c>
      <c r="H128" s="61">
        <f t="shared" si="21"/>
        <v>0</v>
      </c>
      <c r="I128" s="61">
        <f t="shared" si="21"/>
        <v>6359543.4500000002</v>
      </c>
      <c r="J128" s="61">
        <f t="shared" si="21"/>
        <v>0</v>
      </c>
      <c r="K128" s="61">
        <f t="shared" si="21"/>
        <v>2546500</v>
      </c>
      <c r="L128" s="61">
        <f t="shared" si="21"/>
        <v>0</v>
      </c>
      <c r="M128" s="61">
        <f t="shared" si="21"/>
        <v>540000</v>
      </c>
      <c r="N128" s="61">
        <f t="shared" si="21"/>
        <v>3813043.45</v>
      </c>
      <c r="O128" s="61">
        <f t="shared" si="21"/>
        <v>6434543.4500000002</v>
      </c>
      <c r="P128" s="146"/>
    </row>
    <row r="129" spans="1:16" s="82" customFormat="1" ht="46.5" customHeight="1" x14ac:dyDescent="0.25">
      <c r="A129" s="46">
        <v>8330</v>
      </c>
      <c r="B129" s="46">
        <v>540</v>
      </c>
      <c r="C129" s="3" t="s">
        <v>409</v>
      </c>
      <c r="D129" s="62">
        <f>'дод 3 '!E188</f>
        <v>75000</v>
      </c>
      <c r="E129" s="62">
        <f>'дод 3 '!F188</f>
        <v>75000</v>
      </c>
      <c r="F129" s="62">
        <f>'дод 3 '!G188</f>
        <v>0</v>
      </c>
      <c r="G129" s="62">
        <f>'дод 3 '!H188</f>
        <v>0</v>
      </c>
      <c r="H129" s="62">
        <f>'дод 3 '!I188</f>
        <v>0</v>
      </c>
      <c r="I129" s="62">
        <f>'дод 3 '!J188</f>
        <v>0</v>
      </c>
      <c r="J129" s="62">
        <f>'дод 3 '!K188</f>
        <v>0</v>
      </c>
      <c r="K129" s="62">
        <f>'дод 3 '!L188</f>
        <v>0</v>
      </c>
      <c r="L129" s="62">
        <f>'дод 3 '!M188</f>
        <v>0</v>
      </c>
      <c r="M129" s="62">
        <f>'дод 3 '!N188</f>
        <v>0</v>
      </c>
      <c r="N129" s="62">
        <f>'дод 3 '!O188</f>
        <v>0</v>
      </c>
      <c r="O129" s="62">
        <f>'дод 3 '!P188</f>
        <v>75000</v>
      </c>
      <c r="P129" s="146"/>
    </row>
    <row r="130" spans="1:16" s="82" customFormat="1" ht="25.5" customHeight="1" x14ac:dyDescent="0.25">
      <c r="A130" s="46" t="s">
        <v>14</v>
      </c>
      <c r="B130" s="46" t="s">
        <v>112</v>
      </c>
      <c r="C130" s="3" t="s">
        <v>15</v>
      </c>
      <c r="D130" s="62">
        <f>'дод 3 '!E43+'дод 3 '!E69+'дод 3 '!E148+'дод 3 '!E189+'дод 3 '!E125</f>
        <v>0</v>
      </c>
      <c r="E130" s="62">
        <f>'дод 3 '!F43+'дод 3 '!F69+'дод 3 '!F148+'дод 3 '!F189+'дод 3 '!F125</f>
        <v>0</v>
      </c>
      <c r="F130" s="62">
        <f>'дод 3 '!G43+'дод 3 '!G69+'дод 3 '!G148+'дод 3 '!G189+'дод 3 '!G125</f>
        <v>0</v>
      </c>
      <c r="G130" s="62">
        <f>'дод 3 '!H43+'дод 3 '!H69+'дод 3 '!H148+'дод 3 '!H189+'дод 3 '!H125</f>
        <v>0</v>
      </c>
      <c r="H130" s="62">
        <f>'дод 3 '!I43+'дод 3 '!I69+'дод 3 '!I148+'дод 3 '!I189+'дод 3 '!I125</f>
        <v>0</v>
      </c>
      <c r="I130" s="62">
        <f>'дод 3 '!J43+'дод 3 '!J69+'дод 3 '!J148+'дод 3 '!J189+'дод 3 '!J125</f>
        <v>6359543.4500000002</v>
      </c>
      <c r="J130" s="62">
        <f>'дод 3 '!K43+'дод 3 '!K69+'дод 3 '!K148+'дод 3 '!K189+'дод 3 '!K125</f>
        <v>0</v>
      </c>
      <c r="K130" s="62">
        <f>'дод 3 '!L43+'дод 3 '!L69+'дод 3 '!L148+'дод 3 '!L189+'дод 3 '!L125</f>
        <v>2546500</v>
      </c>
      <c r="L130" s="62">
        <f>'дод 3 '!M43+'дод 3 '!M69+'дод 3 '!M148+'дод 3 '!M189+'дод 3 '!M125</f>
        <v>0</v>
      </c>
      <c r="M130" s="62">
        <f>'дод 3 '!N43+'дод 3 '!N69+'дод 3 '!N148+'дод 3 '!N189+'дод 3 '!N125</f>
        <v>540000</v>
      </c>
      <c r="N130" s="62">
        <f>'дод 3 '!O43+'дод 3 '!O69+'дод 3 '!O148+'дод 3 '!O189+'дод 3 '!O125</f>
        <v>3813043.45</v>
      </c>
      <c r="O130" s="62">
        <f>'дод 3 '!P43+'дод 3 '!P69+'дод 3 '!P148+'дод 3 '!P189+'дод 3 '!P125</f>
        <v>6359543.4500000002</v>
      </c>
      <c r="P130" s="146"/>
    </row>
    <row r="131" spans="1:16" s="82" customFormat="1" ht="26.25" customHeight="1" x14ac:dyDescent="0.25">
      <c r="A131" s="47" t="s">
        <v>161</v>
      </c>
      <c r="B131" s="48"/>
      <c r="C131" s="2" t="s">
        <v>95</v>
      </c>
      <c r="D131" s="61">
        <f t="shared" ref="D131:O131" si="22">D132</f>
        <v>100000</v>
      </c>
      <c r="E131" s="61">
        <f t="shared" si="22"/>
        <v>100000</v>
      </c>
      <c r="F131" s="61">
        <f t="shared" si="22"/>
        <v>0</v>
      </c>
      <c r="G131" s="61">
        <f t="shared" si="22"/>
        <v>0</v>
      </c>
      <c r="H131" s="61">
        <f t="shared" si="22"/>
        <v>0</v>
      </c>
      <c r="I131" s="61">
        <f t="shared" si="22"/>
        <v>0</v>
      </c>
      <c r="J131" s="61">
        <f t="shared" si="22"/>
        <v>0</v>
      </c>
      <c r="K131" s="61">
        <f t="shared" si="22"/>
        <v>0</v>
      </c>
      <c r="L131" s="61">
        <f t="shared" si="22"/>
        <v>0</v>
      </c>
      <c r="M131" s="61">
        <f t="shared" si="22"/>
        <v>0</v>
      </c>
      <c r="N131" s="61">
        <f t="shared" si="22"/>
        <v>0</v>
      </c>
      <c r="O131" s="61">
        <f t="shared" si="22"/>
        <v>100000</v>
      </c>
      <c r="P131" s="146"/>
    </row>
    <row r="132" spans="1:16" s="82" customFormat="1" ht="25.5" customHeight="1" x14ac:dyDescent="0.25">
      <c r="A132" s="46" t="s">
        <v>297</v>
      </c>
      <c r="B132" s="51" t="s">
        <v>96</v>
      </c>
      <c r="C132" s="3" t="s">
        <v>298</v>
      </c>
      <c r="D132" s="62">
        <f>'дод 3 '!E44</f>
        <v>100000</v>
      </c>
      <c r="E132" s="62">
        <f>'дод 3 '!F44</f>
        <v>100000</v>
      </c>
      <c r="F132" s="62">
        <f>'дод 3 '!G44</f>
        <v>0</v>
      </c>
      <c r="G132" s="62">
        <f>'дод 3 '!H44</f>
        <v>0</v>
      </c>
      <c r="H132" s="62">
        <f>'дод 3 '!I44</f>
        <v>0</v>
      </c>
      <c r="I132" s="62">
        <f>'дод 3 '!J44</f>
        <v>0</v>
      </c>
      <c r="J132" s="62">
        <f>'дод 3 '!K44</f>
        <v>0</v>
      </c>
      <c r="K132" s="62">
        <f>'дод 3 '!L44</f>
        <v>0</v>
      </c>
      <c r="L132" s="62">
        <f>'дод 3 '!M44</f>
        <v>0</v>
      </c>
      <c r="M132" s="62">
        <f>'дод 3 '!N44</f>
        <v>0</v>
      </c>
      <c r="N132" s="62">
        <f>'дод 3 '!O44</f>
        <v>0</v>
      </c>
      <c r="O132" s="62">
        <f>'дод 3 '!P44</f>
        <v>100000</v>
      </c>
      <c r="P132" s="146"/>
    </row>
    <row r="133" spans="1:16" s="82" customFormat="1" ht="26.25" customHeight="1" x14ac:dyDescent="0.25">
      <c r="A133" s="47" t="s">
        <v>115</v>
      </c>
      <c r="B133" s="47" t="s">
        <v>110</v>
      </c>
      <c r="C133" s="2" t="s">
        <v>16</v>
      </c>
      <c r="D133" s="61">
        <f>'дод 3 '!E190</f>
        <v>712065</v>
      </c>
      <c r="E133" s="61">
        <f>'дод 3 '!F190</f>
        <v>712065</v>
      </c>
      <c r="F133" s="61">
        <f>'дод 3 '!G190</f>
        <v>0</v>
      </c>
      <c r="G133" s="61">
        <f>'дод 3 '!H190</f>
        <v>0</v>
      </c>
      <c r="H133" s="61">
        <f>'дод 3 '!I190</f>
        <v>0</v>
      </c>
      <c r="I133" s="61">
        <f>'дод 3 '!J190</f>
        <v>0</v>
      </c>
      <c r="J133" s="61">
        <f>'дод 3 '!K190</f>
        <v>0</v>
      </c>
      <c r="K133" s="61">
        <f>'дод 3 '!L190</f>
        <v>0</v>
      </c>
      <c r="L133" s="61">
        <f>'дод 3 '!M190</f>
        <v>0</v>
      </c>
      <c r="M133" s="61">
        <f>'дод 3 '!N190</f>
        <v>0</v>
      </c>
      <c r="N133" s="61">
        <f>'дод 3 '!O190</f>
        <v>0</v>
      </c>
      <c r="O133" s="61">
        <f>'дод 3 '!P190</f>
        <v>712065</v>
      </c>
      <c r="P133" s="146"/>
    </row>
    <row r="134" spans="1:16" s="82" customFormat="1" ht="26.25" customHeight="1" x14ac:dyDescent="0.25">
      <c r="A134" s="47" t="s">
        <v>17</v>
      </c>
      <c r="B134" s="47" t="s">
        <v>113</v>
      </c>
      <c r="C134" s="2" t="s">
        <v>26</v>
      </c>
      <c r="D134" s="61">
        <f>'дод 3 '!E191</f>
        <v>20142390</v>
      </c>
      <c r="E134" s="61">
        <f>'дод 3 '!F191</f>
        <v>0</v>
      </c>
      <c r="F134" s="61">
        <f>'дод 3 '!G191</f>
        <v>0</v>
      </c>
      <c r="G134" s="61">
        <f>'дод 3 '!H191</f>
        <v>0</v>
      </c>
      <c r="H134" s="61">
        <f>'дод 3 '!I191</f>
        <v>0</v>
      </c>
      <c r="I134" s="61">
        <f>'дод 3 '!J191</f>
        <v>0</v>
      </c>
      <c r="J134" s="61">
        <f>'дод 3 '!K191</f>
        <v>0</v>
      </c>
      <c r="K134" s="61">
        <f>'дод 3 '!L191</f>
        <v>0</v>
      </c>
      <c r="L134" s="61">
        <f>'дод 3 '!M191</f>
        <v>0</v>
      </c>
      <c r="M134" s="61">
        <f>'дод 3 '!N191</f>
        <v>0</v>
      </c>
      <c r="N134" s="61">
        <f>'дод 3 '!O191</f>
        <v>0</v>
      </c>
      <c r="O134" s="61">
        <f>'дод 3 '!P191</f>
        <v>20142390</v>
      </c>
      <c r="P134" s="146"/>
    </row>
    <row r="135" spans="1:16" s="82" customFormat="1" ht="27.75" customHeight="1" x14ac:dyDescent="0.25">
      <c r="A135" s="47" t="s">
        <v>18</v>
      </c>
      <c r="B135" s="47"/>
      <c r="C135" s="2" t="s">
        <v>131</v>
      </c>
      <c r="D135" s="61">
        <f>D136+D138+D140</f>
        <v>109639485</v>
      </c>
      <c r="E135" s="61">
        <f t="shared" ref="E135:O135" si="23">E136+E138+E140</f>
        <v>109639485</v>
      </c>
      <c r="F135" s="61">
        <f t="shared" si="23"/>
        <v>0</v>
      </c>
      <c r="G135" s="61">
        <f t="shared" si="23"/>
        <v>0</v>
      </c>
      <c r="H135" s="61">
        <f t="shared" si="23"/>
        <v>0</v>
      </c>
      <c r="I135" s="61">
        <f t="shared" si="23"/>
        <v>7632000</v>
      </c>
      <c r="J135" s="61">
        <f t="shared" si="23"/>
        <v>7632000</v>
      </c>
      <c r="K135" s="61">
        <f t="shared" si="23"/>
        <v>0</v>
      </c>
      <c r="L135" s="61">
        <f t="shared" si="23"/>
        <v>0</v>
      </c>
      <c r="M135" s="61">
        <f t="shared" si="23"/>
        <v>0</v>
      </c>
      <c r="N135" s="61">
        <f t="shared" si="23"/>
        <v>7632000</v>
      </c>
      <c r="O135" s="61">
        <f t="shared" si="23"/>
        <v>117271485</v>
      </c>
      <c r="P135" s="144">
        <v>25</v>
      </c>
    </row>
    <row r="136" spans="1:16" s="82" customFormat="1" ht="21.75" customHeight="1" x14ac:dyDescent="0.25">
      <c r="A136" s="47" t="s">
        <v>295</v>
      </c>
      <c r="B136" s="47"/>
      <c r="C136" s="2" t="s">
        <v>348</v>
      </c>
      <c r="D136" s="61">
        <f t="shared" ref="D136:O136" si="24">D137</f>
        <v>108116600</v>
      </c>
      <c r="E136" s="61">
        <f t="shared" si="24"/>
        <v>108116600</v>
      </c>
      <c r="F136" s="61">
        <f t="shared" si="24"/>
        <v>0</v>
      </c>
      <c r="G136" s="61">
        <f t="shared" si="24"/>
        <v>0</v>
      </c>
      <c r="H136" s="61">
        <f t="shared" si="24"/>
        <v>0</v>
      </c>
      <c r="I136" s="61">
        <f t="shared" si="24"/>
        <v>0</v>
      </c>
      <c r="J136" s="61">
        <f t="shared" si="24"/>
        <v>0</v>
      </c>
      <c r="K136" s="61">
        <f t="shared" si="24"/>
        <v>0</v>
      </c>
      <c r="L136" s="61">
        <f t="shared" si="24"/>
        <v>0</v>
      </c>
      <c r="M136" s="61">
        <f t="shared" si="24"/>
        <v>0</v>
      </c>
      <c r="N136" s="61">
        <f t="shared" si="24"/>
        <v>0</v>
      </c>
      <c r="O136" s="61">
        <f t="shared" si="24"/>
        <v>108116600</v>
      </c>
      <c r="P136" s="144"/>
    </row>
    <row r="137" spans="1:16" s="82" customFormat="1" ht="21.75" customHeight="1" x14ac:dyDescent="0.25">
      <c r="A137" s="46" t="s">
        <v>111</v>
      </c>
      <c r="B137" s="51" t="s">
        <v>59</v>
      </c>
      <c r="C137" s="3" t="s">
        <v>130</v>
      </c>
      <c r="D137" s="62">
        <f>'дод 3 '!E192</f>
        <v>108116600</v>
      </c>
      <c r="E137" s="62">
        <f>'дод 3 '!F192</f>
        <v>108116600</v>
      </c>
      <c r="F137" s="62">
        <f>'дод 3 '!G192</f>
        <v>0</v>
      </c>
      <c r="G137" s="62">
        <f>'дод 3 '!H192</f>
        <v>0</v>
      </c>
      <c r="H137" s="62">
        <f>'дод 3 '!I192</f>
        <v>0</v>
      </c>
      <c r="I137" s="62">
        <f>'дод 3 '!J192</f>
        <v>0</v>
      </c>
      <c r="J137" s="62">
        <f>'дод 3 '!K192</f>
        <v>0</v>
      </c>
      <c r="K137" s="62">
        <f>'дод 3 '!L192</f>
        <v>0</v>
      </c>
      <c r="L137" s="62">
        <f>'дод 3 '!M192</f>
        <v>0</v>
      </c>
      <c r="M137" s="62">
        <f>'дод 3 '!N192</f>
        <v>0</v>
      </c>
      <c r="N137" s="62">
        <f>'дод 3 '!O192</f>
        <v>0</v>
      </c>
      <c r="O137" s="62">
        <f>'дод 3 '!P192</f>
        <v>108116600</v>
      </c>
      <c r="P137" s="144"/>
    </row>
    <row r="138" spans="1:16" s="82" customFormat="1" ht="50.25" customHeight="1" x14ac:dyDescent="0.25">
      <c r="A138" s="47" t="s">
        <v>19</v>
      </c>
      <c r="B138" s="48"/>
      <c r="C138" s="2" t="s">
        <v>408</v>
      </c>
      <c r="D138" s="61">
        <f t="shared" ref="D138:O138" si="25">D139</f>
        <v>1438000</v>
      </c>
      <c r="E138" s="61">
        <f t="shared" si="25"/>
        <v>1438000</v>
      </c>
      <c r="F138" s="61">
        <f t="shared" si="25"/>
        <v>0</v>
      </c>
      <c r="G138" s="61">
        <f t="shared" si="25"/>
        <v>0</v>
      </c>
      <c r="H138" s="61">
        <f t="shared" si="25"/>
        <v>0</v>
      </c>
      <c r="I138" s="61">
        <f t="shared" si="25"/>
        <v>7632000</v>
      </c>
      <c r="J138" s="61">
        <f t="shared" si="25"/>
        <v>7632000</v>
      </c>
      <c r="K138" s="61">
        <f t="shared" si="25"/>
        <v>0</v>
      </c>
      <c r="L138" s="61">
        <f t="shared" si="25"/>
        <v>0</v>
      </c>
      <c r="M138" s="61">
        <f t="shared" si="25"/>
        <v>0</v>
      </c>
      <c r="N138" s="61">
        <f t="shared" si="25"/>
        <v>7632000</v>
      </c>
      <c r="O138" s="61">
        <f t="shared" si="25"/>
        <v>9070000</v>
      </c>
      <c r="P138" s="144"/>
    </row>
    <row r="139" spans="1:16" s="82" customFormat="1" ht="30.75" customHeight="1" x14ac:dyDescent="0.25">
      <c r="A139" s="46" t="s">
        <v>20</v>
      </c>
      <c r="B139" s="51" t="s">
        <v>59</v>
      </c>
      <c r="C139" s="6" t="s">
        <v>417</v>
      </c>
      <c r="D139" s="62">
        <f>'дод 3 '!E149+'дод 3 '!E110</f>
        <v>1438000</v>
      </c>
      <c r="E139" s="62">
        <f>'дод 3 '!F149+'дод 3 '!F110</f>
        <v>1438000</v>
      </c>
      <c r="F139" s="62">
        <f>'дод 3 '!G149+'дод 3 '!G110</f>
        <v>0</v>
      </c>
      <c r="G139" s="62">
        <f>'дод 3 '!H149+'дод 3 '!H110</f>
        <v>0</v>
      </c>
      <c r="H139" s="62">
        <f>'дод 3 '!I149+'дод 3 '!I110</f>
        <v>0</v>
      </c>
      <c r="I139" s="62">
        <f>'дод 3 '!J149+'дод 3 '!J110</f>
        <v>7632000</v>
      </c>
      <c r="J139" s="62">
        <f>'дод 3 '!K149+'дод 3 '!K110</f>
        <v>7632000</v>
      </c>
      <c r="K139" s="62">
        <f>'дод 3 '!L149+'дод 3 '!L110</f>
        <v>0</v>
      </c>
      <c r="L139" s="62">
        <f>'дод 3 '!M149+'дод 3 '!M110</f>
        <v>0</v>
      </c>
      <c r="M139" s="62">
        <f>'дод 3 '!N149+'дод 3 '!N110</f>
        <v>0</v>
      </c>
      <c r="N139" s="62">
        <f>'дод 3 '!O149+'дод 3 '!O110</f>
        <v>7632000</v>
      </c>
      <c r="O139" s="62">
        <f>'дод 3 '!P149+'дод 3 '!P110</f>
        <v>9070000</v>
      </c>
      <c r="P139" s="144"/>
    </row>
    <row r="140" spans="1:16" s="82" customFormat="1" ht="55.5" customHeight="1" x14ac:dyDescent="0.25">
      <c r="A140" s="47" t="s">
        <v>444</v>
      </c>
      <c r="B140" s="48" t="s">
        <v>59</v>
      </c>
      <c r="C140" s="9" t="s">
        <v>441</v>
      </c>
      <c r="D140" s="62">
        <f>'дод 3 '!E70</f>
        <v>84885</v>
      </c>
      <c r="E140" s="62">
        <f>'дод 3 '!F70</f>
        <v>84885</v>
      </c>
      <c r="F140" s="62">
        <f>'дод 3 '!G70</f>
        <v>0</v>
      </c>
      <c r="G140" s="62">
        <f>'дод 3 '!H70</f>
        <v>0</v>
      </c>
      <c r="H140" s="62">
        <f>'дод 3 '!I70</f>
        <v>0</v>
      </c>
      <c r="I140" s="62">
        <f>'дод 3 '!J70</f>
        <v>0</v>
      </c>
      <c r="J140" s="62">
        <f>'дод 3 '!K70</f>
        <v>0</v>
      </c>
      <c r="K140" s="62">
        <f>'дод 3 '!L70</f>
        <v>0</v>
      </c>
      <c r="L140" s="62">
        <f>'дод 3 '!M70</f>
        <v>0</v>
      </c>
      <c r="M140" s="62">
        <f>'дод 3 '!N70</f>
        <v>0</v>
      </c>
      <c r="N140" s="62">
        <f>'дод 3 '!O70</f>
        <v>0</v>
      </c>
      <c r="O140" s="62">
        <f>'дод 3 '!P70</f>
        <v>84885</v>
      </c>
      <c r="P140" s="144"/>
    </row>
    <row r="141" spans="1:16" s="82" customFormat="1" ht="25.5" customHeight="1" x14ac:dyDescent="0.25">
      <c r="A141" s="7"/>
      <c r="B141" s="7"/>
      <c r="C141" s="2" t="s">
        <v>27</v>
      </c>
      <c r="D141" s="61">
        <f>D13+D16+D33+D46+D70+D75+D82+D91+D122+D135</f>
        <v>2037109141.0700002</v>
      </c>
      <c r="E141" s="61">
        <f t="shared" ref="E141:O141" si="26">E13+E16+E33+E46+E70+E75+E82+E91+E122+E135</f>
        <v>1971965313.0700002</v>
      </c>
      <c r="F141" s="61">
        <f t="shared" si="26"/>
        <v>908809662</v>
      </c>
      <c r="G141" s="61">
        <f t="shared" si="26"/>
        <v>121640963</v>
      </c>
      <c r="H141" s="61">
        <f t="shared" si="26"/>
        <v>45001438</v>
      </c>
      <c r="I141" s="61">
        <f t="shared" si="26"/>
        <v>555259626.61000001</v>
      </c>
      <c r="J141" s="61">
        <f t="shared" si="26"/>
        <v>474608379.96999997</v>
      </c>
      <c r="K141" s="61">
        <f t="shared" si="26"/>
        <v>64683011.009999998</v>
      </c>
      <c r="L141" s="61">
        <f t="shared" si="26"/>
        <v>9012497</v>
      </c>
      <c r="M141" s="61">
        <f t="shared" si="26"/>
        <v>3810541</v>
      </c>
      <c r="N141" s="61">
        <f t="shared" si="26"/>
        <v>490576615.59999996</v>
      </c>
      <c r="O141" s="61">
        <f t="shared" si="26"/>
        <v>2592368767.6799998</v>
      </c>
      <c r="P141" s="144"/>
    </row>
    <row r="142" spans="1:16" s="82" customFormat="1" ht="25.5" customHeight="1" x14ac:dyDescent="0.25">
      <c r="A142" s="7"/>
      <c r="B142" s="7"/>
      <c r="C142" s="2" t="s">
        <v>308</v>
      </c>
      <c r="D142" s="61">
        <f>D17+D34+D92</f>
        <v>433222465</v>
      </c>
      <c r="E142" s="61">
        <f t="shared" ref="E142:O142" si="27">E17+E34+E92</f>
        <v>433222465</v>
      </c>
      <c r="F142" s="61">
        <f t="shared" si="27"/>
        <v>307031030</v>
      </c>
      <c r="G142" s="61">
        <f t="shared" si="27"/>
        <v>0</v>
      </c>
      <c r="H142" s="61">
        <f t="shared" si="27"/>
        <v>0</v>
      </c>
      <c r="I142" s="61">
        <f t="shared" si="27"/>
        <v>2015506.93</v>
      </c>
      <c r="J142" s="61">
        <f t="shared" si="27"/>
        <v>2015506.93</v>
      </c>
      <c r="K142" s="61">
        <f t="shared" si="27"/>
        <v>0</v>
      </c>
      <c r="L142" s="61">
        <f t="shared" si="27"/>
        <v>0</v>
      </c>
      <c r="M142" s="61">
        <f t="shared" si="27"/>
        <v>0</v>
      </c>
      <c r="N142" s="61">
        <f t="shared" si="27"/>
        <v>2015506.93</v>
      </c>
      <c r="O142" s="61">
        <f t="shared" si="27"/>
        <v>435237971.93000001</v>
      </c>
      <c r="P142" s="144"/>
    </row>
    <row r="143" spans="1:16" s="54" customFormat="1" x14ac:dyDescent="0.25">
      <c r="A143" s="112"/>
      <c r="B143" s="53"/>
      <c r="C143" s="53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144"/>
    </row>
    <row r="144" spans="1:16" ht="15.75" customHeight="1" x14ac:dyDescent="0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144"/>
    </row>
    <row r="145" spans="1:25" ht="28.5" customHeight="1" x14ac:dyDescent="0.25">
      <c r="A145" s="98"/>
      <c r="B145" s="98"/>
      <c r="C145" s="98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44"/>
    </row>
    <row r="146" spans="1:25" ht="30" customHeight="1" x14ac:dyDescent="0.25">
      <c r="A146" s="98"/>
      <c r="B146" s="98"/>
      <c r="C146" s="98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44"/>
    </row>
    <row r="147" spans="1:25" ht="30" customHeight="1" x14ac:dyDescent="0.25">
      <c r="A147" s="98"/>
      <c r="B147" s="98"/>
      <c r="C147" s="98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44"/>
    </row>
    <row r="148" spans="1:25" ht="15.75" customHeight="1" x14ac:dyDescent="0.25">
      <c r="A148" s="119"/>
      <c r="B148" s="11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144"/>
    </row>
    <row r="149" spans="1:25" s="136" customFormat="1" ht="35.25" customHeight="1" x14ac:dyDescent="0.5">
      <c r="A149" s="134" t="s">
        <v>455</v>
      </c>
      <c r="B149" s="134"/>
      <c r="C149" s="134"/>
      <c r="D149" s="134"/>
      <c r="E149" s="134"/>
      <c r="F149" s="134"/>
      <c r="G149" s="134"/>
      <c r="H149" s="134"/>
      <c r="I149" s="135"/>
      <c r="J149" s="135"/>
      <c r="K149" s="135"/>
      <c r="M149" s="147" t="s">
        <v>453</v>
      </c>
      <c r="N149" s="147"/>
      <c r="O149" s="147"/>
      <c r="P149" s="144"/>
      <c r="Q149" s="109"/>
      <c r="R149" s="137"/>
      <c r="S149" s="137"/>
      <c r="T149" s="137"/>
      <c r="U149" s="137"/>
      <c r="V149" s="137"/>
      <c r="W149" s="137"/>
      <c r="X149" s="138"/>
      <c r="Y149" s="139"/>
    </row>
    <row r="150" spans="1:25" ht="23.25" customHeight="1" x14ac:dyDescent="0.25"/>
    <row r="152" spans="1:25" ht="22.5" customHeight="1" x14ac:dyDescent="0.25"/>
  </sheetData>
  <mergeCells count="26">
    <mergeCell ref="P34:P57"/>
    <mergeCell ref="I10:N10"/>
    <mergeCell ref="H11:H12"/>
    <mergeCell ref="I11:I12"/>
    <mergeCell ref="J11:J12"/>
    <mergeCell ref="P1:P33"/>
    <mergeCell ref="J3:M3"/>
    <mergeCell ref="A6:O6"/>
    <mergeCell ref="B10:B12"/>
    <mergeCell ref="C10:C12"/>
    <mergeCell ref="A10:A12"/>
    <mergeCell ref="D11:D12"/>
    <mergeCell ref="A7:B7"/>
    <mergeCell ref="A8:B8"/>
    <mergeCell ref="E11:E12"/>
    <mergeCell ref="O10:O12"/>
    <mergeCell ref="P58:P79"/>
    <mergeCell ref="P80:P107"/>
    <mergeCell ref="P108:P134"/>
    <mergeCell ref="M149:O149"/>
    <mergeCell ref="P135:P149"/>
    <mergeCell ref="F11:G11"/>
    <mergeCell ref="K11:K12"/>
    <mergeCell ref="L11:M11"/>
    <mergeCell ref="N11:N12"/>
    <mergeCell ref="D10:H10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5" fitToHeight="100" orientation="landscape" verticalDpi="300" r:id="rId1"/>
  <headerFooter differentFirst="1" scaleWithDoc="0" alignWithMargins="0">
    <oddHeader>&amp;RПродовження додатку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Кравченко Марина Анатоліївна</cp:lastModifiedBy>
  <cp:lastPrinted>2020-03-16T16:51:01Z</cp:lastPrinted>
  <dcterms:created xsi:type="dcterms:W3CDTF">2014-01-17T10:52:16Z</dcterms:created>
  <dcterms:modified xsi:type="dcterms:W3CDTF">2020-03-18T07:10:57Z</dcterms:modified>
</cp:coreProperties>
</file>