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Лютий\звіт 2019 рік\МВК\Доопрацьовано\"/>
    </mc:Choice>
  </mc:AlternateContent>
  <bookViews>
    <workbookView xWindow="0" yWindow="0" windowWidth="19200" windowHeight="11460" tabRatio="462" activeTab="1"/>
  </bookViews>
  <sheets>
    <sheet name="дод 2" sheetId="1" r:id="rId1"/>
    <sheet name="дод 3" sheetId="3" r:id="rId2"/>
  </sheets>
  <definedNames>
    <definedName name="_xlnm.Print_Titles" localSheetId="0">'дод 2'!$8:$11</definedName>
    <definedName name="_xlnm.Print_Titles" localSheetId="1">'дод 3'!$8:$11</definedName>
    <definedName name="_xlnm.Print_Area" localSheetId="0">'дод 2'!$A$1:$Z$327</definedName>
    <definedName name="_xlnm.Print_Area" localSheetId="1">'дод 3'!$A$1:$Y$243</definedName>
  </definedNames>
  <calcPr calcId="162913"/>
</workbook>
</file>

<file path=xl/calcChain.xml><?xml version="1.0" encoding="utf-8"?>
<calcChain xmlns="http://schemas.openxmlformats.org/spreadsheetml/2006/main">
  <c r="Y52" i="1" l="1"/>
  <c r="M52" i="1"/>
  <c r="N52" i="1"/>
  <c r="O52" i="1"/>
  <c r="P52" i="1"/>
  <c r="Q52" i="1"/>
  <c r="R52" i="1"/>
  <c r="S52" i="1"/>
  <c r="T52" i="1"/>
  <c r="U52" i="1"/>
  <c r="V52" i="1"/>
  <c r="W52" i="1"/>
  <c r="L52" i="1"/>
  <c r="F52" i="1"/>
  <c r="G52" i="1"/>
  <c r="H52" i="1"/>
  <c r="I52" i="1"/>
  <c r="J52" i="1"/>
  <c r="E52" i="1"/>
  <c r="K168" i="1" l="1"/>
  <c r="Y307" i="1" l="1"/>
  <c r="Y306" i="1"/>
  <c r="R145" i="3" l="1"/>
  <c r="R233" i="1"/>
  <c r="Y233" i="1" s="1"/>
  <c r="J193" i="1" l="1"/>
  <c r="I193" i="1"/>
  <c r="I192" i="1" s="1"/>
  <c r="H193" i="1"/>
  <c r="J192" i="1"/>
  <c r="H192" i="1"/>
  <c r="H51" i="1" l="1"/>
  <c r="H82" i="1"/>
  <c r="H116" i="1"/>
  <c r="H201" i="1"/>
  <c r="H212" i="1"/>
  <c r="H247" i="1"/>
  <c r="H276" i="1"/>
  <c r="H286" i="1"/>
  <c r="H299" i="1"/>
  <c r="I141" i="3" l="1"/>
  <c r="H141" i="3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4" i="3"/>
  <c r="H134" i="3"/>
  <c r="G134" i="3"/>
  <c r="I133" i="3"/>
  <c r="H133" i="3"/>
  <c r="G133" i="3"/>
  <c r="I132" i="3"/>
  <c r="H132" i="3"/>
  <c r="G132" i="3"/>
  <c r="I131" i="3"/>
  <c r="H131" i="3"/>
  <c r="G131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I36" i="3" s="1"/>
  <c r="H38" i="3"/>
  <c r="H36" i="3" s="1"/>
  <c r="G38" i="3"/>
  <c r="I37" i="3"/>
  <c r="I35" i="3" s="1"/>
  <c r="H37" i="3"/>
  <c r="H35" i="3" s="1"/>
  <c r="G37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4" i="3"/>
  <c r="H14" i="3"/>
  <c r="G14" i="3"/>
  <c r="I13" i="3"/>
  <c r="H13" i="3"/>
  <c r="G13" i="3"/>
  <c r="V227" i="3"/>
  <c r="U227" i="3"/>
  <c r="T227" i="3"/>
  <c r="S227" i="3"/>
  <c r="R227" i="3"/>
  <c r="V225" i="3"/>
  <c r="U225" i="3"/>
  <c r="T225" i="3"/>
  <c r="S225" i="3"/>
  <c r="R225" i="3"/>
  <c r="V224" i="3"/>
  <c r="U224" i="3"/>
  <c r="T224" i="3"/>
  <c r="S224" i="3"/>
  <c r="R224" i="3"/>
  <c r="V223" i="3"/>
  <c r="U223" i="3"/>
  <c r="T223" i="3"/>
  <c r="S223" i="3"/>
  <c r="R223" i="3"/>
  <c r="V222" i="3"/>
  <c r="U222" i="3"/>
  <c r="T222" i="3"/>
  <c r="S222" i="3"/>
  <c r="R222" i="3"/>
  <c r="V221" i="3"/>
  <c r="U221" i="3"/>
  <c r="T221" i="3"/>
  <c r="S221" i="3"/>
  <c r="R221" i="3"/>
  <c r="V220" i="3"/>
  <c r="U220" i="3"/>
  <c r="T220" i="3"/>
  <c r="S220" i="3"/>
  <c r="R220" i="3"/>
  <c r="V217" i="3"/>
  <c r="U217" i="3"/>
  <c r="T217" i="3"/>
  <c r="S217" i="3"/>
  <c r="R217" i="3"/>
  <c r="V209" i="3"/>
  <c r="U209" i="3"/>
  <c r="T209" i="3"/>
  <c r="S209" i="3"/>
  <c r="R209" i="3"/>
  <c r="V207" i="3"/>
  <c r="U207" i="3"/>
  <c r="T207" i="3"/>
  <c r="S207" i="3"/>
  <c r="R207" i="3"/>
  <c r="V204" i="3"/>
  <c r="U204" i="3"/>
  <c r="T204" i="3"/>
  <c r="S204" i="3"/>
  <c r="R204" i="3"/>
  <c r="V202" i="3"/>
  <c r="U202" i="3"/>
  <c r="T202" i="3"/>
  <c r="S202" i="3"/>
  <c r="R202" i="3"/>
  <c r="V201" i="3"/>
  <c r="U201" i="3"/>
  <c r="T201" i="3"/>
  <c r="S201" i="3"/>
  <c r="R201" i="3"/>
  <c r="V197" i="3"/>
  <c r="U197" i="3"/>
  <c r="T197" i="3"/>
  <c r="S197" i="3"/>
  <c r="R197" i="3"/>
  <c r="V195" i="3"/>
  <c r="U195" i="3"/>
  <c r="T195" i="3"/>
  <c r="S195" i="3"/>
  <c r="R195" i="3"/>
  <c r="V194" i="3"/>
  <c r="U194" i="3"/>
  <c r="T194" i="3"/>
  <c r="S194" i="3"/>
  <c r="R194" i="3"/>
  <c r="V193" i="3"/>
  <c r="U193" i="3"/>
  <c r="T193" i="3"/>
  <c r="S193" i="3"/>
  <c r="R193" i="3"/>
  <c r="V192" i="3"/>
  <c r="U192" i="3"/>
  <c r="T192" i="3"/>
  <c r="S192" i="3"/>
  <c r="R192" i="3"/>
  <c r="V191" i="3"/>
  <c r="U191" i="3"/>
  <c r="T191" i="3"/>
  <c r="S191" i="3"/>
  <c r="R191" i="3"/>
  <c r="V190" i="3"/>
  <c r="U190" i="3"/>
  <c r="T190" i="3"/>
  <c r="S190" i="3"/>
  <c r="R190" i="3"/>
  <c r="V189" i="3"/>
  <c r="U189" i="3"/>
  <c r="T189" i="3"/>
  <c r="S189" i="3"/>
  <c r="R189" i="3"/>
  <c r="V188" i="3"/>
  <c r="U188" i="3"/>
  <c r="T188" i="3"/>
  <c r="S188" i="3"/>
  <c r="R188" i="3"/>
  <c r="V186" i="3"/>
  <c r="U186" i="3"/>
  <c r="T186" i="3"/>
  <c r="S186" i="3"/>
  <c r="R186" i="3"/>
  <c r="V184" i="3"/>
  <c r="U184" i="3"/>
  <c r="T184" i="3"/>
  <c r="S184" i="3"/>
  <c r="R184" i="3"/>
  <c r="V183" i="3"/>
  <c r="U183" i="3"/>
  <c r="T183" i="3"/>
  <c r="S183" i="3"/>
  <c r="R183" i="3"/>
  <c r="V182" i="3"/>
  <c r="U182" i="3"/>
  <c r="T182" i="3"/>
  <c r="S182" i="3"/>
  <c r="R182" i="3"/>
  <c r="V181" i="3"/>
  <c r="U181" i="3"/>
  <c r="T181" i="3"/>
  <c r="S181" i="3"/>
  <c r="R181" i="3"/>
  <c r="V180" i="3"/>
  <c r="U180" i="3"/>
  <c r="T180" i="3"/>
  <c r="S180" i="3"/>
  <c r="R180" i="3"/>
  <c r="V179" i="3"/>
  <c r="U179" i="3"/>
  <c r="T179" i="3"/>
  <c r="S179" i="3"/>
  <c r="R179" i="3"/>
  <c r="V178" i="3"/>
  <c r="U178" i="3"/>
  <c r="T178" i="3"/>
  <c r="S178" i="3"/>
  <c r="R178" i="3"/>
  <c r="V177" i="3"/>
  <c r="U177" i="3"/>
  <c r="T177" i="3"/>
  <c r="S177" i="3"/>
  <c r="R177" i="3"/>
  <c r="V174" i="3"/>
  <c r="U174" i="3"/>
  <c r="T174" i="3"/>
  <c r="S174" i="3"/>
  <c r="R174" i="3"/>
  <c r="V173" i="3"/>
  <c r="U173" i="3"/>
  <c r="T173" i="3"/>
  <c r="S173" i="3"/>
  <c r="R173" i="3"/>
  <c r="V172" i="3"/>
  <c r="U172" i="3"/>
  <c r="T172" i="3"/>
  <c r="S172" i="3"/>
  <c r="R172" i="3"/>
  <c r="V171" i="3"/>
  <c r="U171" i="3"/>
  <c r="T171" i="3"/>
  <c r="S171" i="3"/>
  <c r="R171" i="3"/>
  <c r="V170" i="3"/>
  <c r="U170" i="3"/>
  <c r="T170" i="3"/>
  <c r="S170" i="3"/>
  <c r="R170" i="3"/>
  <c r="V169" i="3"/>
  <c r="U169" i="3"/>
  <c r="T169" i="3"/>
  <c r="S169" i="3"/>
  <c r="R169" i="3"/>
  <c r="V168" i="3"/>
  <c r="U168" i="3"/>
  <c r="T168" i="3"/>
  <c r="S168" i="3"/>
  <c r="R168" i="3"/>
  <c r="V167" i="3"/>
  <c r="U167" i="3"/>
  <c r="T167" i="3"/>
  <c r="S167" i="3"/>
  <c r="R167" i="3"/>
  <c r="V166" i="3"/>
  <c r="U166" i="3"/>
  <c r="T166" i="3"/>
  <c r="S166" i="3"/>
  <c r="R166" i="3"/>
  <c r="V165" i="3"/>
  <c r="U165" i="3"/>
  <c r="T165" i="3"/>
  <c r="S165" i="3"/>
  <c r="R165" i="3"/>
  <c r="V164" i="3"/>
  <c r="U164" i="3"/>
  <c r="T164" i="3"/>
  <c r="S164" i="3"/>
  <c r="R164" i="3"/>
  <c r="V161" i="3"/>
  <c r="U161" i="3"/>
  <c r="T161" i="3"/>
  <c r="S161" i="3"/>
  <c r="R161" i="3"/>
  <c r="V157" i="3"/>
  <c r="U157" i="3"/>
  <c r="T157" i="3"/>
  <c r="S157" i="3"/>
  <c r="R157" i="3"/>
  <c r="V156" i="3"/>
  <c r="U156" i="3"/>
  <c r="T156" i="3"/>
  <c r="S156" i="3"/>
  <c r="R156" i="3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51" i="3"/>
  <c r="U151" i="3"/>
  <c r="T151" i="3"/>
  <c r="S151" i="3"/>
  <c r="R151" i="3"/>
  <c r="V150" i="3"/>
  <c r="U150" i="3"/>
  <c r="T150" i="3"/>
  <c r="S150" i="3"/>
  <c r="R150" i="3"/>
  <c r="V149" i="3"/>
  <c r="U149" i="3"/>
  <c r="T149" i="3"/>
  <c r="S149" i="3"/>
  <c r="R149" i="3"/>
  <c r="V148" i="3"/>
  <c r="U148" i="3"/>
  <c r="T148" i="3"/>
  <c r="S148" i="3"/>
  <c r="R148" i="3"/>
  <c r="V147" i="3"/>
  <c r="U147" i="3"/>
  <c r="T147" i="3"/>
  <c r="S147" i="3"/>
  <c r="R147" i="3"/>
  <c r="V146" i="3"/>
  <c r="U146" i="3"/>
  <c r="T146" i="3"/>
  <c r="S146" i="3"/>
  <c r="R146" i="3"/>
  <c r="V145" i="3"/>
  <c r="U145" i="3"/>
  <c r="T145" i="3"/>
  <c r="S145" i="3"/>
  <c r="V144" i="3"/>
  <c r="U144" i="3"/>
  <c r="T144" i="3"/>
  <c r="S144" i="3"/>
  <c r="R144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6" i="3"/>
  <c r="U136" i="3"/>
  <c r="T136" i="3"/>
  <c r="S136" i="3"/>
  <c r="R136" i="3"/>
  <c r="V134" i="3"/>
  <c r="U134" i="3"/>
  <c r="T134" i="3"/>
  <c r="S134" i="3"/>
  <c r="R134" i="3"/>
  <c r="V133" i="3"/>
  <c r="U133" i="3"/>
  <c r="T133" i="3"/>
  <c r="S133" i="3"/>
  <c r="R133" i="3"/>
  <c r="V132" i="3"/>
  <c r="U132" i="3"/>
  <c r="T132" i="3"/>
  <c r="S132" i="3"/>
  <c r="R132" i="3"/>
  <c r="V131" i="3"/>
  <c r="U131" i="3"/>
  <c r="T131" i="3"/>
  <c r="S131" i="3"/>
  <c r="R131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5" i="3"/>
  <c r="U125" i="3"/>
  <c r="T125" i="3"/>
  <c r="S125" i="3"/>
  <c r="R125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20" i="3"/>
  <c r="U120" i="3"/>
  <c r="T120" i="3"/>
  <c r="S120" i="3"/>
  <c r="R120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V103" i="3"/>
  <c r="U103" i="3"/>
  <c r="T103" i="3"/>
  <c r="S103" i="3"/>
  <c r="R103" i="3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R93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6" i="3"/>
  <c r="U86" i="3"/>
  <c r="T86" i="3"/>
  <c r="S86" i="3"/>
  <c r="R86" i="3"/>
  <c r="V85" i="3"/>
  <c r="U85" i="3"/>
  <c r="T85" i="3"/>
  <c r="S85" i="3"/>
  <c r="R85" i="3"/>
  <c r="V84" i="3"/>
  <c r="U84" i="3"/>
  <c r="T84" i="3"/>
  <c r="S84" i="3"/>
  <c r="R84" i="3"/>
  <c r="V83" i="3"/>
  <c r="U83" i="3"/>
  <c r="T83" i="3"/>
  <c r="S83" i="3"/>
  <c r="R83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61" i="3"/>
  <c r="U61" i="3"/>
  <c r="T61" i="3"/>
  <c r="S61" i="3"/>
  <c r="R61" i="3"/>
  <c r="V60" i="3"/>
  <c r="U60" i="3"/>
  <c r="T60" i="3"/>
  <c r="S60" i="3"/>
  <c r="R60" i="3"/>
  <c r="V59" i="3"/>
  <c r="U59" i="3"/>
  <c r="T59" i="3"/>
  <c r="S59" i="3"/>
  <c r="R59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U40" i="3"/>
  <c r="T40" i="3"/>
  <c r="S40" i="3"/>
  <c r="R40" i="3"/>
  <c r="V39" i="3"/>
  <c r="U39" i="3"/>
  <c r="T39" i="3"/>
  <c r="S39" i="3"/>
  <c r="R39" i="3"/>
  <c r="V38" i="3"/>
  <c r="U38" i="3"/>
  <c r="T38" i="3"/>
  <c r="S38" i="3"/>
  <c r="R38" i="3"/>
  <c r="V37" i="3"/>
  <c r="U37" i="3"/>
  <c r="T37" i="3"/>
  <c r="S37" i="3"/>
  <c r="R37" i="3"/>
  <c r="V34" i="3"/>
  <c r="U34" i="3"/>
  <c r="T34" i="3"/>
  <c r="S34" i="3"/>
  <c r="R34" i="3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20" i="3"/>
  <c r="U20" i="3"/>
  <c r="T20" i="3"/>
  <c r="S20" i="3"/>
  <c r="R20" i="3"/>
  <c r="V19" i="3"/>
  <c r="U19" i="3"/>
  <c r="T19" i="3"/>
  <c r="S19" i="3"/>
  <c r="R19" i="3"/>
  <c r="V18" i="3"/>
  <c r="U18" i="3"/>
  <c r="T18" i="3"/>
  <c r="S18" i="3"/>
  <c r="R18" i="3"/>
  <c r="V17" i="3"/>
  <c r="U17" i="3"/>
  <c r="T17" i="3"/>
  <c r="S17" i="3"/>
  <c r="R17" i="3"/>
  <c r="V14" i="3"/>
  <c r="U14" i="3"/>
  <c r="T14" i="3"/>
  <c r="S14" i="3"/>
  <c r="R14" i="3"/>
  <c r="V13" i="3"/>
  <c r="U13" i="3"/>
  <c r="T13" i="3"/>
  <c r="S13" i="3"/>
  <c r="R13" i="3"/>
  <c r="I225" i="3"/>
  <c r="H225" i="3"/>
  <c r="G225" i="3"/>
  <c r="I224" i="3"/>
  <c r="H224" i="3"/>
  <c r="G224" i="3"/>
  <c r="I223" i="3"/>
  <c r="H223" i="3"/>
  <c r="G223" i="3"/>
  <c r="I222" i="3"/>
  <c r="H222" i="3"/>
  <c r="G222" i="3"/>
  <c r="I221" i="3"/>
  <c r="H221" i="3"/>
  <c r="G221" i="3"/>
  <c r="I220" i="3"/>
  <c r="H220" i="3"/>
  <c r="G220" i="3"/>
  <c r="I217" i="3"/>
  <c r="H217" i="3"/>
  <c r="G217" i="3"/>
  <c r="I209" i="3"/>
  <c r="H209" i="3"/>
  <c r="G209" i="3"/>
  <c r="I207" i="3"/>
  <c r="H207" i="3"/>
  <c r="G207" i="3"/>
  <c r="I204" i="3"/>
  <c r="H204" i="3"/>
  <c r="G204" i="3"/>
  <c r="I202" i="3"/>
  <c r="H202" i="3"/>
  <c r="G202" i="3"/>
  <c r="I201" i="3"/>
  <c r="H201" i="3"/>
  <c r="G201" i="3"/>
  <c r="I197" i="3"/>
  <c r="I196" i="3" s="1"/>
  <c r="H197" i="3"/>
  <c r="H196" i="3" s="1"/>
  <c r="G197" i="3"/>
  <c r="G196" i="3" s="1"/>
  <c r="I195" i="3"/>
  <c r="H195" i="3"/>
  <c r="G195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90" i="3"/>
  <c r="H190" i="3"/>
  <c r="G190" i="3"/>
  <c r="I189" i="3"/>
  <c r="H189" i="3"/>
  <c r="G189" i="3"/>
  <c r="I188" i="3"/>
  <c r="H188" i="3"/>
  <c r="G188" i="3"/>
  <c r="I186" i="3"/>
  <c r="H186" i="3"/>
  <c r="G186" i="3"/>
  <c r="I184" i="3"/>
  <c r="H184" i="3"/>
  <c r="G184" i="3"/>
  <c r="I183" i="3"/>
  <c r="H183" i="3"/>
  <c r="G183" i="3"/>
  <c r="I182" i="3"/>
  <c r="H182" i="3"/>
  <c r="G182" i="3"/>
  <c r="I181" i="3"/>
  <c r="H181" i="3"/>
  <c r="G181" i="3"/>
  <c r="I180" i="3"/>
  <c r="H180" i="3"/>
  <c r="G180" i="3"/>
  <c r="I179" i="3"/>
  <c r="H179" i="3"/>
  <c r="G179" i="3"/>
  <c r="I178" i="3"/>
  <c r="H178" i="3"/>
  <c r="G178" i="3"/>
  <c r="I177" i="3"/>
  <c r="H177" i="3"/>
  <c r="G177" i="3"/>
  <c r="I174" i="3"/>
  <c r="H174" i="3"/>
  <c r="G174" i="3"/>
  <c r="I173" i="3"/>
  <c r="H173" i="3"/>
  <c r="G173" i="3"/>
  <c r="I172" i="3"/>
  <c r="H172" i="3"/>
  <c r="G172" i="3"/>
  <c r="I171" i="3"/>
  <c r="H171" i="3"/>
  <c r="G171" i="3"/>
  <c r="I170" i="3"/>
  <c r="H170" i="3"/>
  <c r="G170" i="3"/>
  <c r="I169" i="3"/>
  <c r="H169" i="3"/>
  <c r="G169" i="3"/>
  <c r="I168" i="3"/>
  <c r="H168" i="3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1" i="3"/>
  <c r="H161" i="3"/>
  <c r="G161" i="3"/>
  <c r="I157" i="3"/>
  <c r="H157" i="3"/>
  <c r="G157" i="3"/>
  <c r="I156" i="3"/>
  <c r="H156" i="3"/>
  <c r="G156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7" i="3"/>
  <c r="H147" i="3"/>
  <c r="G147" i="3"/>
  <c r="I146" i="3"/>
  <c r="H146" i="3"/>
  <c r="G146" i="3"/>
  <c r="I145" i="3"/>
  <c r="H145" i="3"/>
  <c r="G145" i="3"/>
  <c r="I144" i="3"/>
  <c r="H144" i="3"/>
  <c r="G144" i="3"/>
  <c r="G12" i="3" l="1"/>
  <c r="I12" i="3"/>
  <c r="G15" i="3"/>
  <c r="H15" i="3"/>
  <c r="H12" i="3"/>
  <c r="I16" i="3"/>
  <c r="H16" i="3"/>
  <c r="I15" i="3"/>
  <c r="G16" i="3"/>
  <c r="G35" i="3"/>
  <c r="G36" i="3"/>
  <c r="G227" i="3"/>
  <c r="H227" i="3"/>
  <c r="I227" i="3"/>
  <c r="V229" i="3" l="1"/>
  <c r="U229" i="3"/>
  <c r="T229" i="3"/>
  <c r="S229" i="3"/>
  <c r="R229" i="3"/>
  <c r="V226" i="3"/>
  <c r="U226" i="3"/>
  <c r="T226" i="3"/>
  <c r="S226" i="3"/>
  <c r="R226" i="3"/>
  <c r="V219" i="3"/>
  <c r="U219" i="3"/>
  <c r="U215" i="3" s="1"/>
  <c r="T219" i="3"/>
  <c r="S219" i="3"/>
  <c r="S215" i="3" s="1"/>
  <c r="R219" i="3"/>
  <c r="V218" i="3"/>
  <c r="U218" i="3"/>
  <c r="T218" i="3"/>
  <c r="S218" i="3"/>
  <c r="R218" i="3"/>
  <c r="V216" i="3"/>
  <c r="U216" i="3"/>
  <c r="U214" i="3" s="1"/>
  <c r="T216" i="3"/>
  <c r="S216" i="3"/>
  <c r="S214" i="3" s="1"/>
  <c r="R216" i="3"/>
  <c r="V215" i="3"/>
  <c r="T215" i="3"/>
  <c r="R215" i="3"/>
  <c r="V213" i="3"/>
  <c r="U213" i="3"/>
  <c r="T213" i="3"/>
  <c r="S213" i="3"/>
  <c r="R213" i="3"/>
  <c r="V212" i="3"/>
  <c r="U212" i="3"/>
  <c r="T212" i="3"/>
  <c r="S212" i="3"/>
  <c r="R212" i="3"/>
  <c r="V208" i="3"/>
  <c r="U208" i="3"/>
  <c r="T208" i="3"/>
  <c r="S208" i="3"/>
  <c r="R208" i="3"/>
  <c r="V205" i="3"/>
  <c r="U205" i="3"/>
  <c r="T205" i="3"/>
  <c r="S205" i="3"/>
  <c r="R205" i="3"/>
  <c r="V203" i="3"/>
  <c r="U203" i="3"/>
  <c r="T203" i="3"/>
  <c r="S203" i="3"/>
  <c r="R203" i="3"/>
  <c r="V200" i="3"/>
  <c r="U200" i="3"/>
  <c r="T200" i="3"/>
  <c r="S200" i="3"/>
  <c r="R200" i="3"/>
  <c r="V199" i="3"/>
  <c r="U199" i="3"/>
  <c r="T199" i="3"/>
  <c r="S199" i="3"/>
  <c r="R199" i="3"/>
  <c r="Q199" i="3"/>
  <c r="V196" i="3"/>
  <c r="U196" i="3"/>
  <c r="T196" i="3"/>
  <c r="S196" i="3"/>
  <c r="R196" i="3"/>
  <c r="V187" i="3"/>
  <c r="U187" i="3"/>
  <c r="T187" i="3"/>
  <c r="S187" i="3"/>
  <c r="R187" i="3"/>
  <c r="V185" i="3"/>
  <c r="U185" i="3"/>
  <c r="T185" i="3"/>
  <c r="S185" i="3"/>
  <c r="R185" i="3"/>
  <c r="V176" i="3"/>
  <c r="U176" i="3"/>
  <c r="T176" i="3"/>
  <c r="S176" i="3"/>
  <c r="R176" i="3"/>
  <c r="V175" i="3"/>
  <c r="U175" i="3"/>
  <c r="T175" i="3"/>
  <c r="S175" i="3"/>
  <c r="R175" i="3"/>
  <c r="V163" i="3"/>
  <c r="V159" i="3" s="1"/>
  <c r="U163" i="3"/>
  <c r="U159" i="3" s="1"/>
  <c r="T163" i="3"/>
  <c r="T159" i="3" s="1"/>
  <c r="S163" i="3"/>
  <c r="S159" i="3" s="1"/>
  <c r="R163" i="3"/>
  <c r="R159" i="3" s="1"/>
  <c r="V162" i="3"/>
  <c r="U162" i="3"/>
  <c r="T162" i="3"/>
  <c r="S162" i="3"/>
  <c r="R162" i="3"/>
  <c r="V160" i="3"/>
  <c r="U160" i="3"/>
  <c r="T160" i="3"/>
  <c r="S160" i="3"/>
  <c r="R160" i="3"/>
  <c r="V143" i="3"/>
  <c r="U143" i="3"/>
  <c r="T143" i="3"/>
  <c r="S143" i="3"/>
  <c r="R143" i="3"/>
  <c r="V142" i="3"/>
  <c r="U142" i="3"/>
  <c r="T142" i="3"/>
  <c r="S142" i="3"/>
  <c r="R142" i="3"/>
  <c r="V135" i="3"/>
  <c r="U135" i="3"/>
  <c r="T135" i="3"/>
  <c r="S135" i="3"/>
  <c r="R135" i="3"/>
  <c r="V130" i="3"/>
  <c r="U130" i="3"/>
  <c r="T130" i="3"/>
  <c r="S130" i="3"/>
  <c r="R130" i="3"/>
  <c r="V58" i="3"/>
  <c r="U58" i="3"/>
  <c r="T58" i="3"/>
  <c r="S58" i="3"/>
  <c r="R58" i="3"/>
  <c r="V57" i="3"/>
  <c r="U57" i="3"/>
  <c r="T57" i="3"/>
  <c r="S57" i="3"/>
  <c r="R57" i="3"/>
  <c r="V36" i="3"/>
  <c r="U36" i="3"/>
  <c r="T36" i="3"/>
  <c r="S36" i="3"/>
  <c r="R36" i="3"/>
  <c r="V35" i="3"/>
  <c r="U35" i="3"/>
  <c r="T35" i="3"/>
  <c r="S35" i="3"/>
  <c r="R35" i="3"/>
  <c r="V16" i="3"/>
  <c r="U16" i="3"/>
  <c r="T16" i="3"/>
  <c r="S16" i="3"/>
  <c r="R16" i="3"/>
  <c r="V15" i="3"/>
  <c r="U15" i="3"/>
  <c r="T15" i="3"/>
  <c r="S15" i="3"/>
  <c r="R15" i="3"/>
  <c r="V12" i="3"/>
  <c r="U12" i="3"/>
  <c r="T12" i="3"/>
  <c r="S12" i="3"/>
  <c r="R12" i="3"/>
  <c r="I229" i="3"/>
  <c r="H229" i="3"/>
  <c r="G229" i="3"/>
  <c r="I226" i="3"/>
  <c r="H226" i="3"/>
  <c r="G226" i="3"/>
  <c r="I219" i="3"/>
  <c r="I215" i="3" s="1"/>
  <c r="H219" i="3"/>
  <c r="H215" i="3" s="1"/>
  <c r="G219" i="3"/>
  <c r="G215" i="3" s="1"/>
  <c r="I218" i="3"/>
  <c r="H218" i="3"/>
  <c r="G218" i="3"/>
  <c r="I216" i="3"/>
  <c r="H216" i="3"/>
  <c r="G216" i="3"/>
  <c r="I213" i="3"/>
  <c r="H213" i="3"/>
  <c r="G213" i="3"/>
  <c r="I212" i="3"/>
  <c r="H212" i="3"/>
  <c r="G212" i="3"/>
  <c r="I208" i="3"/>
  <c r="H208" i="3"/>
  <c r="G208" i="3"/>
  <c r="I205" i="3"/>
  <c r="H205" i="3"/>
  <c r="G205" i="3"/>
  <c r="I203" i="3"/>
  <c r="H203" i="3"/>
  <c r="G203" i="3"/>
  <c r="I200" i="3"/>
  <c r="H200" i="3"/>
  <c r="G200" i="3"/>
  <c r="I199" i="3"/>
  <c r="H199" i="3"/>
  <c r="G199" i="3"/>
  <c r="I187" i="3"/>
  <c r="H187" i="3"/>
  <c r="G187" i="3"/>
  <c r="I185" i="3"/>
  <c r="H185" i="3"/>
  <c r="G185" i="3"/>
  <c r="I176" i="3"/>
  <c r="H176" i="3"/>
  <c r="G176" i="3"/>
  <c r="I175" i="3"/>
  <c r="H175" i="3"/>
  <c r="G175" i="3"/>
  <c r="I163" i="3"/>
  <c r="I159" i="3" s="1"/>
  <c r="H163" i="3"/>
  <c r="H159" i="3" s="1"/>
  <c r="G163" i="3"/>
  <c r="G159" i="3" s="1"/>
  <c r="I162" i="3"/>
  <c r="H162" i="3"/>
  <c r="G162" i="3"/>
  <c r="I160" i="3"/>
  <c r="H160" i="3"/>
  <c r="G160" i="3"/>
  <c r="I143" i="3"/>
  <c r="H143" i="3"/>
  <c r="G143" i="3"/>
  <c r="I142" i="3"/>
  <c r="H142" i="3"/>
  <c r="G142" i="3"/>
  <c r="I135" i="3"/>
  <c r="H135" i="3"/>
  <c r="G135" i="3"/>
  <c r="I130" i="3"/>
  <c r="H130" i="3"/>
  <c r="G130" i="3"/>
  <c r="I58" i="3"/>
  <c r="H58" i="3"/>
  <c r="G58" i="3"/>
  <c r="I57" i="3"/>
  <c r="H57" i="3"/>
  <c r="G57" i="3"/>
  <c r="W300" i="1"/>
  <c r="V300" i="1"/>
  <c r="U300" i="1"/>
  <c r="T300" i="1"/>
  <c r="S300" i="1"/>
  <c r="W299" i="1"/>
  <c r="W298" i="1" s="1"/>
  <c r="V299" i="1"/>
  <c r="U299" i="1"/>
  <c r="U298" i="1" s="1"/>
  <c r="T299" i="1"/>
  <c r="T298" i="1" s="1"/>
  <c r="S299" i="1"/>
  <c r="S298" i="1" s="1"/>
  <c r="V298" i="1"/>
  <c r="W296" i="1"/>
  <c r="V296" i="1"/>
  <c r="U296" i="1"/>
  <c r="T296" i="1"/>
  <c r="S296" i="1"/>
  <c r="W295" i="1"/>
  <c r="V295" i="1"/>
  <c r="U295" i="1"/>
  <c r="T295" i="1"/>
  <c r="S295" i="1"/>
  <c r="W286" i="1"/>
  <c r="W285" i="1" s="1"/>
  <c r="V286" i="1"/>
  <c r="U286" i="1"/>
  <c r="T286" i="1"/>
  <c r="S286" i="1"/>
  <c r="S285" i="1" s="1"/>
  <c r="V285" i="1"/>
  <c r="U285" i="1"/>
  <c r="T285" i="1"/>
  <c r="W283" i="1"/>
  <c r="V283" i="1"/>
  <c r="U283" i="1"/>
  <c r="T283" i="1"/>
  <c r="S283" i="1"/>
  <c r="W282" i="1"/>
  <c r="V282" i="1"/>
  <c r="U282" i="1"/>
  <c r="T282" i="1"/>
  <c r="S282" i="1"/>
  <c r="W276" i="1"/>
  <c r="W275" i="1" s="1"/>
  <c r="V276" i="1"/>
  <c r="U276" i="1"/>
  <c r="T276" i="1"/>
  <c r="S276" i="1"/>
  <c r="V275" i="1"/>
  <c r="U275" i="1"/>
  <c r="T275" i="1"/>
  <c r="S275" i="1"/>
  <c r="W248" i="1"/>
  <c r="V248" i="1"/>
  <c r="U248" i="1"/>
  <c r="T248" i="1"/>
  <c r="S248" i="1"/>
  <c r="W247" i="1"/>
  <c r="W246" i="1" s="1"/>
  <c r="V247" i="1"/>
  <c r="V246" i="1" s="1"/>
  <c r="U247" i="1"/>
  <c r="U246" i="1" s="1"/>
  <c r="T247" i="1"/>
  <c r="T246" i="1" s="1"/>
  <c r="S247" i="1"/>
  <c r="S246" i="1" s="1"/>
  <c r="W243" i="1"/>
  <c r="W242" i="1" s="1"/>
  <c r="V243" i="1"/>
  <c r="V242" i="1" s="1"/>
  <c r="U243" i="1"/>
  <c r="T243" i="1"/>
  <c r="S243" i="1"/>
  <c r="U242" i="1"/>
  <c r="T242" i="1"/>
  <c r="S242" i="1"/>
  <c r="W213" i="1"/>
  <c r="V213" i="1"/>
  <c r="U213" i="1"/>
  <c r="T213" i="1"/>
  <c r="S213" i="1"/>
  <c r="W212" i="1"/>
  <c r="W211" i="1" s="1"/>
  <c r="V212" i="1"/>
  <c r="U212" i="1"/>
  <c r="T212" i="1"/>
  <c r="S212" i="1"/>
  <c r="S211" i="1" s="1"/>
  <c r="V211" i="1"/>
  <c r="U211" i="1"/>
  <c r="T211" i="1"/>
  <c r="W202" i="1"/>
  <c r="V202" i="1"/>
  <c r="U202" i="1"/>
  <c r="T202" i="1"/>
  <c r="S202" i="1"/>
  <c r="W201" i="1"/>
  <c r="W200" i="1" s="1"/>
  <c r="V201" i="1"/>
  <c r="U201" i="1"/>
  <c r="T201" i="1"/>
  <c r="S201" i="1"/>
  <c r="V200" i="1"/>
  <c r="U200" i="1"/>
  <c r="T200" i="1"/>
  <c r="S200" i="1"/>
  <c r="W193" i="1"/>
  <c r="W192" i="1" s="1"/>
  <c r="V193" i="1"/>
  <c r="U193" i="1"/>
  <c r="U192" i="1" s="1"/>
  <c r="T193" i="1"/>
  <c r="S193" i="1"/>
  <c r="S192" i="1" s="1"/>
  <c r="V192" i="1"/>
  <c r="T192" i="1"/>
  <c r="W117" i="1"/>
  <c r="V117" i="1"/>
  <c r="U117" i="1"/>
  <c r="T117" i="1"/>
  <c r="S117" i="1"/>
  <c r="W116" i="1"/>
  <c r="W115" i="1" s="1"/>
  <c r="V116" i="1"/>
  <c r="U116" i="1"/>
  <c r="U115" i="1" s="1"/>
  <c r="T116" i="1"/>
  <c r="T115" i="1" s="1"/>
  <c r="S116" i="1"/>
  <c r="V115" i="1"/>
  <c r="W83" i="1"/>
  <c r="V83" i="1"/>
  <c r="U83" i="1"/>
  <c r="T83" i="1"/>
  <c r="S83" i="1"/>
  <c r="W82" i="1"/>
  <c r="W81" i="1" s="1"/>
  <c r="V82" i="1"/>
  <c r="U82" i="1"/>
  <c r="T82" i="1"/>
  <c r="S82" i="1"/>
  <c r="V81" i="1"/>
  <c r="U81" i="1"/>
  <c r="T81" i="1"/>
  <c r="S81" i="1"/>
  <c r="U315" i="1"/>
  <c r="W51" i="1"/>
  <c r="W50" i="1" s="1"/>
  <c r="V51" i="1"/>
  <c r="U51" i="1"/>
  <c r="T51" i="1"/>
  <c r="T50" i="1" s="1"/>
  <c r="S51" i="1"/>
  <c r="S50" i="1" s="1"/>
  <c r="V50" i="1"/>
  <c r="U50" i="1"/>
  <c r="W13" i="1"/>
  <c r="W12" i="1" s="1"/>
  <c r="V13" i="1"/>
  <c r="U13" i="1"/>
  <c r="T13" i="1"/>
  <c r="T12" i="1" s="1"/>
  <c r="S13" i="1"/>
  <c r="S12" i="1" s="1"/>
  <c r="V12" i="1"/>
  <c r="U12" i="1"/>
  <c r="J300" i="1"/>
  <c r="I300" i="1"/>
  <c r="H300" i="1"/>
  <c r="J299" i="1"/>
  <c r="J298" i="1" s="1"/>
  <c r="I299" i="1"/>
  <c r="H298" i="1"/>
  <c r="I298" i="1"/>
  <c r="J296" i="1"/>
  <c r="J295" i="1" s="1"/>
  <c r="I296" i="1"/>
  <c r="I295" i="1" s="1"/>
  <c r="H296" i="1"/>
  <c r="H295" i="1"/>
  <c r="J286" i="1"/>
  <c r="I286" i="1"/>
  <c r="I285" i="1" s="1"/>
  <c r="J285" i="1"/>
  <c r="H285" i="1"/>
  <c r="J283" i="1"/>
  <c r="J282" i="1" s="1"/>
  <c r="I283" i="1"/>
  <c r="I282" i="1" s="1"/>
  <c r="H283" i="1"/>
  <c r="H282" i="1"/>
  <c r="J276" i="1"/>
  <c r="I276" i="1"/>
  <c r="I275" i="1" s="1"/>
  <c r="H275" i="1"/>
  <c r="J275" i="1"/>
  <c r="J248" i="1"/>
  <c r="I248" i="1"/>
  <c r="H248" i="1"/>
  <c r="J247" i="1"/>
  <c r="J246" i="1" s="1"/>
  <c r="I247" i="1"/>
  <c r="H246" i="1"/>
  <c r="I246" i="1"/>
  <c r="J243" i="1"/>
  <c r="J242" i="1" s="1"/>
  <c r="I243" i="1"/>
  <c r="I242" i="1" s="1"/>
  <c r="H243" i="1"/>
  <c r="H242" i="1"/>
  <c r="J213" i="1"/>
  <c r="I213" i="1"/>
  <c r="H213" i="1"/>
  <c r="J212" i="1"/>
  <c r="J211" i="1" s="1"/>
  <c r="I212" i="1"/>
  <c r="H211" i="1"/>
  <c r="I211" i="1"/>
  <c r="J202" i="1"/>
  <c r="I202" i="1"/>
  <c r="H202" i="1"/>
  <c r="J201" i="1"/>
  <c r="J200" i="1" s="1"/>
  <c r="I201" i="1"/>
  <c r="H200" i="1"/>
  <c r="I200" i="1"/>
  <c r="J117" i="1"/>
  <c r="I117" i="1"/>
  <c r="H117" i="1"/>
  <c r="J116" i="1"/>
  <c r="J115" i="1" s="1"/>
  <c r="I116" i="1"/>
  <c r="H115" i="1"/>
  <c r="I115" i="1"/>
  <c r="J83" i="1"/>
  <c r="I83" i="1"/>
  <c r="H83" i="1"/>
  <c r="J82" i="1"/>
  <c r="J81" i="1" s="1"/>
  <c r="I82" i="1"/>
  <c r="H81" i="1"/>
  <c r="I81" i="1"/>
  <c r="I315" i="1"/>
  <c r="J51" i="1"/>
  <c r="J50" i="1" s="1"/>
  <c r="I51" i="1"/>
  <c r="H50" i="1"/>
  <c r="I50" i="1"/>
  <c r="J13" i="1"/>
  <c r="J12" i="1" s="1"/>
  <c r="I13" i="1"/>
  <c r="I12" i="1" s="1"/>
  <c r="H13" i="1"/>
  <c r="H12" i="1" s="1"/>
  <c r="I158" i="3" l="1"/>
  <c r="U198" i="3"/>
  <c r="T158" i="3"/>
  <c r="U158" i="3"/>
  <c r="U230" i="3" s="1"/>
  <c r="R198" i="3"/>
  <c r="T198" i="3"/>
  <c r="V198" i="3"/>
  <c r="J315" i="1"/>
  <c r="V315" i="1"/>
  <c r="G158" i="3"/>
  <c r="H214" i="3"/>
  <c r="T231" i="3"/>
  <c r="G214" i="3"/>
  <c r="I214" i="3"/>
  <c r="U231" i="3"/>
  <c r="S198" i="3"/>
  <c r="R214" i="3"/>
  <c r="T214" i="3"/>
  <c r="V214" i="3"/>
  <c r="G198" i="3"/>
  <c r="S115" i="1"/>
  <c r="T315" i="1"/>
  <c r="G231" i="3"/>
  <c r="S231" i="3"/>
  <c r="V314" i="1"/>
  <c r="S315" i="1"/>
  <c r="R231" i="3"/>
  <c r="U314" i="1"/>
  <c r="R158" i="3"/>
  <c r="R230" i="3" s="1"/>
  <c r="W315" i="1"/>
  <c r="V231" i="3"/>
  <c r="V158" i="3"/>
  <c r="T314" i="1"/>
  <c r="S314" i="1"/>
  <c r="W314" i="1"/>
  <c r="S158" i="3"/>
  <c r="I198" i="3"/>
  <c r="I231" i="3"/>
  <c r="H231" i="3"/>
  <c r="I314" i="1"/>
  <c r="H315" i="1"/>
  <c r="J314" i="1"/>
  <c r="H314" i="1"/>
  <c r="H198" i="3"/>
  <c r="H158" i="3"/>
  <c r="E193" i="1"/>
  <c r="K193" i="1" s="1"/>
  <c r="E286" i="1"/>
  <c r="K286" i="1" s="1"/>
  <c r="X307" i="1"/>
  <c r="X306" i="1"/>
  <c r="K310" i="1"/>
  <c r="K309" i="1"/>
  <c r="K308" i="1"/>
  <c r="K307" i="1"/>
  <c r="K306" i="1"/>
  <c r="K304" i="1"/>
  <c r="K303" i="1"/>
  <c r="K302" i="1"/>
  <c r="K301" i="1"/>
  <c r="K297" i="1"/>
  <c r="K294" i="1"/>
  <c r="K293" i="1"/>
  <c r="K290" i="1"/>
  <c r="K288" i="1"/>
  <c r="K287" i="1"/>
  <c r="K284" i="1"/>
  <c r="K280" i="1"/>
  <c r="K279" i="1"/>
  <c r="K278" i="1"/>
  <c r="K277" i="1"/>
  <c r="K274" i="1"/>
  <c r="K272" i="1"/>
  <c r="K271" i="1"/>
  <c r="K270" i="1"/>
  <c r="K269" i="1"/>
  <c r="K268" i="1"/>
  <c r="K264" i="1"/>
  <c r="K263" i="1"/>
  <c r="K262" i="1"/>
  <c r="K261" i="1"/>
  <c r="K260" i="1"/>
  <c r="K258" i="1"/>
  <c r="K254" i="1"/>
  <c r="K253" i="1"/>
  <c r="K251" i="1"/>
  <c r="K244" i="1"/>
  <c r="K241" i="1"/>
  <c r="K239" i="1"/>
  <c r="K236" i="1"/>
  <c r="K226" i="1"/>
  <c r="K225" i="1"/>
  <c r="K224" i="1"/>
  <c r="K223" i="1"/>
  <c r="K222" i="1"/>
  <c r="K221" i="1"/>
  <c r="K220" i="1"/>
  <c r="K218" i="1"/>
  <c r="K217" i="1"/>
  <c r="K215" i="1"/>
  <c r="K214" i="1"/>
  <c r="K207" i="1"/>
  <c r="K206" i="1"/>
  <c r="K205" i="1"/>
  <c r="K204" i="1"/>
  <c r="K203" i="1"/>
  <c r="K199" i="1"/>
  <c r="K198" i="1"/>
  <c r="K197" i="1"/>
  <c r="K196" i="1"/>
  <c r="K195" i="1"/>
  <c r="K191" i="1"/>
  <c r="K188" i="1"/>
  <c r="K187" i="1"/>
  <c r="K184" i="1"/>
  <c r="K183" i="1"/>
  <c r="K182" i="1"/>
  <c r="K181" i="1"/>
  <c r="K172" i="1"/>
  <c r="K171" i="1"/>
  <c r="K170" i="1"/>
  <c r="K169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4" i="1"/>
  <c r="K113" i="1"/>
  <c r="K112" i="1"/>
  <c r="K111" i="1"/>
  <c r="K110" i="1"/>
  <c r="K109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0" i="1"/>
  <c r="K77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49" i="1"/>
  <c r="K48" i="1"/>
  <c r="K47" i="1"/>
  <c r="K45" i="1"/>
  <c r="K44" i="1"/>
  <c r="K43" i="1"/>
  <c r="K42" i="1"/>
  <c r="K40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R313" i="1"/>
  <c r="Y313" i="1" s="1"/>
  <c r="R312" i="1"/>
  <c r="Y312" i="1" s="1"/>
  <c r="R311" i="1"/>
  <c r="R310" i="1"/>
  <c r="R309" i="1"/>
  <c r="R308" i="1"/>
  <c r="R305" i="1"/>
  <c r="Y305" i="1" s="1"/>
  <c r="R304" i="1"/>
  <c r="Y304" i="1" s="1"/>
  <c r="R303" i="1"/>
  <c r="Y303" i="1" s="1"/>
  <c r="R302" i="1"/>
  <c r="Y302" i="1" s="1"/>
  <c r="R301" i="1"/>
  <c r="R297" i="1"/>
  <c r="R294" i="1"/>
  <c r="R293" i="1"/>
  <c r="Y293" i="1" s="1"/>
  <c r="R292" i="1"/>
  <c r="R291" i="1"/>
  <c r="R290" i="1"/>
  <c r="Y290" i="1" s="1"/>
  <c r="R289" i="1"/>
  <c r="Y289" i="1" s="1"/>
  <c r="R288" i="1"/>
  <c r="R287" i="1"/>
  <c r="Y287" i="1" s="1"/>
  <c r="R284" i="1"/>
  <c r="R281" i="1"/>
  <c r="Y281" i="1" s="1"/>
  <c r="R280" i="1"/>
  <c r="Y280" i="1" s="1"/>
  <c r="R279" i="1"/>
  <c r="R278" i="1"/>
  <c r="Y278" i="1" s="1"/>
  <c r="R277" i="1"/>
  <c r="R274" i="1"/>
  <c r="Y274" i="1" s="1"/>
  <c r="R273" i="1"/>
  <c r="Y273" i="1" s="1"/>
  <c r="R272" i="1"/>
  <c r="Y272" i="1" s="1"/>
  <c r="R271" i="1"/>
  <c r="Y271" i="1" s="1"/>
  <c r="R270" i="1"/>
  <c r="Y270" i="1" s="1"/>
  <c r="R269" i="1"/>
  <c r="Y269" i="1" s="1"/>
  <c r="R268" i="1"/>
  <c r="R267" i="1"/>
  <c r="R266" i="1"/>
  <c r="Y266" i="1" s="1"/>
  <c r="R265" i="1"/>
  <c r="Y265" i="1" s="1"/>
  <c r="R264" i="1"/>
  <c r="R263" i="1"/>
  <c r="Y263" i="1" s="1"/>
  <c r="R262" i="1"/>
  <c r="Y262" i="1" s="1"/>
  <c r="R261" i="1"/>
  <c r="Y261" i="1" s="1"/>
  <c r="R260" i="1"/>
  <c r="R259" i="1"/>
  <c r="Y259" i="1" s="1"/>
  <c r="R258" i="1"/>
  <c r="R257" i="1"/>
  <c r="R256" i="1"/>
  <c r="R255" i="1"/>
  <c r="Y255" i="1" s="1"/>
  <c r="R254" i="1"/>
  <c r="Y254" i="1" s="1"/>
  <c r="R253" i="1"/>
  <c r="R252" i="1"/>
  <c r="Y252" i="1" s="1"/>
  <c r="R251" i="1"/>
  <c r="R250" i="1"/>
  <c r="Y250" i="1" s="1"/>
  <c r="R249" i="1"/>
  <c r="Y249" i="1" s="1"/>
  <c r="R245" i="1"/>
  <c r="R244" i="1"/>
  <c r="R241" i="1"/>
  <c r="Y241" i="1" s="1"/>
  <c r="R240" i="1"/>
  <c r="Y240" i="1" s="1"/>
  <c r="R239" i="1"/>
  <c r="Y239" i="1" s="1"/>
  <c r="R238" i="1"/>
  <c r="Y238" i="1" s="1"/>
  <c r="R237" i="1"/>
  <c r="Y237" i="1" s="1"/>
  <c r="R236" i="1"/>
  <c r="Y236" i="1" s="1"/>
  <c r="R235" i="1"/>
  <c r="R234" i="1"/>
  <c r="Q182" i="3"/>
  <c r="R232" i="1"/>
  <c r="R231" i="1"/>
  <c r="Y231" i="1" s="1"/>
  <c r="R230" i="1"/>
  <c r="R229" i="1"/>
  <c r="Y229" i="1" s="1"/>
  <c r="R228" i="1"/>
  <c r="R227" i="1"/>
  <c r="R226" i="1"/>
  <c r="Y226" i="1" s="1"/>
  <c r="R225" i="1"/>
  <c r="R224" i="1"/>
  <c r="R223" i="1"/>
  <c r="R222" i="1"/>
  <c r="Y222" i="1" s="1"/>
  <c r="R221" i="1"/>
  <c r="R220" i="1"/>
  <c r="R219" i="1"/>
  <c r="R218" i="1"/>
  <c r="R217" i="1"/>
  <c r="R216" i="1"/>
  <c r="R215" i="1"/>
  <c r="Y215" i="1" s="1"/>
  <c r="R214" i="1"/>
  <c r="Y214" i="1" s="1"/>
  <c r="R210" i="1"/>
  <c r="Y210" i="1" s="1"/>
  <c r="R209" i="1"/>
  <c r="R208" i="1"/>
  <c r="Y208" i="1" s="1"/>
  <c r="R207" i="1"/>
  <c r="Y207" i="1" s="1"/>
  <c r="R206" i="1"/>
  <c r="Y206" i="1" s="1"/>
  <c r="R205" i="1"/>
  <c r="R204" i="1"/>
  <c r="Y204" i="1" s="1"/>
  <c r="R203" i="1"/>
  <c r="Y203" i="1" s="1"/>
  <c r="R199" i="1"/>
  <c r="R194" i="1" s="1"/>
  <c r="R198" i="1"/>
  <c r="R197" i="1"/>
  <c r="R196" i="1"/>
  <c r="R195" i="1"/>
  <c r="Y195" i="1" s="1"/>
  <c r="R191" i="1"/>
  <c r="Y191" i="1" s="1"/>
  <c r="R190" i="1"/>
  <c r="Y190" i="1" s="1"/>
  <c r="R189" i="1"/>
  <c r="Y189" i="1" s="1"/>
  <c r="R188" i="1"/>
  <c r="Y188" i="1" s="1"/>
  <c r="R187" i="1"/>
  <c r="Y187" i="1" s="1"/>
  <c r="R186" i="1"/>
  <c r="R185" i="1"/>
  <c r="R184" i="1"/>
  <c r="R183" i="1"/>
  <c r="Y183" i="1" s="1"/>
  <c r="R182" i="1"/>
  <c r="R181" i="1"/>
  <c r="R180" i="1"/>
  <c r="R179" i="1"/>
  <c r="R178" i="1"/>
  <c r="R177" i="1"/>
  <c r="R176" i="1"/>
  <c r="R175" i="1"/>
  <c r="R174" i="1"/>
  <c r="Y174" i="1" s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Y118" i="1" s="1"/>
  <c r="R114" i="1"/>
  <c r="Y114" i="1" s="1"/>
  <c r="R113" i="1"/>
  <c r="R112" i="1"/>
  <c r="R111" i="1"/>
  <c r="R110" i="1"/>
  <c r="R109" i="1"/>
  <c r="Y109" i="1" s="1"/>
  <c r="R108" i="1"/>
  <c r="R107" i="1"/>
  <c r="Y107" i="1" s="1"/>
  <c r="R106" i="1"/>
  <c r="R105" i="1"/>
  <c r="Y105" i="1" s="1"/>
  <c r="R104" i="1"/>
  <c r="Y104" i="1" s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Y84" i="1" s="1"/>
  <c r="R80" i="1"/>
  <c r="Y80" i="1" s="1"/>
  <c r="R79" i="1"/>
  <c r="Y79" i="1" s="1"/>
  <c r="R78" i="1"/>
  <c r="Y78" i="1" s="1"/>
  <c r="R77" i="1"/>
  <c r="Y77" i="1" s="1"/>
  <c r="R76" i="1"/>
  <c r="Y76" i="1" s="1"/>
  <c r="R75" i="1"/>
  <c r="Y75" i="1" s="1"/>
  <c r="R74" i="1"/>
  <c r="Y74" i="1" s="1"/>
  <c r="R73" i="1"/>
  <c r="Y73" i="1" s="1"/>
  <c r="R72" i="1"/>
  <c r="R71" i="1"/>
  <c r="R70" i="1"/>
  <c r="R69" i="1"/>
  <c r="Y69" i="1" s="1"/>
  <c r="R68" i="1"/>
  <c r="R67" i="1"/>
  <c r="R66" i="1"/>
  <c r="R65" i="1"/>
  <c r="R64" i="1"/>
  <c r="Y64" i="1" s="1"/>
  <c r="R63" i="1"/>
  <c r="R62" i="1"/>
  <c r="R61" i="1"/>
  <c r="R60" i="1"/>
  <c r="R59" i="1"/>
  <c r="R58" i="1"/>
  <c r="R57" i="1"/>
  <c r="R56" i="1"/>
  <c r="R55" i="1"/>
  <c r="R54" i="1"/>
  <c r="Y54" i="1" s="1"/>
  <c r="R53" i="1"/>
  <c r="Y53" i="1" s="1"/>
  <c r="R49" i="1"/>
  <c r="R48" i="1"/>
  <c r="Y48" i="1" s="1"/>
  <c r="R47" i="1"/>
  <c r="R46" i="1"/>
  <c r="Y46" i="1" s="1"/>
  <c r="R45" i="1"/>
  <c r="R44" i="1"/>
  <c r="R43" i="1"/>
  <c r="R42" i="1"/>
  <c r="R41" i="1"/>
  <c r="R40" i="1"/>
  <c r="R39" i="1"/>
  <c r="R38" i="1"/>
  <c r="Y38" i="1" s="1"/>
  <c r="R37" i="1"/>
  <c r="R36" i="1"/>
  <c r="R35" i="1"/>
  <c r="R34" i="1"/>
  <c r="R33" i="1"/>
  <c r="R32" i="1"/>
  <c r="R31" i="1"/>
  <c r="R30" i="1"/>
  <c r="R29" i="1"/>
  <c r="R28" i="1"/>
  <c r="Y28" i="1" s="1"/>
  <c r="R27" i="1"/>
  <c r="R26" i="1"/>
  <c r="R25" i="1"/>
  <c r="R24" i="1"/>
  <c r="R23" i="1"/>
  <c r="R22" i="1"/>
  <c r="Y22" i="1" s="1"/>
  <c r="R21" i="1"/>
  <c r="Y21" i="1" s="1"/>
  <c r="R20" i="1"/>
  <c r="Y20" i="1" s="1"/>
  <c r="R19" i="1"/>
  <c r="R18" i="1"/>
  <c r="R17" i="1"/>
  <c r="Y17" i="1" s="1"/>
  <c r="R16" i="1"/>
  <c r="Y16" i="1" s="1"/>
  <c r="R15" i="1"/>
  <c r="R14" i="1"/>
  <c r="Y14" i="1" s="1"/>
  <c r="I230" i="3" l="1"/>
  <c r="S230" i="3"/>
  <c r="T230" i="3"/>
  <c r="Y15" i="1"/>
  <c r="Q14" i="3"/>
  <c r="Y19" i="1"/>
  <c r="Q108" i="3"/>
  <c r="Q132" i="3"/>
  <c r="Y23" i="1"/>
  <c r="Y25" i="1"/>
  <c r="Q134" i="3"/>
  <c r="Y27" i="1"/>
  <c r="Q137" i="3"/>
  <c r="Q139" i="3"/>
  <c r="Y29" i="1"/>
  <c r="Y31" i="1"/>
  <c r="Q141" i="3"/>
  <c r="Y33" i="1"/>
  <c r="Q178" i="3"/>
  <c r="Y35" i="1"/>
  <c r="Q181" i="3"/>
  <c r="Y37" i="1"/>
  <c r="Q188" i="3"/>
  <c r="Q192" i="3"/>
  <c r="Y39" i="1"/>
  <c r="Q194" i="3"/>
  <c r="Y41" i="1"/>
  <c r="Q201" i="3"/>
  <c r="Y43" i="1"/>
  <c r="Y45" i="1"/>
  <c r="Q204" i="3"/>
  <c r="Q203" i="3" s="1"/>
  <c r="Y47" i="1"/>
  <c r="Q209" i="3"/>
  <c r="Q208" i="3" s="1"/>
  <c r="Q229" i="3"/>
  <c r="Y49" i="1"/>
  <c r="Q19" i="3"/>
  <c r="Y56" i="1"/>
  <c r="Q21" i="3"/>
  <c r="Y58" i="1"/>
  <c r="Q23" i="3"/>
  <c r="Y60" i="1"/>
  <c r="Q25" i="3"/>
  <c r="Y62" i="1"/>
  <c r="Q30" i="3"/>
  <c r="Y66" i="1"/>
  <c r="Y68" i="1"/>
  <c r="Q32" i="3"/>
  <c r="Q33" i="3"/>
  <c r="Y70" i="1"/>
  <c r="Q109" i="3"/>
  <c r="Y72" i="1"/>
  <c r="Q37" i="3"/>
  <c r="Y85" i="1"/>
  <c r="Q39" i="3"/>
  <c r="Y87" i="1"/>
  <c r="Y89" i="1"/>
  <c r="Q41" i="3"/>
  <c r="Q43" i="3"/>
  <c r="Y91" i="1"/>
  <c r="Q45" i="3"/>
  <c r="Y93" i="1"/>
  <c r="Y95" i="1"/>
  <c r="Q47" i="3"/>
  <c r="Y97" i="1"/>
  <c r="Q49" i="3"/>
  <c r="Y99" i="1"/>
  <c r="Q51" i="3"/>
  <c r="Q53" i="3"/>
  <c r="Y101" i="1"/>
  <c r="Q55" i="3"/>
  <c r="Y103" i="1"/>
  <c r="Y111" i="1"/>
  <c r="Q221" i="3"/>
  <c r="Y113" i="1"/>
  <c r="Q225" i="3"/>
  <c r="Y120" i="1"/>
  <c r="Q60" i="3"/>
  <c r="Y122" i="1"/>
  <c r="Q62" i="3"/>
  <c r="Y124" i="1"/>
  <c r="Q64" i="3"/>
  <c r="Y126" i="1"/>
  <c r="Q66" i="3"/>
  <c r="Y128" i="1"/>
  <c r="Q68" i="3"/>
  <c r="Y130" i="1"/>
  <c r="Q70" i="3"/>
  <c r="Y132" i="1"/>
  <c r="Q72" i="3"/>
  <c r="Y134" i="1"/>
  <c r="Q74" i="3"/>
  <c r="Y136" i="1"/>
  <c r="Q76" i="3"/>
  <c r="Y138" i="1"/>
  <c r="Q78" i="3"/>
  <c r="Y140" i="1"/>
  <c r="Q80" i="3"/>
  <c r="Y142" i="1"/>
  <c r="Q82" i="3"/>
  <c r="Y144" i="1"/>
  <c r="Q84" i="3"/>
  <c r="Y146" i="1"/>
  <c r="Q86" i="3"/>
  <c r="Y148" i="1"/>
  <c r="Q88" i="3"/>
  <c r="Y150" i="1"/>
  <c r="Q90" i="3"/>
  <c r="Y152" i="1"/>
  <c r="Q92" i="3"/>
  <c r="Y154" i="1"/>
  <c r="Q94" i="3"/>
  <c r="Y156" i="1"/>
  <c r="Q96" i="3"/>
  <c r="Y158" i="1"/>
  <c r="Q98" i="3"/>
  <c r="Y160" i="1"/>
  <c r="Q100" i="3"/>
  <c r="Y162" i="1"/>
  <c r="Q102" i="3"/>
  <c r="Q104" i="3"/>
  <c r="Y164" i="1"/>
  <c r="Y166" i="1"/>
  <c r="Q111" i="3"/>
  <c r="Y168" i="1"/>
  <c r="Q113" i="3"/>
  <c r="Y170" i="1"/>
  <c r="Q115" i="3"/>
  <c r="Y172" i="1"/>
  <c r="Q117" i="3"/>
  <c r="Q121" i="3"/>
  <c r="Y176" i="1"/>
  <c r="Q123" i="3"/>
  <c r="Y178" i="1"/>
  <c r="Q125" i="3"/>
  <c r="Y180" i="1"/>
  <c r="Y182" i="1"/>
  <c r="Q127" i="3"/>
  <c r="Q129" i="3"/>
  <c r="Y184" i="1"/>
  <c r="Q155" i="3"/>
  <c r="Y186" i="1"/>
  <c r="Y197" i="1"/>
  <c r="Q106" i="3"/>
  <c r="Q145" i="3"/>
  <c r="Y217" i="1"/>
  <c r="Q147" i="3"/>
  <c r="Y219" i="1"/>
  <c r="Y221" i="1"/>
  <c r="Q149" i="3"/>
  <c r="Y223" i="1"/>
  <c r="Q157" i="3"/>
  <c r="Y225" i="1"/>
  <c r="Q152" i="3"/>
  <c r="Q164" i="3"/>
  <c r="Y227" i="1"/>
  <c r="Q165" i="3"/>
  <c r="Y256" i="1"/>
  <c r="Y258" i="1"/>
  <c r="Q167" i="3"/>
  <c r="Y260" i="1"/>
  <c r="Q169" i="3"/>
  <c r="Y264" i="1"/>
  <c r="Q180" i="3"/>
  <c r="Q174" i="3"/>
  <c r="Y268" i="1"/>
  <c r="Y284" i="1"/>
  <c r="R283" i="1"/>
  <c r="R282" i="1" s="1"/>
  <c r="Q161" i="3"/>
  <c r="Q160" i="3" s="1"/>
  <c r="Y288" i="1"/>
  <c r="Y292" i="1"/>
  <c r="Q191" i="3"/>
  <c r="R299" i="1"/>
  <c r="R298" i="1" s="1"/>
  <c r="Y301" i="1"/>
  <c r="Y309" i="1"/>
  <c r="Q213" i="3"/>
  <c r="Q222" i="3"/>
  <c r="Y311" i="1"/>
  <c r="Y18" i="1"/>
  <c r="Q107" i="3"/>
  <c r="Q133" i="3"/>
  <c r="Y24" i="1"/>
  <c r="Y26" i="1"/>
  <c r="Q136" i="3"/>
  <c r="Q140" i="3"/>
  <c r="Y30" i="1"/>
  <c r="Y32" i="1"/>
  <c r="Q177" i="3"/>
  <c r="Y34" i="1"/>
  <c r="Q179" i="3"/>
  <c r="Q186" i="3"/>
  <c r="Q185" i="3" s="1"/>
  <c r="Y36" i="1"/>
  <c r="Y40" i="1"/>
  <c r="Q193" i="3"/>
  <c r="Y42" i="1"/>
  <c r="Q195" i="3"/>
  <c r="Q202" i="3"/>
  <c r="Y44" i="1"/>
  <c r="Q18" i="3"/>
  <c r="Y55" i="1"/>
  <c r="Q20" i="3"/>
  <c r="Y57" i="1"/>
  <c r="Y59" i="1"/>
  <c r="Q22" i="3"/>
  <c r="Q24" i="3"/>
  <c r="Y61" i="1"/>
  <c r="Q27" i="3"/>
  <c r="Y63" i="1"/>
  <c r="Q29" i="3"/>
  <c r="Y65" i="1"/>
  <c r="Y67" i="1"/>
  <c r="Q31" i="3"/>
  <c r="Y71" i="1"/>
  <c r="Q34" i="3"/>
  <c r="Y86" i="1"/>
  <c r="Q38" i="3"/>
  <c r="Y88" i="1"/>
  <c r="Q40" i="3"/>
  <c r="Y90" i="1"/>
  <c r="Q42" i="3"/>
  <c r="Y92" i="1"/>
  <c r="Q44" i="3"/>
  <c r="Y94" i="1"/>
  <c r="Q46" i="3"/>
  <c r="Y96" i="1"/>
  <c r="Q48" i="3"/>
  <c r="Y98" i="1"/>
  <c r="Q50" i="3"/>
  <c r="Y100" i="1"/>
  <c r="Q52" i="3"/>
  <c r="Y102" i="1"/>
  <c r="Q54" i="3"/>
  <c r="R83" i="1"/>
  <c r="Y106" i="1"/>
  <c r="Q197" i="3"/>
  <c r="Q196" i="3" s="1"/>
  <c r="Y108" i="1"/>
  <c r="Y110" i="1"/>
  <c r="Q220" i="3"/>
  <c r="Y112" i="1"/>
  <c r="Q224" i="3"/>
  <c r="Y119" i="1"/>
  <c r="Q59" i="3"/>
  <c r="Y121" i="1"/>
  <c r="Q61" i="3"/>
  <c r="Y123" i="1"/>
  <c r="Q63" i="3"/>
  <c r="Y125" i="1"/>
  <c r="Q65" i="3"/>
  <c r="Y127" i="1"/>
  <c r="Q67" i="3"/>
  <c r="Y129" i="1"/>
  <c r="Q69" i="3"/>
  <c r="Y131" i="1"/>
  <c r="Q71" i="3"/>
  <c r="Y133" i="1"/>
  <c r="Q73" i="3"/>
  <c r="Y135" i="1"/>
  <c r="Q75" i="3"/>
  <c r="Y137" i="1"/>
  <c r="Q77" i="3"/>
  <c r="Y139" i="1"/>
  <c r="Q79" i="3"/>
  <c r="Y141" i="1"/>
  <c r="Q81" i="3"/>
  <c r="Y143" i="1"/>
  <c r="Q83" i="3"/>
  <c r="Y145" i="1"/>
  <c r="Q85" i="3"/>
  <c r="Y147" i="1"/>
  <c r="Q87" i="3"/>
  <c r="Y149" i="1"/>
  <c r="Q89" i="3"/>
  <c r="Y151" i="1"/>
  <c r="Q91" i="3"/>
  <c r="Y153" i="1"/>
  <c r="Q93" i="3"/>
  <c r="Y155" i="1"/>
  <c r="Q95" i="3"/>
  <c r="Y157" i="1"/>
  <c r="Q97" i="3"/>
  <c r="Y159" i="1"/>
  <c r="Q99" i="3"/>
  <c r="Y161" i="1"/>
  <c r="Q101" i="3"/>
  <c r="Y163" i="1"/>
  <c r="Q103" i="3"/>
  <c r="Y165" i="1"/>
  <c r="Q110" i="3"/>
  <c r="Y167" i="1"/>
  <c r="Q112" i="3"/>
  <c r="Y169" i="1"/>
  <c r="Q114" i="3"/>
  <c r="Y171" i="1"/>
  <c r="Q116" i="3"/>
  <c r="Q118" i="3"/>
  <c r="Y173" i="1"/>
  <c r="Q120" i="3"/>
  <c r="Y175" i="1"/>
  <c r="Q122" i="3"/>
  <c r="Y177" i="1"/>
  <c r="Q124" i="3"/>
  <c r="Y179" i="1"/>
  <c r="Y181" i="1"/>
  <c r="Q126" i="3"/>
  <c r="Q154" i="3"/>
  <c r="Y185" i="1"/>
  <c r="Q105" i="3"/>
  <c r="Y196" i="1"/>
  <c r="Q131" i="3"/>
  <c r="Y205" i="1"/>
  <c r="R202" i="1"/>
  <c r="Y209" i="1"/>
  <c r="Q144" i="3"/>
  <c r="Y216" i="1"/>
  <c r="Q146" i="3"/>
  <c r="Y218" i="1"/>
  <c r="Q148" i="3"/>
  <c r="Y220" i="1"/>
  <c r="Y224" i="1"/>
  <c r="Q151" i="3"/>
  <c r="Q168" i="3"/>
  <c r="Y228" i="1"/>
  <c r="Q171" i="3"/>
  <c r="Y230" i="1"/>
  <c r="R213" i="1"/>
  <c r="Y232" i="1"/>
  <c r="Q183" i="3"/>
  <c r="Y234" i="1"/>
  <c r="R243" i="1"/>
  <c r="R242" i="1" s="1"/>
  <c r="Y244" i="1"/>
  <c r="Y251" i="1"/>
  <c r="Q153" i="3"/>
  <c r="Q166" i="3"/>
  <c r="Y257" i="1"/>
  <c r="R248" i="1"/>
  <c r="Y267" i="1"/>
  <c r="R276" i="1"/>
  <c r="R275" i="1" s="1"/>
  <c r="Y277" i="1"/>
  <c r="Y279" i="1"/>
  <c r="Q170" i="3"/>
  <c r="Q190" i="3"/>
  <c r="Y291" i="1"/>
  <c r="Y297" i="1"/>
  <c r="R296" i="1"/>
  <c r="R295" i="1" s="1"/>
  <c r="Y308" i="1"/>
  <c r="Q212" i="3"/>
  <c r="Y310" i="1"/>
  <c r="Q217" i="3"/>
  <c r="Q216" i="3" s="1"/>
  <c r="V230" i="3"/>
  <c r="Q156" i="3"/>
  <c r="Y253" i="1"/>
  <c r="G230" i="3"/>
  <c r="Y235" i="1"/>
  <c r="Q184" i="3"/>
  <c r="Q223" i="3"/>
  <c r="R300" i="1"/>
  <c r="R286" i="1"/>
  <c r="R285" i="1" s="1"/>
  <c r="Q189" i="3"/>
  <c r="Q150" i="3"/>
  <c r="R247" i="1"/>
  <c r="R246" i="1" s="1"/>
  <c r="Q227" i="3"/>
  <c r="Q226" i="3" s="1"/>
  <c r="R212" i="1"/>
  <c r="R211" i="1" s="1"/>
  <c r="Q26" i="3"/>
  <c r="R201" i="1"/>
  <c r="R200" i="1" s="1"/>
  <c r="R193" i="1"/>
  <c r="R192" i="1" s="1"/>
  <c r="Q128" i="3"/>
  <c r="R116" i="1"/>
  <c r="R115" i="1" s="1"/>
  <c r="Q119" i="3"/>
  <c r="R117" i="1"/>
  <c r="Q173" i="3"/>
  <c r="Q163" i="3" s="1"/>
  <c r="Q172" i="3"/>
  <c r="R82" i="1"/>
  <c r="R81" i="1" s="1"/>
  <c r="Q207" i="3"/>
  <c r="Q205" i="3" s="1"/>
  <c r="Q138" i="3"/>
  <c r="Q28" i="3"/>
  <c r="Q17" i="3"/>
  <c r="R51" i="1"/>
  <c r="R50" i="1" s="1"/>
  <c r="Q200" i="3"/>
  <c r="Q13" i="3"/>
  <c r="R13" i="1"/>
  <c r="R12" i="1" s="1"/>
  <c r="H230" i="3"/>
  <c r="F70" i="1"/>
  <c r="F58" i="1"/>
  <c r="Q218" i="3" l="1"/>
  <c r="Q35" i="3"/>
  <c r="Q162" i="3"/>
  <c r="Q57" i="3"/>
  <c r="Q175" i="3"/>
  <c r="Q143" i="3"/>
  <c r="Q130" i="3"/>
  <c r="Q36" i="3"/>
  <c r="Q135" i="3"/>
  <c r="Q187" i="3"/>
  <c r="Q214" i="3"/>
  <c r="Q142" i="3"/>
  <c r="Q176" i="3"/>
  <c r="Q159" i="3" s="1"/>
  <c r="Q219" i="3"/>
  <c r="R315" i="1"/>
  <c r="Q58" i="3"/>
  <c r="R314" i="1"/>
  <c r="Q16" i="3"/>
  <c r="Q15" i="3"/>
  <c r="Q198" i="3"/>
  <c r="Q12" i="3"/>
  <c r="Q14" i="1"/>
  <c r="M14" i="1"/>
  <c r="Q158" i="3" l="1"/>
  <c r="Q215" i="3"/>
  <c r="Q231" i="3" s="1"/>
  <c r="Q230" i="3"/>
  <c r="M49" i="1"/>
  <c r="Q216" i="1" l="1"/>
  <c r="M216" i="1"/>
  <c r="M250" i="1"/>
  <c r="Q250" i="1"/>
  <c r="Q257" i="1"/>
  <c r="M257" i="1"/>
  <c r="Q54" i="1"/>
  <c r="M54" i="1"/>
  <c r="Q272" i="1" l="1"/>
  <c r="M272" i="1"/>
  <c r="Q223" i="1"/>
  <c r="M223" i="1"/>
  <c r="Q227" i="1"/>
  <c r="M227" i="1"/>
  <c r="Q301" i="1"/>
  <c r="M301" i="1"/>
  <c r="G205" i="1"/>
  <c r="G204" i="1"/>
  <c r="F118" i="1"/>
  <c r="Q57" i="1"/>
  <c r="M57" i="1"/>
  <c r="Q56" i="1"/>
  <c r="M56" i="1"/>
  <c r="F57" i="1"/>
  <c r="F56" i="1"/>
  <c r="F63" i="1"/>
  <c r="F14" i="1"/>
  <c r="Q77" i="1" l="1"/>
  <c r="M77" i="1"/>
  <c r="Q199" i="1"/>
  <c r="M199" i="1"/>
  <c r="L155" i="3" s="1"/>
  <c r="Q198" i="1"/>
  <c r="M198" i="1"/>
  <c r="P155" i="3"/>
  <c r="O155" i="3"/>
  <c r="N155" i="3"/>
  <c r="M155" i="3"/>
  <c r="F155" i="3"/>
  <c r="E155" i="3"/>
  <c r="O154" i="3"/>
  <c r="N154" i="3"/>
  <c r="M154" i="3"/>
  <c r="F154" i="3"/>
  <c r="E154" i="3"/>
  <c r="P117" i="1"/>
  <c r="O117" i="1"/>
  <c r="N117" i="1"/>
  <c r="G117" i="1"/>
  <c r="F117" i="1"/>
  <c r="P116" i="1"/>
  <c r="O116" i="1"/>
  <c r="N116" i="1"/>
  <c r="L186" i="1"/>
  <c r="L185" i="1"/>
  <c r="X185" i="1" s="1"/>
  <c r="Q174" i="1"/>
  <c r="Q173" i="1"/>
  <c r="M174" i="1"/>
  <c r="M173" i="1"/>
  <c r="X186" i="1" l="1"/>
  <c r="Q230" i="1" l="1"/>
  <c r="M230" i="1"/>
  <c r="Q85" i="1" l="1"/>
  <c r="M85" i="1"/>
  <c r="F203" i="1" l="1"/>
  <c r="Q232" i="1"/>
  <c r="Q231" i="1"/>
  <c r="M232" i="1"/>
  <c r="M231" i="1"/>
  <c r="Q190" i="1"/>
  <c r="Q117" i="1" s="1"/>
  <c r="Q189" i="1"/>
  <c r="M190" i="1"/>
  <c r="M117" i="1" s="1"/>
  <c r="M189" i="1"/>
  <c r="Q106" i="1"/>
  <c r="Q105" i="1"/>
  <c r="M106" i="1"/>
  <c r="M105" i="1"/>
  <c r="Q76" i="1"/>
  <c r="Q75" i="1"/>
  <c r="M76" i="1"/>
  <c r="M75" i="1"/>
  <c r="Q184" i="1" l="1"/>
  <c r="M184" i="1"/>
  <c r="F206" i="1" l="1"/>
  <c r="G63" i="1" l="1"/>
  <c r="Q222" i="1" l="1"/>
  <c r="M222" i="1"/>
  <c r="Q42" i="1" l="1"/>
  <c r="M42" i="1"/>
  <c r="F42" i="1"/>
  <c r="Q218" i="1"/>
  <c r="M218" i="1"/>
  <c r="G222" i="1"/>
  <c r="Q228" i="1"/>
  <c r="M228" i="1"/>
  <c r="Q229" i="1"/>
  <c r="M229" i="1"/>
  <c r="G30" i="1" l="1"/>
  <c r="F30" i="1"/>
  <c r="G28" i="1"/>
  <c r="F28" i="1"/>
  <c r="Q259" i="1" l="1"/>
  <c r="M259" i="1"/>
  <c r="Q256" i="1"/>
  <c r="M256" i="1"/>
  <c r="Q255" i="1"/>
  <c r="M255" i="1"/>
  <c r="Q252" i="1"/>
  <c r="P154" i="3" s="1"/>
  <c r="M252" i="1"/>
  <c r="L154" i="3" s="1"/>
  <c r="Q237" i="1"/>
  <c r="M237" i="1"/>
  <c r="F287" i="1"/>
  <c r="Q210" i="1"/>
  <c r="M210" i="1"/>
  <c r="Q107" i="1"/>
  <c r="M107" i="1"/>
  <c r="Q39" i="1"/>
  <c r="M39" i="1"/>
  <c r="G301" i="1"/>
  <c r="G287" i="1"/>
  <c r="G214" i="1"/>
  <c r="G206" i="1"/>
  <c r="Q204" i="1"/>
  <c r="M204" i="1"/>
  <c r="G203" i="1"/>
  <c r="F183" i="1" l="1"/>
  <c r="F116" i="1" s="1"/>
  <c r="G84" i="1"/>
  <c r="G62" i="1"/>
  <c r="F60" i="1"/>
  <c r="G66" i="1"/>
  <c r="F54" i="1"/>
  <c r="F21" i="1"/>
  <c r="F24" i="1"/>
  <c r="F23" i="1"/>
  <c r="F18" i="1"/>
  <c r="N41" i="1"/>
  <c r="L150" i="3" l="1"/>
  <c r="Q258" i="1"/>
  <c r="M258" i="1"/>
  <c r="F284" i="1"/>
  <c r="Q87" i="1"/>
  <c r="M87" i="1"/>
  <c r="Q64" i="1"/>
  <c r="M64" i="1"/>
  <c r="Q63" i="1"/>
  <c r="M63" i="1"/>
  <c r="G54" i="1"/>
  <c r="P182" i="3" l="1"/>
  <c r="O182" i="3"/>
  <c r="N182" i="3"/>
  <c r="M182" i="3"/>
  <c r="L182" i="3"/>
  <c r="F182" i="3"/>
  <c r="E182" i="3"/>
  <c r="O212" i="1" l="1"/>
  <c r="G212" i="1"/>
  <c r="D182" i="3"/>
  <c r="L233" i="1"/>
  <c r="X233" i="1" s="1"/>
  <c r="Q269" i="1"/>
  <c r="F244" i="1"/>
  <c r="G195" i="1"/>
  <c r="X182" i="3" l="1"/>
  <c r="K182" i="3"/>
  <c r="W182" i="3" s="1"/>
  <c r="Q49" i="1"/>
  <c r="G118" i="1" l="1"/>
  <c r="Q28" i="1" l="1"/>
  <c r="M28" i="1"/>
  <c r="Q36" i="1"/>
  <c r="M36" i="1"/>
  <c r="Q23" i="1"/>
  <c r="M23" i="1"/>
  <c r="Q240" i="1"/>
  <c r="N240" i="1"/>
  <c r="Q60" i="1"/>
  <c r="M60" i="1"/>
  <c r="O227" i="3" l="1"/>
  <c r="N227" i="3"/>
  <c r="M227" i="3"/>
  <c r="F227" i="3"/>
  <c r="E227" i="3"/>
  <c r="P51" i="1"/>
  <c r="O51" i="1"/>
  <c r="L79" i="1"/>
  <c r="X79" i="1" s="1"/>
  <c r="Q127" i="1" l="1"/>
  <c r="M127" i="1"/>
  <c r="Q260" i="1"/>
  <c r="M260" i="1"/>
  <c r="Q241" i="1"/>
  <c r="P227" i="3" s="1"/>
  <c r="M241" i="1"/>
  <c r="L227" i="3" s="1"/>
  <c r="F214" i="1"/>
  <c r="F212" i="1" s="1"/>
  <c r="Q93" i="1" l="1"/>
  <c r="M93" i="1"/>
  <c r="P125" i="3" l="1"/>
  <c r="O125" i="3"/>
  <c r="N125" i="3"/>
  <c r="M125" i="3"/>
  <c r="L125" i="3"/>
  <c r="F125" i="3"/>
  <c r="E125" i="3"/>
  <c r="P124" i="3"/>
  <c r="O124" i="3"/>
  <c r="N124" i="3"/>
  <c r="M124" i="3"/>
  <c r="L124" i="3"/>
  <c r="F124" i="3"/>
  <c r="E124" i="3"/>
  <c r="D125" i="3"/>
  <c r="D124" i="3"/>
  <c r="L180" i="1"/>
  <c r="L179" i="1"/>
  <c r="X124" i="3" l="1"/>
  <c r="X179" i="1"/>
  <c r="X125" i="3"/>
  <c r="X180" i="1"/>
  <c r="K124" i="3"/>
  <c r="W124" i="3" s="1"/>
  <c r="K125" i="3"/>
  <c r="W125" i="3" s="1"/>
  <c r="P195" i="3"/>
  <c r="O195" i="3"/>
  <c r="N195" i="3"/>
  <c r="M195" i="3"/>
  <c r="L195" i="3"/>
  <c r="F195" i="3"/>
  <c r="E195" i="3"/>
  <c r="P247" i="1"/>
  <c r="O247" i="1"/>
  <c r="G247" i="1"/>
  <c r="F247" i="1"/>
  <c r="L274" i="1"/>
  <c r="P221" i="3" l="1"/>
  <c r="O221" i="3"/>
  <c r="N221" i="3"/>
  <c r="M221" i="3"/>
  <c r="L221" i="3"/>
  <c r="F221" i="3"/>
  <c r="E221" i="3"/>
  <c r="P220" i="3"/>
  <c r="O220" i="3"/>
  <c r="N220" i="3"/>
  <c r="M220" i="3"/>
  <c r="L220" i="3"/>
  <c r="F220" i="3"/>
  <c r="E220" i="3"/>
  <c r="Q183" i="1" l="1"/>
  <c r="M183" i="1"/>
  <c r="Q219" i="1" l="1"/>
  <c r="M219" i="1"/>
  <c r="M212" i="1" s="1"/>
  <c r="Q29" i="1"/>
  <c r="M29" i="1"/>
  <c r="Q267" i="1" l="1"/>
  <c r="Q266" i="1"/>
  <c r="M267" i="1"/>
  <c r="M266" i="1"/>
  <c r="P211" i="3"/>
  <c r="P199" i="3" s="1"/>
  <c r="O211" i="3"/>
  <c r="O199" i="3" s="1"/>
  <c r="N211" i="3"/>
  <c r="N199" i="3" s="1"/>
  <c r="M211" i="3"/>
  <c r="M199" i="3" s="1"/>
  <c r="L211" i="3"/>
  <c r="L199" i="3" s="1"/>
  <c r="K211" i="3"/>
  <c r="F211" i="3"/>
  <c r="F199" i="3" s="1"/>
  <c r="E211" i="3"/>
  <c r="E199" i="3" s="1"/>
  <c r="P210" i="3"/>
  <c r="O210" i="3"/>
  <c r="N210" i="3"/>
  <c r="M210" i="3"/>
  <c r="L210" i="3"/>
  <c r="F210" i="3"/>
  <c r="E210" i="3"/>
  <c r="Q300" i="1"/>
  <c r="P300" i="1"/>
  <c r="O300" i="1"/>
  <c r="N300" i="1"/>
  <c r="M300" i="1"/>
  <c r="G300" i="1"/>
  <c r="F300" i="1"/>
  <c r="P299" i="1"/>
  <c r="O299" i="1"/>
  <c r="N299" i="1"/>
  <c r="F299" i="1"/>
  <c r="K210" i="3"/>
  <c r="W210" i="3" s="1"/>
  <c r="D210" i="3"/>
  <c r="J210" i="3" s="1"/>
  <c r="K199" i="3" l="1"/>
  <c r="W199" i="3" s="1"/>
  <c r="W211" i="3"/>
  <c r="D211" i="3"/>
  <c r="X211" i="3"/>
  <c r="X199" i="3" s="1"/>
  <c r="F55" i="1"/>
  <c r="D199" i="3" l="1"/>
  <c r="J199" i="3" s="1"/>
  <c r="J211" i="3"/>
  <c r="X210" i="3"/>
  <c r="Q205" i="1" l="1"/>
  <c r="M205" i="1"/>
  <c r="F195" i="1"/>
  <c r="F44" i="1"/>
  <c r="M55" i="1"/>
  <c r="Q55" i="1" l="1"/>
  <c r="O184" i="3" l="1"/>
  <c r="N184" i="3"/>
  <c r="M184" i="3"/>
  <c r="M176" i="3" s="1"/>
  <c r="L184" i="3"/>
  <c r="F184" i="3"/>
  <c r="E184" i="3"/>
  <c r="O183" i="3"/>
  <c r="N183" i="3"/>
  <c r="M183" i="3"/>
  <c r="L183" i="3"/>
  <c r="F183" i="3"/>
  <c r="E183" i="3"/>
  <c r="P213" i="1"/>
  <c r="O213" i="1"/>
  <c r="N213" i="1"/>
  <c r="G213" i="1"/>
  <c r="F213" i="1"/>
  <c r="L235" i="1" l="1"/>
  <c r="X235" i="1" s="1"/>
  <c r="L234" i="1"/>
  <c r="X234" i="1" s="1"/>
  <c r="P102" i="3" l="1"/>
  <c r="O102" i="3"/>
  <c r="N102" i="3"/>
  <c r="M102" i="3"/>
  <c r="L102" i="3"/>
  <c r="F102" i="3"/>
  <c r="E102" i="3"/>
  <c r="P101" i="3"/>
  <c r="O101" i="3"/>
  <c r="N101" i="3"/>
  <c r="M101" i="3"/>
  <c r="L101" i="3"/>
  <c r="F101" i="3"/>
  <c r="E101" i="3"/>
  <c r="L162" i="1"/>
  <c r="L161" i="1"/>
  <c r="D102" i="3"/>
  <c r="J102" i="3" s="1"/>
  <c r="O13" i="3"/>
  <c r="N13" i="3"/>
  <c r="M13" i="3"/>
  <c r="L297" i="1"/>
  <c r="E296" i="1"/>
  <c r="Q296" i="1"/>
  <c r="Q295" i="1" s="1"/>
  <c r="P296" i="1"/>
  <c r="P295" i="1" s="1"/>
  <c r="O296" i="1"/>
  <c r="O295" i="1" s="1"/>
  <c r="N296" i="1"/>
  <c r="N295" i="1" s="1"/>
  <c r="M296" i="1"/>
  <c r="M295" i="1" s="1"/>
  <c r="G296" i="1"/>
  <c r="G295" i="1" s="1"/>
  <c r="F296" i="1"/>
  <c r="F295" i="1" s="1"/>
  <c r="E295" i="1" l="1"/>
  <c r="K295" i="1" s="1"/>
  <c r="K296" i="1"/>
  <c r="K101" i="3"/>
  <c r="L296" i="1"/>
  <c r="K102" i="3"/>
  <c r="Y296" i="1"/>
  <c r="Y295" i="1" s="1"/>
  <c r="X101" i="3"/>
  <c r="D101" i="3"/>
  <c r="J101" i="3" s="1"/>
  <c r="L295" i="1" l="1"/>
  <c r="X102" i="3"/>
  <c r="Q253" i="1"/>
  <c r="N253" i="1"/>
  <c r="N247" i="1" s="1"/>
  <c r="M247" i="1"/>
  <c r="N288" i="1"/>
  <c r="Q78" i="1"/>
  <c r="N78" i="1"/>
  <c r="N51" i="1" s="1"/>
  <c r="P18" i="3"/>
  <c r="O18" i="3"/>
  <c r="N18" i="3"/>
  <c r="M18" i="3"/>
  <c r="L18" i="3"/>
  <c r="F18" i="3"/>
  <c r="E18" i="3"/>
  <c r="L55" i="1"/>
  <c r="D18" i="3"/>
  <c r="J18" i="3" s="1"/>
  <c r="K18" i="3" l="1"/>
  <c r="W18" i="3" s="1"/>
  <c r="X55" i="1"/>
  <c r="X18" i="3"/>
  <c r="P174" i="3" l="1"/>
  <c r="O174" i="3"/>
  <c r="N174" i="3"/>
  <c r="M174" i="3"/>
  <c r="L174" i="3"/>
  <c r="F174" i="3"/>
  <c r="E174" i="3"/>
  <c r="L302" i="1"/>
  <c r="X302" i="1" s="1"/>
  <c r="P240" i="1" l="1"/>
  <c r="P212" i="1" s="1"/>
  <c r="F67" i="1" l="1"/>
  <c r="F66" i="1"/>
  <c r="L268" i="1" l="1"/>
  <c r="Q103" i="1"/>
  <c r="M103" i="1"/>
  <c r="O173" i="3" l="1"/>
  <c r="N173" i="3"/>
  <c r="M173" i="3"/>
  <c r="F173" i="3"/>
  <c r="E173" i="3"/>
  <c r="O172" i="3"/>
  <c r="N172" i="3"/>
  <c r="M172" i="3"/>
  <c r="F172" i="3"/>
  <c r="E172" i="3"/>
  <c r="L190" i="1"/>
  <c r="X190" i="1" s="1"/>
  <c r="P193" i="1"/>
  <c r="O193" i="1"/>
  <c r="N193" i="1"/>
  <c r="F193" i="1"/>
  <c r="O157" i="3"/>
  <c r="N157" i="3"/>
  <c r="M157" i="3"/>
  <c r="F157" i="3"/>
  <c r="E157" i="3"/>
  <c r="P180" i="3"/>
  <c r="O180" i="3"/>
  <c r="N180" i="3"/>
  <c r="M180" i="3"/>
  <c r="L180" i="3"/>
  <c r="F180" i="3"/>
  <c r="E180" i="3"/>
  <c r="P171" i="3"/>
  <c r="O171" i="3"/>
  <c r="N171" i="3"/>
  <c r="M171" i="3"/>
  <c r="L171" i="3"/>
  <c r="F171" i="3"/>
  <c r="E171" i="3"/>
  <c r="P248" i="1"/>
  <c r="O248" i="1"/>
  <c r="N248" i="1"/>
  <c r="G248" i="1"/>
  <c r="F248" i="1"/>
  <c r="M248" i="1"/>
  <c r="L267" i="1"/>
  <c r="X267" i="1" s="1"/>
  <c r="L266" i="1"/>
  <c r="X266" i="1" s="1"/>
  <c r="P87" i="3"/>
  <c r="O87" i="3"/>
  <c r="N87" i="3"/>
  <c r="M87" i="3"/>
  <c r="L87" i="3"/>
  <c r="F87" i="3"/>
  <c r="E87" i="3"/>
  <c r="P86" i="3"/>
  <c r="O86" i="3"/>
  <c r="N86" i="3"/>
  <c r="M86" i="3"/>
  <c r="L86" i="3"/>
  <c r="F86" i="3"/>
  <c r="E86" i="3"/>
  <c r="D120" i="1" l="1"/>
  <c r="P82" i="1" l="1"/>
  <c r="O82" i="1"/>
  <c r="N82" i="1"/>
  <c r="G82" i="1"/>
  <c r="F82" i="1"/>
  <c r="P13" i="1"/>
  <c r="O13" i="1"/>
  <c r="G299" i="1" l="1"/>
  <c r="G284" i="1"/>
  <c r="N281" i="1"/>
  <c r="Q281" i="1"/>
  <c r="G244" i="1"/>
  <c r="L269" i="1"/>
  <c r="X269" i="1" s="1"/>
  <c r="L265" i="1"/>
  <c r="X265" i="1" s="1"/>
  <c r="L254" i="1"/>
  <c r="L147" i="1" l="1"/>
  <c r="L146" i="1"/>
  <c r="P99" i="3"/>
  <c r="O99" i="3"/>
  <c r="N99" i="3"/>
  <c r="M99" i="3"/>
  <c r="L99" i="3"/>
  <c r="F99" i="3"/>
  <c r="E99" i="3"/>
  <c r="P100" i="3"/>
  <c r="O100" i="3"/>
  <c r="N100" i="3"/>
  <c r="M100" i="3"/>
  <c r="L100" i="3"/>
  <c r="F100" i="3"/>
  <c r="E100" i="3"/>
  <c r="L160" i="1"/>
  <c r="L159" i="1"/>
  <c r="X100" i="3"/>
  <c r="X99" i="3"/>
  <c r="K99" i="3" l="1"/>
  <c r="K86" i="3"/>
  <c r="K100" i="3"/>
  <c r="K87" i="3"/>
  <c r="X86" i="3"/>
  <c r="D86" i="3"/>
  <c r="J86" i="3" s="1"/>
  <c r="X87" i="3"/>
  <c r="D87" i="3"/>
  <c r="J87" i="3" s="1"/>
  <c r="D100" i="3"/>
  <c r="J100" i="3" s="1"/>
  <c r="D99" i="3"/>
  <c r="J99" i="3" s="1"/>
  <c r="L189" i="1"/>
  <c r="X189" i="1" s="1"/>
  <c r="G183" i="1"/>
  <c r="G164" i="1"/>
  <c r="N238" i="1"/>
  <c r="N212" i="1" s="1"/>
  <c r="Q213" i="1"/>
  <c r="M213" i="1"/>
  <c r="P157" i="3"/>
  <c r="L157" i="3"/>
  <c r="P105" i="3"/>
  <c r="O105" i="3"/>
  <c r="N105" i="3"/>
  <c r="M105" i="3"/>
  <c r="L105" i="3"/>
  <c r="F105" i="3"/>
  <c r="E105" i="3"/>
  <c r="L196" i="1"/>
  <c r="D105" i="3"/>
  <c r="J105" i="3" s="1"/>
  <c r="G193" i="1"/>
  <c r="Q108" i="1"/>
  <c r="K105" i="3" l="1"/>
  <c r="W105" i="3" s="1"/>
  <c r="X196" i="1"/>
  <c r="G116" i="1"/>
  <c r="X105" i="3"/>
  <c r="P225" i="3"/>
  <c r="O225" i="3"/>
  <c r="N225" i="3"/>
  <c r="M225" i="3"/>
  <c r="L225" i="3"/>
  <c r="F225" i="3"/>
  <c r="E225" i="3"/>
  <c r="P224" i="3"/>
  <c r="O224" i="3"/>
  <c r="N224" i="3"/>
  <c r="M224" i="3"/>
  <c r="L224" i="3"/>
  <c r="F224" i="3"/>
  <c r="E224" i="3"/>
  <c r="Q83" i="1"/>
  <c r="P83" i="1"/>
  <c r="O83" i="1"/>
  <c r="N83" i="1"/>
  <c r="M83" i="1"/>
  <c r="G83" i="1"/>
  <c r="F83" i="1"/>
  <c r="L113" i="1"/>
  <c r="L112" i="1"/>
  <c r="L111" i="1"/>
  <c r="L110" i="1"/>
  <c r="D220" i="3"/>
  <c r="J220" i="3" s="1"/>
  <c r="K221" i="3" l="1"/>
  <c r="K220" i="3"/>
  <c r="K224" i="3"/>
  <c r="K225" i="3"/>
  <c r="X221" i="3"/>
  <c r="D221" i="3"/>
  <c r="J221" i="3" s="1"/>
  <c r="D225" i="3"/>
  <c r="J225" i="3" s="1"/>
  <c r="X225" i="3"/>
  <c r="D224" i="3"/>
  <c r="J224" i="3" s="1"/>
  <c r="X224" i="3"/>
  <c r="X220" i="3"/>
  <c r="P172" i="3"/>
  <c r="L172" i="3"/>
  <c r="P34" i="3"/>
  <c r="O34" i="3"/>
  <c r="N34" i="3"/>
  <c r="M34" i="3"/>
  <c r="L34" i="3"/>
  <c r="F34" i="3"/>
  <c r="E34" i="3"/>
  <c r="P33" i="3"/>
  <c r="O33" i="3"/>
  <c r="N33" i="3"/>
  <c r="M33" i="3"/>
  <c r="L33" i="3"/>
  <c r="F33" i="3"/>
  <c r="E33" i="3"/>
  <c r="L71" i="1"/>
  <c r="L70" i="1"/>
  <c r="X34" i="3"/>
  <c r="X33" i="3"/>
  <c r="Q66" i="1"/>
  <c r="M66" i="1"/>
  <c r="M51" i="1" s="1"/>
  <c r="G65" i="1"/>
  <c r="F62" i="1"/>
  <c r="F51" i="1" s="1"/>
  <c r="G60" i="1"/>
  <c r="K34" i="3" l="1"/>
  <c r="K33" i="3"/>
  <c r="W33" i="3" s="1"/>
  <c r="X70" i="1"/>
  <c r="L173" i="3"/>
  <c r="P173" i="3"/>
  <c r="D34" i="3"/>
  <c r="J34" i="3" s="1"/>
  <c r="D33" i="3"/>
  <c r="J33" i="3" s="1"/>
  <c r="G53" i="1"/>
  <c r="G51" i="1" s="1"/>
  <c r="N46" i="1"/>
  <c r="N13" i="1" s="1"/>
  <c r="G45" i="1"/>
  <c r="Q30" i="1"/>
  <c r="M30" i="1"/>
  <c r="G23" i="1"/>
  <c r="G18" i="1"/>
  <c r="G14" i="1"/>
  <c r="G13" i="1" l="1"/>
  <c r="F13" i="3"/>
  <c r="F13" i="1"/>
  <c r="Q91" i="1" l="1"/>
  <c r="M91" i="1"/>
  <c r="Q238" i="1" l="1"/>
  <c r="C44" i="1" l="1"/>
  <c r="Q82" i="1" l="1"/>
  <c r="M82" i="1"/>
  <c r="E197" i="3" l="1"/>
  <c r="E196" i="3" s="1"/>
  <c r="F197" i="3"/>
  <c r="F196" i="3" s="1"/>
  <c r="L197" i="3"/>
  <c r="L196" i="3" s="1"/>
  <c r="M197" i="3"/>
  <c r="M196" i="3" s="1"/>
  <c r="N197" i="3"/>
  <c r="N196" i="3" s="1"/>
  <c r="O197" i="3"/>
  <c r="O196" i="3" s="1"/>
  <c r="P197" i="3"/>
  <c r="P196" i="3" s="1"/>
  <c r="L108" i="1"/>
  <c r="C108" i="1"/>
  <c r="D108" i="1"/>
  <c r="B108" i="1"/>
  <c r="K197" i="3" l="1"/>
  <c r="X108" i="1"/>
  <c r="X197" i="3"/>
  <c r="X196" i="3" s="1"/>
  <c r="D197" i="3"/>
  <c r="D196" i="3" l="1"/>
  <c r="K196" i="3"/>
  <c r="W196" i="3" s="1"/>
  <c r="W197" i="3"/>
  <c r="M13" i="1"/>
  <c r="Q299" i="1" l="1"/>
  <c r="M299" i="1"/>
  <c r="M118" i="1" l="1"/>
  <c r="M116" i="1" s="1"/>
  <c r="Q118" i="1"/>
  <c r="M195" i="1"/>
  <c r="M193" i="1" s="1"/>
  <c r="Q195" i="1"/>
  <c r="Q193" i="1" s="1"/>
  <c r="E27" i="3"/>
  <c r="F27" i="3"/>
  <c r="L27" i="3"/>
  <c r="M27" i="3"/>
  <c r="N27" i="3"/>
  <c r="O27" i="3"/>
  <c r="P27" i="3"/>
  <c r="E28" i="3"/>
  <c r="F28" i="3"/>
  <c r="L28" i="3"/>
  <c r="M28" i="3"/>
  <c r="N28" i="3"/>
  <c r="O28" i="3"/>
  <c r="P28" i="3"/>
  <c r="E26" i="3"/>
  <c r="F26" i="3"/>
  <c r="L26" i="3"/>
  <c r="M26" i="3"/>
  <c r="N26" i="3"/>
  <c r="O26" i="3"/>
  <c r="F277" i="1"/>
  <c r="E13" i="3" s="1"/>
  <c r="L13" i="3" l="1"/>
  <c r="P26" i="3" l="1"/>
  <c r="C304" i="1" l="1"/>
  <c r="D304" i="1"/>
  <c r="B304" i="1"/>
  <c r="C289" i="1"/>
  <c r="D289" i="1"/>
  <c r="B289" i="1"/>
  <c r="C280" i="1"/>
  <c r="D280" i="1"/>
  <c r="B280" i="1"/>
  <c r="C237" i="1"/>
  <c r="D237" i="1"/>
  <c r="B237" i="1"/>
  <c r="F286" i="1"/>
  <c r="G286" i="1"/>
  <c r="M286" i="1"/>
  <c r="N286" i="1"/>
  <c r="O286" i="1"/>
  <c r="P286" i="1"/>
  <c r="Q286" i="1"/>
  <c r="F276" i="1"/>
  <c r="G276" i="1"/>
  <c r="M276" i="1"/>
  <c r="N276" i="1"/>
  <c r="O276" i="1"/>
  <c r="P276" i="1"/>
  <c r="Q276" i="1"/>
  <c r="F201" i="1"/>
  <c r="G201" i="1"/>
  <c r="M201" i="1"/>
  <c r="N201" i="1"/>
  <c r="O201" i="1"/>
  <c r="P201" i="1"/>
  <c r="F202" i="1"/>
  <c r="G202" i="1"/>
  <c r="M202" i="1"/>
  <c r="N202" i="1"/>
  <c r="O202" i="1"/>
  <c r="P202" i="1"/>
  <c r="Q202" i="1"/>
  <c r="F194" i="1"/>
  <c r="G194" i="1"/>
  <c r="M194" i="1"/>
  <c r="N194" i="1"/>
  <c r="O194" i="1"/>
  <c r="P194" i="1"/>
  <c r="Q194" i="1"/>
  <c r="E192" i="3" l="1"/>
  <c r="F192" i="3"/>
  <c r="L192" i="3"/>
  <c r="M192" i="3"/>
  <c r="N192" i="3"/>
  <c r="O192" i="3"/>
  <c r="P192" i="3"/>
  <c r="L237" i="1"/>
  <c r="X237" i="1" s="1"/>
  <c r="L304" i="1"/>
  <c r="L14" i="3" l="1"/>
  <c r="L17" i="3"/>
  <c r="L19" i="3"/>
  <c r="L20" i="3"/>
  <c r="L21" i="3"/>
  <c r="L22" i="3"/>
  <c r="L23" i="3"/>
  <c r="L24" i="3"/>
  <c r="L25" i="3"/>
  <c r="L29" i="3"/>
  <c r="L30" i="3"/>
  <c r="L31" i="3"/>
  <c r="L32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8" i="3"/>
  <c r="L89" i="3"/>
  <c r="L90" i="3"/>
  <c r="L91" i="3"/>
  <c r="L92" i="3"/>
  <c r="L93" i="3"/>
  <c r="L94" i="3"/>
  <c r="L95" i="3"/>
  <c r="L96" i="3"/>
  <c r="L97" i="3"/>
  <c r="L98" i="3"/>
  <c r="L103" i="3"/>
  <c r="L104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6" i="3"/>
  <c r="L127" i="3"/>
  <c r="L128" i="3"/>
  <c r="L129" i="3"/>
  <c r="L131" i="3"/>
  <c r="L132" i="3"/>
  <c r="L133" i="3"/>
  <c r="L134" i="3"/>
  <c r="L136" i="3"/>
  <c r="L137" i="3"/>
  <c r="L138" i="3"/>
  <c r="L139" i="3"/>
  <c r="L140" i="3"/>
  <c r="L141" i="3"/>
  <c r="L144" i="3"/>
  <c r="L145" i="3"/>
  <c r="L146" i="3"/>
  <c r="L147" i="3"/>
  <c r="L148" i="3"/>
  <c r="L149" i="3"/>
  <c r="L151" i="3"/>
  <c r="L152" i="3"/>
  <c r="L153" i="3"/>
  <c r="L156" i="3"/>
  <c r="L161" i="3"/>
  <c r="L160" i="3" s="1"/>
  <c r="L164" i="3"/>
  <c r="L165" i="3"/>
  <c r="L166" i="3"/>
  <c r="L167" i="3"/>
  <c r="L168" i="3"/>
  <c r="L169" i="3"/>
  <c r="L170" i="3"/>
  <c r="L163" i="3"/>
  <c r="L177" i="3"/>
  <c r="L178" i="3"/>
  <c r="L179" i="3"/>
  <c r="L181" i="3"/>
  <c r="L176" i="3"/>
  <c r="L186" i="3"/>
  <c r="L185" i="3" s="1"/>
  <c r="L188" i="3"/>
  <c r="L189" i="3"/>
  <c r="L190" i="3"/>
  <c r="L191" i="3"/>
  <c r="L193" i="3"/>
  <c r="L194" i="3"/>
  <c r="L201" i="3"/>
  <c r="L202" i="3"/>
  <c r="L204" i="3"/>
  <c r="L203" i="3" s="1"/>
  <c r="L206" i="3"/>
  <c r="L207" i="3"/>
  <c r="L209" i="3"/>
  <c r="L208" i="3" s="1"/>
  <c r="L212" i="3"/>
  <c r="L213" i="3"/>
  <c r="L217" i="3"/>
  <c r="L216" i="3" s="1"/>
  <c r="L222" i="3"/>
  <c r="L218" i="3" s="1"/>
  <c r="L223" i="3"/>
  <c r="L219" i="3" s="1"/>
  <c r="L226" i="3"/>
  <c r="L229" i="3"/>
  <c r="L228" i="3" s="1"/>
  <c r="M298" i="1"/>
  <c r="M285" i="1"/>
  <c r="M283" i="1"/>
  <c r="M282" i="1" s="1"/>
  <c r="M275" i="1"/>
  <c r="M243" i="1"/>
  <c r="M242" i="1" s="1"/>
  <c r="M200" i="1"/>
  <c r="M192" i="1"/>
  <c r="M81" i="1"/>
  <c r="L159" i="3" l="1"/>
  <c r="L175" i="3"/>
  <c r="L58" i="3"/>
  <c r="L57" i="3"/>
  <c r="L16" i="3"/>
  <c r="L35" i="3"/>
  <c r="L15" i="3"/>
  <c r="L215" i="3"/>
  <c r="L143" i="3"/>
  <c r="M115" i="1"/>
  <c r="M211" i="1"/>
  <c r="L187" i="3"/>
  <c r="L142" i="3"/>
  <c r="L135" i="3"/>
  <c r="L130" i="3"/>
  <c r="M50" i="1"/>
  <c r="M246" i="1"/>
  <c r="L162" i="3"/>
  <c r="L36" i="3"/>
  <c r="L200" i="3"/>
  <c r="L205" i="3"/>
  <c r="M12" i="1"/>
  <c r="L12" i="3"/>
  <c r="L214" i="3"/>
  <c r="L158" i="3" l="1"/>
  <c r="L231" i="3"/>
  <c r="L198" i="3"/>
  <c r="L230" i="3" s="1"/>
  <c r="M314" i="1"/>
  <c r="M315" i="1"/>
  <c r="L289" i="1" l="1"/>
  <c r="X289" i="1" s="1"/>
  <c r="Q284" i="1"/>
  <c r="Q244" i="1"/>
  <c r="Q214" i="1"/>
  <c r="Q212" i="1" s="1"/>
  <c r="Q164" i="1"/>
  <c r="Q116" i="1" s="1"/>
  <c r="Q74" i="1"/>
  <c r="Q51" i="1" s="1"/>
  <c r="Q24" i="1"/>
  <c r="P13" i="3" l="1"/>
  <c r="Q201" i="1"/>
  <c r="L280" i="1"/>
  <c r="D174" i="3"/>
  <c r="J174" i="3" s="1"/>
  <c r="K174" i="3" l="1"/>
  <c r="W174" i="3" s="1"/>
  <c r="X174" i="3"/>
  <c r="E169" i="3" l="1"/>
  <c r="F169" i="3"/>
  <c r="M169" i="3"/>
  <c r="N169" i="3"/>
  <c r="O169" i="3"/>
  <c r="E168" i="3"/>
  <c r="F168" i="3"/>
  <c r="M168" i="3"/>
  <c r="N168" i="3"/>
  <c r="O168" i="3"/>
  <c r="E164" i="3"/>
  <c r="F164" i="3"/>
  <c r="M164" i="3"/>
  <c r="N164" i="3"/>
  <c r="O164" i="3"/>
  <c r="E163" i="3"/>
  <c r="F163" i="3"/>
  <c r="M163" i="3"/>
  <c r="M159" i="3" s="1"/>
  <c r="N163" i="3"/>
  <c r="O163" i="3"/>
  <c r="E194" i="3"/>
  <c r="F194" i="3"/>
  <c r="N194" i="3"/>
  <c r="O194" i="3"/>
  <c r="E165" i="3"/>
  <c r="F165" i="3"/>
  <c r="M165" i="3"/>
  <c r="N165" i="3"/>
  <c r="O165" i="3"/>
  <c r="E166" i="3"/>
  <c r="F166" i="3"/>
  <c r="M166" i="3"/>
  <c r="N166" i="3"/>
  <c r="O166" i="3"/>
  <c r="E167" i="3"/>
  <c r="F167" i="3"/>
  <c r="M167" i="3"/>
  <c r="N167" i="3"/>
  <c r="O167" i="3"/>
  <c r="E176" i="3"/>
  <c r="F176" i="3"/>
  <c r="N176" i="3"/>
  <c r="O176" i="3"/>
  <c r="E170" i="3"/>
  <c r="F170" i="3"/>
  <c r="M170" i="3"/>
  <c r="N170" i="3"/>
  <c r="O170" i="3"/>
  <c r="P170" i="3"/>
  <c r="E191" i="3"/>
  <c r="F191" i="3"/>
  <c r="M191" i="3"/>
  <c r="N191" i="3"/>
  <c r="O191" i="3"/>
  <c r="P191" i="3"/>
  <c r="E190" i="3"/>
  <c r="F190" i="3"/>
  <c r="M190" i="3"/>
  <c r="N190" i="3"/>
  <c r="O190" i="3"/>
  <c r="E188" i="3"/>
  <c r="F188" i="3"/>
  <c r="M188" i="3"/>
  <c r="N188" i="3"/>
  <c r="O188" i="3"/>
  <c r="P188" i="3"/>
  <c r="E161" i="3"/>
  <c r="E160" i="3" s="1"/>
  <c r="F161" i="3"/>
  <c r="F160" i="3" s="1"/>
  <c r="M161" i="3"/>
  <c r="M160" i="3" s="1"/>
  <c r="N161" i="3"/>
  <c r="N160" i="3" s="1"/>
  <c r="O161" i="3"/>
  <c r="O160" i="3" s="1"/>
  <c r="P161" i="3"/>
  <c r="P160" i="3" s="1"/>
  <c r="E189" i="3"/>
  <c r="F189" i="3"/>
  <c r="M189" i="3"/>
  <c r="N189" i="3"/>
  <c r="O189" i="3"/>
  <c r="E193" i="3"/>
  <c r="F193" i="3"/>
  <c r="M193" i="3"/>
  <c r="N193" i="3"/>
  <c r="O193" i="3"/>
  <c r="P193" i="3"/>
  <c r="E186" i="3"/>
  <c r="E185" i="3" s="1"/>
  <c r="F186" i="3"/>
  <c r="F185" i="3" s="1"/>
  <c r="M186" i="3"/>
  <c r="M185" i="3" s="1"/>
  <c r="N186" i="3"/>
  <c r="N185" i="3" s="1"/>
  <c r="O186" i="3"/>
  <c r="O185" i="3" s="1"/>
  <c r="E181" i="3"/>
  <c r="F181" i="3"/>
  <c r="M181" i="3"/>
  <c r="N181" i="3"/>
  <c r="O181" i="3"/>
  <c r="P181" i="3"/>
  <c r="E178" i="3"/>
  <c r="F178" i="3"/>
  <c r="M178" i="3"/>
  <c r="N178" i="3"/>
  <c r="O178" i="3"/>
  <c r="P178" i="3"/>
  <c r="E179" i="3"/>
  <c r="F179" i="3"/>
  <c r="N179" i="3"/>
  <c r="O179" i="3"/>
  <c r="E177" i="3"/>
  <c r="F177" i="3"/>
  <c r="M177" i="3"/>
  <c r="N177" i="3"/>
  <c r="O177" i="3"/>
  <c r="P177" i="3"/>
  <c r="E217" i="3"/>
  <c r="E216" i="3" s="1"/>
  <c r="F217" i="3"/>
  <c r="F216" i="3" s="1"/>
  <c r="M217" i="3"/>
  <c r="M216" i="3" s="1"/>
  <c r="N217" i="3"/>
  <c r="N216" i="3" s="1"/>
  <c r="O217" i="3"/>
  <c r="O216" i="3" s="1"/>
  <c r="P217" i="3"/>
  <c r="P216" i="3" s="1"/>
  <c r="E229" i="3"/>
  <c r="E228" i="3" s="1"/>
  <c r="F229" i="3"/>
  <c r="F228" i="3" s="1"/>
  <c r="M229" i="3"/>
  <c r="M228" i="3" s="1"/>
  <c r="N229" i="3"/>
  <c r="N228" i="3" s="1"/>
  <c r="O229" i="3"/>
  <c r="O228" i="3" s="1"/>
  <c r="E226" i="3"/>
  <c r="F226" i="3"/>
  <c r="M226" i="3"/>
  <c r="N226" i="3"/>
  <c r="O226" i="3"/>
  <c r="E222" i="3"/>
  <c r="E218" i="3" s="1"/>
  <c r="F222" i="3"/>
  <c r="F218" i="3" s="1"/>
  <c r="M222" i="3"/>
  <c r="M218" i="3" s="1"/>
  <c r="N222" i="3"/>
  <c r="N218" i="3" s="1"/>
  <c r="O222" i="3"/>
  <c r="O218" i="3" s="1"/>
  <c r="P222" i="3"/>
  <c r="P218" i="3" s="1"/>
  <c r="E223" i="3"/>
  <c r="E219" i="3" s="1"/>
  <c r="F223" i="3"/>
  <c r="F219" i="3" s="1"/>
  <c r="M223" i="3"/>
  <c r="M219" i="3" s="1"/>
  <c r="N223" i="3"/>
  <c r="N219" i="3" s="1"/>
  <c r="O223" i="3"/>
  <c r="O219" i="3" s="1"/>
  <c r="P223" i="3"/>
  <c r="P219" i="3" s="1"/>
  <c r="E212" i="3"/>
  <c r="F212" i="3"/>
  <c r="M212" i="3"/>
  <c r="N212" i="3"/>
  <c r="O212" i="3"/>
  <c r="P212" i="3"/>
  <c r="E213" i="3"/>
  <c r="F213" i="3"/>
  <c r="M213" i="3"/>
  <c r="N213" i="3"/>
  <c r="O213" i="3"/>
  <c r="P213" i="3"/>
  <c r="D213" i="3"/>
  <c r="J213" i="3" s="1"/>
  <c r="E207" i="3"/>
  <c r="F207" i="3"/>
  <c r="N207" i="3"/>
  <c r="O207" i="3"/>
  <c r="E206" i="3"/>
  <c r="F206" i="3"/>
  <c r="M206" i="3"/>
  <c r="N206" i="3"/>
  <c r="O206" i="3"/>
  <c r="P206" i="3"/>
  <c r="E209" i="3"/>
  <c r="E208" i="3" s="1"/>
  <c r="F209" i="3"/>
  <c r="F208" i="3" s="1"/>
  <c r="M209" i="3"/>
  <c r="M208" i="3" s="1"/>
  <c r="N209" i="3"/>
  <c r="N208" i="3" s="1"/>
  <c r="O209" i="3"/>
  <c r="O208" i="3" s="1"/>
  <c r="P209" i="3"/>
  <c r="P208" i="3" s="1"/>
  <c r="E204" i="3"/>
  <c r="E203" i="3" s="1"/>
  <c r="M204" i="3"/>
  <c r="M203" i="3" s="1"/>
  <c r="N204" i="3"/>
  <c r="N203" i="3" s="1"/>
  <c r="O204" i="3"/>
  <c r="O203" i="3" s="1"/>
  <c r="P204" i="3"/>
  <c r="P203" i="3" s="1"/>
  <c r="E156" i="3"/>
  <c r="F156" i="3"/>
  <c r="M156" i="3"/>
  <c r="N156" i="3"/>
  <c r="O156" i="3"/>
  <c r="E153" i="3"/>
  <c r="F153" i="3"/>
  <c r="M153" i="3"/>
  <c r="N153" i="3"/>
  <c r="O153" i="3"/>
  <c r="E150" i="3"/>
  <c r="M150" i="3"/>
  <c r="N150" i="3"/>
  <c r="O150" i="3"/>
  <c r="E151" i="3"/>
  <c r="F151" i="3"/>
  <c r="M151" i="3"/>
  <c r="N151" i="3"/>
  <c r="O151" i="3"/>
  <c r="P151" i="3"/>
  <c r="E152" i="3"/>
  <c r="F152" i="3"/>
  <c r="M152" i="3"/>
  <c r="N152" i="3"/>
  <c r="O152" i="3"/>
  <c r="P152" i="3"/>
  <c r="E149" i="3"/>
  <c r="F149" i="3"/>
  <c r="M149" i="3"/>
  <c r="N149" i="3"/>
  <c r="O149" i="3"/>
  <c r="P149" i="3"/>
  <c r="E148" i="3"/>
  <c r="F148" i="3"/>
  <c r="M148" i="3"/>
  <c r="N148" i="3"/>
  <c r="O148" i="3"/>
  <c r="P148" i="3"/>
  <c r="E147" i="3"/>
  <c r="F147" i="3"/>
  <c r="M147" i="3"/>
  <c r="N147" i="3"/>
  <c r="O147" i="3"/>
  <c r="E146" i="3"/>
  <c r="F146" i="3"/>
  <c r="M146" i="3"/>
  <c r="N146" i="3"/>
  <c r="O146" i="3"/>
  <c r="E145" i="3"/>
  <c r="F145" i="3"/>
  <c r="M145" i="3"/>
  <c r="N145" i="3"/>
  <c r="O145" i="3"/>
  <c r="E144" i="3"/>
  <c r="F144" i="3"/>
  <c r="M144" i="3"/>
  <c r="N144" i="3"/>
  <c r="O144" i="3"/>
  <c r="F117" i="3"/>
  <c r="M117" i="3"/>
  <c r="N117" i="3"/>
  <c r="O117" i="3"/>
  <c r="P117" i="3"/>
  <c r="E134" i="3"/>
  <c r="F134" i="3"/>
  <c r="M134" i="3"/>
  <c r="N134" i="3"/>
  <c r="O134" i="3"/>
  <c r="P134" i="3"/>
  <c r="M133" i="3"/>
  <c r="N133" i="3"/>
  <c r="O133" i="3"/>
  <c r="N131" i="3"/>
  <c r="O131" i="3"/>
  <c r="E201" i="3"/>
  <c r="F201" i="3"/>
  <c r="M201" i="3"/>
  <c r="N201" i="3"/>
  <c r="O201" i="3"/>
  <c r="E202" i="3"/>
  <c r="N202" i="3"/>
  <c r="P202" i="3"/>
  <c r="N140" i="3"/>
  <c r="O140" i="3"/>
  <c r="E141" i="3"/>
  <c r="F141" i="3"/>
  <c r="M141" i="3"/>
  <c r="N141" i="3"/>
  <c r="O141" i="3"/>
  <c r="P141" i="3"/>
  <c r="E139" i="3"/>
  <c r="F139" i="3"/>
  <c r="M139" i="3"/>
  <c r="N139" i="3"/>
  <c r="O139" i="3"/>
  <c r="M138" i="3"/>
  <c r="N138" i="3"/>
  <c r="O138" i="3"/>
  <c r="E136" i="3"/>
  <c r="F136" i="3"/>
  <c r="M136" i="3"/>
  <c r="N136" i="3"/>
  <c r="O136" i="3"/>
  <c r="P136" i="3"/>
  <c r="E137" i="3"/>
  <c r="F137" i="3"/>
  <c r="M137" i="3"/>
  <c r="N137" i="3"/>
  <c r="O137" i="3"/>
  <c r="P137" i="3"/>
  <c r="M132" i="3"/>
  <c r="N132" i="3"/>
  <c r="O132" i="3"/>
  <c r="P132" i="3"/>
  <c r="E129" i="3"/>
  <c r="F129" i="3"/>
  <c r="M129" i="3"/>
  <c r="N129" i="3"/>
  <c r="O129" i="3"/>
  <c r="F128" i="3"/>
  <c r="M128" i="3"/>
  <c r="N128" i="3"/>
  <c r="O128" i="3"/>
  <c r="E108" i="3"/>
  <c r="F108" i="3"/>
  <c r="M108" i="3"/>
  <c r="N108" i="3"/>
  <c r="O108" i="3"/>
  <c r="P108" i="3"/>
  <c r="M107" i="3"/>
  <c r="N107" i="3"/>
  <c r="O107" i="3"/>
  <c r="E106" i="3"/>
  <c r="F106" i="3"/>
  <c r="M106" i="3"/>
  <c r="N106" i="3"/>
  <c r="O106" i="3"/>
  <c r="P106" i="3"/>
  <c r="E126" i="3"/>
  <c r="F126" i="3"/>
  <c r="M126" i="3"/>
  <c r="N126" i="3"/>
  <c r="O126" i="3"/>
  <c r="P126" i="3"/>
  <c r="E127" i="3"/>
  <c r="F127" i="3"/>
  <c r="M127" i="3"/>
  <c r="N127" i="3"/>
  <c r="O127" i="3"/>
  <c r="P127" i="3"/>
  <c r="E118" i="3"/>
  <c r="F118" i="3"/>
  <c r="M118" i="3"/>
  <c r="N118" i="3"/>
  <c r="O118" i="3"/>
  <c r="E119" i="3"/>
  <c r="F119" i="3"/>
  <c r="M119" i="3"/>
  <c r="N119" i="3"/>
  <c r="O119" i="3"/>
  <c r="E120" i="3"/>
  <c r="F120" i="3"/>
  <c r="M120" i="3"/>
  <c r="N120" i="3"/>
  <c r="O120" i="3"/>
  <c r="P120" i="3"/>
  <c r="E121" i="3"/>
  <c r="F121" i="3"/>
  <c r="M121" i="3"/>
  <c r="N121" i="3"/>
  <c r="O121" i="3"/>
  <c r="P121" i="3"/>
  <c r="E122" i="3"/>
  <c r="F122" i="3"/>
  <c r="M122" i="3"/>
  <c r="N122" i="3"/>
  <c r="O122" i="3"/>
  <c r="E123" i="3"/>
  <c r="F123" i="3"/>
  <c r="M123" i="3"/>
  <c r="N123" i="3"/>
  <c r="O123" i="3"/>
  <c r="E116" i="3"/>
  <c r="F116" i="3"/>
  <c r="M116" i="3"/>
  <c r="N116" i="3"/>
  <c r="O116" i="3"/>
  <c r="P116" i="3"/>
  <c r="E114" i="3"/>
  <c r="F114" i="3"/>
  <c r="M114" i="3"/>
  <c r="N114" i="3"/>
  <c r="O114" i="3"/>
  <c r="P114" i="3"/>
  <c r="E115" i="3"/>
  <c r="F115" i="3"/>
  <c r="M115" i="3"/>
  <c r="N115" i="3"/>
  <c r="O115" i="3"/>
  <c r="P115" i="3"/>
  <c r="E111" i="3"/>
  <c r="F111" i="3"/>
  <c r="M111" i="3"/>
  <c r="N111" i="3"/>
  <c r="O111" i="3"/>
  <c r="P111" i="3"/>
  <c r="E112" i="3"/>
  <c r="F112" i="3"/>
  <c r="M112" i="3"/>
  <c r="N112" i="3"/>
  <c r="O112" i="3"/>
  <c r="P112" i="3"/>
  <c r="E113" i="3"/>
  <c r="F113" i="3"/>
  <c r="M113" i="3"/>
  <c r="N113" i="3"/>
  <c r="O113" i="3"/>
  <c r="P113" i="3"/>
  <c r="E110" i="3"/>
  <c r="F110" i="3"/>
  <c r="M110" i="3"/>
  <c r="N110" i="3"/>
  <c r="O110" i="3"/>
  <c r="P110" i="3"/>
  <c r="F104" i="3"/>
  <c r="M104" i="3"/>
  <c r="N104" i="3"/>
  <c r="O104" i="3"/>
  <c r="P104" i="3"/>
  <c r="E89" i="3"/>
  <c r="F89" i="3"/>
  <c r="M89" i="3"/>
  <c r="N89" i="3"/>
  <c r="O89" i="3"/>
  <c r="P89" i="3"/>
  <c r="E90" i="3"/>
  <c r="F90" i="3"/>
  <c r="M90" i="3"/>
  <c r="N90" i="3"/>
  <c r="O90" i="3"/>
  <c r="P90" i="3"/>
  <c r="E91" i="3"/>
  <c r="F91" i="3"/>
  <c r="M91" i="3"/>
  <c r="N91" i="3"/>
  <c r="O91" i="3"/>
  <c r="P91" i="3"/>
  <c r="E92" i="3"/>
  <c r="F92" i="3"/>
  <c r="M92" i="3"/>
  <c r="N92" i="3"/>
  <c r="O92" i="3"/>
  <c r="P92" i="3"/>
  <c r="E93" i="3"/>
  <c r="F93" i="3"/>
  <c r="M93" i="3"/>
  <c r="N93" i="3"/>
  <c r="O93" i="3"/>
  <c r="P93" i="3"/>
  <c r="E94" i="3"/>
  <c r="F94" i="3"/>
  <c r="M94" i="3"/>
  <c r="N94" i="3"/>
  <c r="O94" i="3"/>
  <c r="P94" i="3"/>
  <c r="E95" i="3"/>
  <c r="F95" i="3"/>
  <c r="M95" i="3"/>
  <c r="N95" i="3"/>
  <c r="O95" i="3"/>
  <c r="P95" i="3"/>
  <c r="E96" i="3"/>
  <c r="F96" i="3"/>
  <c r="M96" i="3"/>
  <c r="N96" i="3"/>
  <c r="O96" i="3"/>
  <c r="P96" i="3"/>
  <c r="E97" i="3"/>
  <c r="F97" i="3"/>
  <c r="M97" i="3"/>
  <c r="N97" i="3"/>
  <c r="O97" i="3"/>
  <c r="P97" i="3"/>
  <c r="E98" i="3"/>
  <c r="F98" i="3"/>
  <c r="M98" i="3"/>
  <c r="N98" i="3"/>
  <c r="O98" i="3"/>
  <c r="P98" i="3"/>
  <c r="E103" i="3"/>
  <c r="F103" i="3"/>
  <c r="M103" i="3"/>
  <c r="N103" i="3"/>
  <c r="O103" i="3"/>
  <c r="P103" i="3"/>
  <c r="E72" i="3"/>
  <c r="F72" i="3"/>
  <c r="M72" i="3"/>
  <c r="N72" i="3"/>
  <c r="O72" i="3"/>
  <c r="P72" i="3"/>
  <c r="E73" i="3"/>
  <c r="F73" i="3"/>
  <c r="M73" i="3"/>
  <c r="N73" i="3"/>
  <c r="O73" i="3"/>
  <c r="P73" i="3"/>
  <c r="E74" i="3"/>
  <c r="F74" i="3"/>
  <c r="M74" i="3"/>
  <c r="N74" i="3"/>
  <c r="O74" i="3"/>
  <c r="P74" i="3"/>
  <c r="E75" i="3"/>
  <c r="F75" i="3"/>
  <c r="M75" i="3"/>
  <c r="N75" i="3"/>
  <c r="O75" i="3"/>
  <c r="P75" i="3"/>
  <c r="E76" i="3"/>
  <c r="F76" i="3"/>
  <c r="M76" i="3"/>
  <c r="N76" i="3"/>
  <c r="O76" i="3"/>
  <c r="P76" i="3"/>
  <c r="E77" i="3"/>
  <c r="F77" i="3"/>
  <c r="M77" i="3"/>
  <c r="N77" i="3"/>
  <c r="O77" i="3"/>
  <c r="P77" i="3"/>
  <c r="E78" i="3"/>
  <c r="F78" i="3"/>
  <c r="M78" i="3"/>
  <c r="N78" i="3"/>
  <c r="O78" i="3"/>
  <c r="P78" i="3"/>
  <c r="E79" i="3"/>
  <c r="F79" i="3"/>
  <c r="M79" i="3"/>
  <c r="N79" i="3"/>
  <c r="O79" i="3"/>
  <c r="P79" i="3"/>
  <c r="E80" i="3"/>
  <c r="F80" i="3"/>
  <c r="M80" i="3"/>
  <c r="N80" i="3"/>
  <c r="O80" i="3"/>
  <c r="P80" i="3"/>
  <c r="E81" i="3"/>
  <c r="F81" i="3"/>
  <c r="M81" i="3"/>
  <c r="N81" i="3"/>
  <c r="O81" i="3"/>
  <c r="P81" i="3"/>
  <c r="E82" i="3"/>
  <c r="F82" i="3"/>
  <c r="M82" i="3"/>
  <c r="N82" i="3"/>
  <c r="O82" i="3"/>
  <c r="P82" i="3"/>
  <c r="E83" i="3"/>
  <c r="F83" i="3"/>
  <c r="M83" i="3"/>
  <c r="N83" i="3"/>
  <c r="O83" i="3"/>
  <c r="P83" i="3"/>
  <c r="E84" i="3"/>
  <c r="F84" i="3"/>
  <c r="M84" i="3"/>
  <c r="N84" i="3"/>
  <c r="O84" i="3"/>
  <c r="P84" i="3"/>
  <c r="E85" i="3"/>
  <c r="F85" i="3"/>
  <c r="M85" i="3"/>
  <c r="N85" i="3"/>
  <c r="O85" i="3"/>
  <c r="P85" i="3"/>
  <c r="E88" i="3"/>
  <c r="F88" i="3"/>
  <c r="M88" i="3"/>
  <c r="N88" i="3"/>
  <c r="O88" i="3"/>
  <c r="P88" i="3"/>
  <c r="O159" i="3" l="1"/>
  <c r="E159" i="3"/>
  <c r="N159" i="3"/>
  <c r="F159" i="3"/>
  <c r="N175" i="3"/>
  <c r="F175" i="3"/>
  <c r="O175" i="3"/>
  <c r="E175" i="3"/>
  <c r="P215" i="3"/>
  <c r="N215" i="3"/>
  <c r="E215" i="3"/>
  <c r="O215" i="3"/>
  <c r="M215" i="3"/>
  <c r="F215" i="3"/>
  <c r="O130" i="3"/>
  <c r="O142" i="3"/>
  <c r="M142" i="3"/>
  <c r="O135" i="3"/>
  <c r="N130" i="3"/>
  <c r="N142" i="3"/>
  <c r="E142" i="3"/>
  <c r="N143" i="3"/>
  <c r="N135" i="3"/>
  <c r="O143" i="3"/>
  <c r="M143" i="3"/>
  <c r="F143" i="3"/>
  <c r="E143" i="3"/>
  <c r="N187" i="3"/>
  <c r="F187" i="3"/>
  <c r="O162" i="3"/>
  <c r="M162" i="3"/>
  <c r="F162" i="3"/>
  <c r="O187" i="3"/>
  <c r="E187" i="3"/>
  <c r="N162" i="3"/>
  <c r="E162" i="3"/>
  <c r="E205" i="3"/>
  <c r="O214" i="3"/>
  <c r="M214" i="3"/>
  <c r="E200" i="3"/>
  <c r="E214" i="3"/>
  <c r="O205" i="3"/>
  <c r="N205" i="3"/>
  <c r="F205" i="3"/>
  <c r="N214" i="3"/>
  <c r="F214" i="3"/>
  <c r="N200" i="3"/>
  <c r="N198" i="3" s="1"/>
  <c r="E109" i="3"/>
  <c r="F109" i="3"/>
  <c r="M109" i="3"/>
  <c r="N109" i="3"/>
  <c r="O109" i="3"/>
  <c r="P109" i="3"/>
  <c r="E71" i="3"/>
  <c r="F71" i="3"/>
  <c r="M71" i="3"/>
  <c r="N71" i="3"/>
  <c r="O71" i="3"/>
  <c r="P71" i="3"/>
  <c r="E69" i="3"/>
  <c r="F69" i="3"/>
  <c r="M69" i="3"/>
  <c r="N69" i="3"/>
  <c r="O69" i="3"/>
  <c r="P69" i="3"/>
  <c r="E67" i="3"/>
  <c r="F67" i="3"/>
  <c r="M67" i="3"/>
  <c r="N67" i="3"/>
  <c r="O67" i="3"/>
  <c r="E68" i="3"/>
  <c r="F68" i="3"/>
  <c r="M68" i="3"/>
  <c r="N68" i="3"/>
  <c r="O68" i="3"/>
  <c r="P68" i="3"/>
  <c r="E70" i="3"/>
  <c r="F70" i="3"/>
  <c r="M70" i="3"/>
  <c r="N70" i="3"/>
  <c r="O70" i="3"/>
  <c r="P70" i="3"/>
  <c r="E63" i="3"/>
  <c r="F63" i="3"/>
  <c r="M63" i="3"/>
  <c r="N63" i="3"/>
  <c r="O63" i="3"/>
  <c r="P63" i="3"/>
  <c r="E64" i="3"/>
  <c r="F64" i="3"/>
  <c r="M64" i="3"/>
  <c r="N64" i="3"/>
  <c r="O64" i="3"/>
  <c r="P64" i="3"/>
  <c r="E65" i="3"/>
  <c r="F65" i="3"/>
  <c r="M65" i="3"/>
  <c r="N65" i="3"/>
  <c r="O65" i="3"/>
  <c r="P65" i="3"/>
  <c r="E66" i="3"/>
  <c r="F66" i="3"/>
  <c r="M66" i="3"/>
  <c r="N66" i="3"/>
  <c r="O66" i="3"/>
  <c r="P66" i="3"/>
  <c r="E59" i="3"/>
  <c r="F59" i="3"/>
  <c r="M59" i="3"/>
  <c r="N59" i="3"/>
  <c r="O59" i="3"/>
  <c r="P59" i="3"/>
  <c r="E60" i="3"/>
  <c r="F60" i="3"/>
  <c r="M60" i="3"/>
  <c r="N60" i="3"/>
  <c r="O60" i="3"/>
  <c r="P60" i="3"/>
  <c r="E61" i="3"/>
  <c r="F61" i="3"/>
  <c r="M61" i="3"/>
  <c r="N61" i="3"/>
  <c r="O61" i="3"/>
  <c r="P61" i="3"/>
  <c r="E62" i="3"/>
  <c r="F62" i="3"/>
  <c r="M62" i="3"/>
  <c r="N62" i="3"/>
  <c r="O62" i="3"/>
  <c r="P62" i="3"/>
  <c r="E53" i="3"/>
  <c r="F53" i="3"/>
  <c r="M53" i="3"/>
  <c r="N53" i="3"/>
  <c r="O53" i="3"/>
  <c r="P53" i="3"/>
  <c r="E54" i="3"/>
  <c r="F54" i="3"/>
  <c r="M54" i="3"/>
  <c r="N54" i="3"/>
  <c r="O54" i="3"/>
  <c r="P54" i="3"/>
  <c r="E55" i="3"/>
  <c r="F55" i="3"/>
  <c r="M55" i="3"/>
  <c r="N55" i="3"/>
  <c r="O55" i="3"/>
  <c r="P55" i="3"/>
  <c r="E56" i="3"/>
  <c r="F56" i="3"/>
  <c r="M56" i="3"/>
  <c r="N56" i="3"/>
  <c r="O56" i="3"/>
  <c r="P56" i="3"/>
  <c r="E49" i="3"/>
  <c r="F49" i="3"/>
  <c r="M49" i="3"/>
  <c r="N49" i="3"/>
  <c r="O49" i="3"/>
  <c r="P49" i="3"/>
  <c r="E50" i="3"/>
  <c r="F50" i="3"/>
  <c r="M50" i="3"/>
  <c r="N50" i="3"/>
  <c r="O50" i="3"/>
  <c r="P50" i="3"/>
  <c r="E51" i="3"/>
  <c r="F51" i="3"/>
  <c r="M51" i="3"/>
  <c r="N51" i="3"/>
  <c r="O51" i="3"/>
  <c r="P51" i="3"/>
  <c r="E52" i="3"/>
  <c r="F52" i="3"/>
  <c r="M52" i="3"/>
  <c r="N52" i="3"/>
  <c r="O52" i="3"/>
  <c r="P52" i="3"/>
  <c r="E45" i="3"/>
  <c r="F45" i="3"/>
  <c r="M45" i="3"/>
  <c r="N45" i="3"/>
  <c r="O45" i="3"/>
  <c r="E46" i="3"/>
  <c r="F46" i="3"/>
  <c r="M46" i="3"/>
  <c r="N46" i="3"/>
  <c r="O46" i="3"/>
  <c r="P46" i="3"/>
  <c r="E47" i="3"/>
  <c r="F47" i="3"/>
  <c r="M47" i="3"/>
  <c r="N47" i="3"/>
  <c r="O47" i="3"/>
  <c r="E48" i="3"/>
  <c r="F48" i="3"/>
  <c r="M48" i="3"/>
  <c r="N48" i="3"/>
  <c r="O48" i="3"/>
  <c r="P48" i="3"/>
  <c r="E37" i="3"/>
  <c r="F37" i="3"/>
  <c r="N37" i="3"/>
  <c r="O37" i="3"/>
  <c r="E38" i="3"/>
  <c r="F38" i="3"/>
  <c r="M38" i="3"/>
  <c r="N38" i="3"/>
  <c r="O38" i="3"/>
  <c r="P38" i="3"/>
  <c r="E39" i="3"/>
  <c r="F39" i="3"/>
  <c r="M39" i="3"/>
  <c r="N39" i="3"/>
  <c r="O39" i="3"/>
  <c r="E40" i="3"/>
  <c r="F40" i="3"/>
  <c r="M40" i="3"/>
  <c r="N40" i="3"/>
  <c r="O40" i="3"/>
  <c r="P40" i="3"/>
  <c r="E41" i="3"/>
  <c r="F41" i="3"/>
  <c r="M41" i="3"/>
  <c r="N41" i="3"/>
  <c r="O41" i="3"/>
  <c r="P41" i="3"/>
  <c r="E42" i="3"/>
  <c r="F42" i="3"/>
  <c r="M42" i="3"/>
  <c r="N42" i="3"/>
  <c r="O42" i="3"/>
  <c r="P42" i="3"/>
  <c r="E43" i="3"/>
  <c r="F43" i="3"/>
  <c r="M43" i="3"/>
  <c r="N43" i="3"/>
  <c r="O43" i="3"/>
  <c r="P43" i="3"/>
  <c r="E44" i="3"/>
  <c r="F44" i="3"/>
  <c r="M44" i="3"/>
  <c r="N44" i="3"/>
  <c r="O44" i="3"/>
  <c r="P44" i="3"/>
  <c r="M29" i="3"/>
  <c r="N29" i="3"/>
  <c r="O29" i="3"/>
  <c r="P29" i="3"/>
  <c r="F30" i="3"/>
  <c r="M30" i="3"/>
  <c r="N30" i="3"/>
  <c r="O30" i="3"/>
  <c r="E31" i="3"/>
  <c r="F31" i="3"/>
  <c r="M31" i="3"/>
  <c r="N31" i="3"/>
  <c r="O31" i="3"/>
  <c r="P31" i="3"/>
  <c r="E32" i="3"/>
  <c r="F32" i="3"/>
  <c r="M32" i="3"/>
  <c r="N32" i="3"/>
  <c r="O32" i="3"/>
  <c r="P32" i="3"/>
  <c r="N17" i="3"/>
  <c r="O17" i="3"/>
  <c r="N19" i="3"/>
  <c r="O19" i="3"/>
  <c r="F20" i="3"/>
  <c r="M20" i="3"/>
  <c r="N20" i="3"/>
  <c r="O20" i="3"/>
  <c r="F21" i="3"/>
  <c r="M21" i="3"/>
  <c r="N21" i="3"/>
  <c r="O21" i="3"/>
  <c r="P21" i="3"/>
  <c r="E22" i="3"/>
  <c r="F22" i="3"/>
  <c r="M22" i="3"/>
  <c r="N22" i="3"/>
  <c r="O22" i="3"/>
  <c r="P22" i="3"/>
  <c r="M23" i="3"/>
  <c r="N23" i="3"/>
  <c r="O23" i="3"/>
  <c r="E24" i="3"/>
  <c r="F24" i="3"/>
  <c r="M24" i="3"/>
  <c r="N24" i="3"/>
  <c r="O24" i="3"/>
  <c r="P24" i="3"/>
  <c r="E25" i="3"/>
  <c r="M25" i="3"/>
  <c r="N25" i="3"/>
  <c r="O25" i="3"/>
  <c r="E14" i="3"/>
  <c r="F14" i="3"/>
  <c r="M14" i="3"/>
  <c r="N14" i="3"/>
  <c r="O14" i="3"/>
  <c r="P14" i="3"/>
  <c r="N58" i="3" l="1"/>
  <c r="E58" i="3"/>
  <c r="O57" i="3"/>
  <c r="M57" i="3"/>
  <c r="O58" i="3"/>
  <c r="M58" i="3"/>
  <c r="F58" i="3"/>
  <c r="N57" i="3"/>
  <c r="O158" i="3"/>
  <c r="E158" i="3"/>
  <c r="F158" i="3"/>
  <c r="N158" i="3"/>
  <c r="E198" i="3"/>
  <c r="N16" i="3"/>
  <c r="O16" i="3"/>
  <c r="M16" i="3"/>
  <c r="F16" i="3"/>
  <c r="N15" i="3"/>
  <c r="O35" i="3"/>
  <c r="E35" i="3"/>
  <c r="O15" i="3"/>
  <c r="N35" i="3"/>
  <c r="F35" i="3"/>
  <c r="O36" i="3"/>
  <c r="M36" i="3"/>
  <c r="F36" i="3"/>
  <c r="P36" i="3"/>
  <c r="N36" i="3"/>
  <c r="E36" i="3"/>
  <c r="F231" i="3" l="1"/>
  <c r="O231" i="3"/>
  <c r="N231" i="3"/>
  <c r="O298" i="1"/>
  <c r="P298" i="1"/>
  <c r="F283" i="1"/>
  <c r="F282" i="1" s="1"/>
  <c r="N283" i="1"/>
  <c r="N282" i="1" s="1"/>
  <c r="O283" i="1"/>
  <c r="O282" i="1" s="1"/>
  <c r="P283" i="1"/>
  <c r="P282" i="1" s="1"/>
  <c r="Q283" i="1"/>
  <c r="Q282" i="1" s="1"/>
  <c r="G243" i="1"/>
  <c r="N243" i="1"/>
  <c r="N242" i="1" s="1"/>
  <c r="O243" i="1"/>
  <c r="O242" i="1" s="1"/>
  <c r="P243" i="1"/>
  <c r="P242" i="1" s="1"/>
  <c r="L15" i="1"/>
  <c r="L16" i="1"/>
  <c r="L17" i="1"/>
  <c r="L19" i="1"/>
  <c r="L20" i="1"/>
  <c r="L21" i="1"/>
  <c r="L22" i="1"/>
  <c r="L23" i="1"/>
  <c r="L25" i="1"/>
  <c r="L26" i="1"/>
  <c r="L27" i="1"/>
  <c r="L31" i="1"/>
  <c r="L32" i="1"/>
  <c r="L33" i="1"/>
  <c r="L35" i="1"/>
  <c r="L37" i="1"/>
  <c r="L38" i="1"/>
  <c r="X38" i="1" s="1"/>
  <c r="L40" i="1"/>
  <c r="L42" i="1"/>
  <c r="L45" i="1"/>
  <c r="L47" i="1"/>
  <c r="L48" i="1"/>
  <c r="X48" i="1" s="1"/>
  <c r="L53" i="1"/>
  <c r="L58" i="1"/>
  <c r="L59" i="1"/>
  <c r="L61" i="1"/>
  <c r="L65" i="1"/>
  <c r="L67" i="1"/>
  <c r="X67" i="1" s="1"/>
  <c r="L68" i="1"/>
  <c r="L69" i="1"/>
  <c r="X69" i="1" s="1"/>
  <c r="L72" i="1"/>
  <c r="L73" i="1"/>
  <c r="L80" i="1"/>
  <c r="L86" i="1"/>
  <c r="L88" i="1"/>
  <c r="L89" i="1"/>
  <c r="L90" i="1"/>
  <c r="L91" i="1"/>
  <c r="L92" i="1"/>
  <c r="L94" i="1"/>
  <c r="X94" i="1" s="1"/>
  <c r="L96" i="1"/>
  <c r="L97" i="1"/>
  <c r="L98" i="1"/>
  <c r="L99" i="1"/>
  <c r="L100" i="1"/>
  <c r="L101" i="1"/>
  <c r="L102" i="1"/>
  <c r="L103" i="1"/>
  <c r="L104" i="1"/>
  <c r="L109" i="1"/>
  <c r="X109" i="1" s="1"/>
  <c r="L114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8" i="1"/>
  <c r="L149" i="1"/>
  <c r="L150" i="1"/>
  <c r="L151" i="1"/>
  <c r="L152" i="1"/>
  <c r="L153" i="1"/>
  <c r="L154" i="1"/>
  <c r="L155" i="1"/>
  <c r="L156" i="1"/>
  <c r="L157" i="1"/>
  <c r="L158" i="1"/>
  <c r="L163" i="1"/>
  <c r="L164" i="1"/>
  <c r="L165" i="1"/>
  <c r="L166" i="1"/>
  <c r="L167" i="1"/>
  <c r="L168" i="1"/>
  <c r="L169" i="1"/>
  <c r="L170" i="1"/>
  <c r="L171" i="1"/>
  <c r="L172" i="1"/>
  <c r="L175" i="1"/>
  <c r="L176" i="1"/>
  <c r="L181" i="1"/>
  <c r="L182" i="1"/>
  <c r="L187" i="1"/>
  <c r="X187" i="1" s="1"/>
  <c r="L188" i="1"/>
  <c r="X188" i="1" s="1"/>
  <c r="L191" i="1"/>
  <c r="L197" i="1"/>
  <c r="L198" i="1"/>
  <c r="X198" i="1" s="1"/>
  <c r="L207" i="1"/>
  <c r="L209" i="1"/>
  <c r="L210" i="1"/>
  <c r="X210" i="1" s="1"/>
  <c r="L215" i="1"/>
  <c r="L220" i="1"/>
  <c r="L221" i="1"/>
  <c r="L223" i="1"/>
  <c r="X223" i="1" s="1"/>
  <c r="L224" i="1"/>
  <c r="X224" i="1" s="1"/>
  <c r="L225" i="1"/>
  <c r="X225" i="1" s="1"/>
  <c r="L226" i="1"/>
  <c r="X226" i="1" s="1"/>
  <c r="L230" i="1"/>
  <c r="X230" i="1" s="1"/>
  <c r="L239" i="1"/>
  <c r="L241" i="1"/>
  <c r="X241" i="1" s="1"/>
  <c r="L245" i="1"/>
  <c r="X245" i="1" s="1"/>
  <c r="L252" i="1"/>
  <c r="X252" i="1" s="1"/>
  <c r="L261" i="1"/>
  <c r="X261" i="1" s="1"/>
  <c r="L264" i="1"/>
  <c r="L273" i="1"/>
  <c r="X273" i="1" s="1"/>
  <c r="L278" i="1"/>
  <c r="L279" i="1"/>
  <c r="L284" i="1"/>
  <c r="L288" i="1"/>
  <c r="L290" i="1"/>
  <c r="L292" i="1"/>
  <c r="L293" i="1"/>
  <c r="L294" i="1"/>
  <c r="X294" i="1" s="1"/>
  <c r="L303" i="1"/>
  <c r="L308" i="1"/>
  <c r="L309" i="1"/>
  <c r="L310" i="1"/>
  <c r="L311" i="1"/>
  <c r="L312" i="1"/>
  <c r="E300" i="1"/>
  <c r="E285" i="1"/>
  <c r="K285" i="1" s="1"/>
  <c r="D183" i="3"/>
  <c r="D180" i="3"/>
  <c r="J180" i="3" s="1"/>
  <c r="E213" i="1"/>
  <c r="D155" i="3"/>
  <c r="K222" i="3" l="1"/>
  <c r="X311" i="1"/>
  <c r="K213" i="3"/>
  <c r="L283" i="1"/>
  <c r="X284" i="1"/>
  <c r="K180" i="3"/>
  <c r="W180" i="3" s="1"/>
  <c r="X264" i="1"/>
  <c r="K148" i="3"/>
  <c r="K106" i="3"/>
  <c r="K127" i="3"/>
  <c r="K121" i="3"/>
  <c r="W121" i="3" s="1"/>
  <c r="X176" i="1"/>
  <c r="K115" i="3"/>
  <c r="K113" i="3"/>
  <c r="K111" i="3"/>
  <c r="K104" i="3"/>
  <c r="W104" i="3" s="1"/>
  <c r="X164" i="1"/>
  <c r="K98" i="3"/>
  <c r="K96" i="3"/>
  <c r="K94" i="3"/>
  <c r="K92" i="3"/>
  <c r="K90" i="3"/>
  <c r="K88" i="3"/>
  <c r="K84" i="3"/>
  <c r="K82" i="3"/>
  <c r="K80" i="3"/>
  <c r="K78" i="3"/>
  <c r="K76" i="3"/>
  <c r="K74" i="3"/>
  <c r="K72" i="3"/>
  <c r="K70" i="3"/>
  <c r="K68" i="3"/>
  <c r="K65" i="3"/>
  <c r="K63" i="3"/>
  <c r="K61" i="3"/>
  <c r="K59" i="3"/>
  <c r="K55" i="3"/>
  <c r="W55" i="3" s="1"/>
  <c r="X103" i="1"/>
  <c r="K53" i="3"/>
  <c r="K51" i="3"/>
  <c r="K49" i="3"/>
  <c r="K43" i="3"/>
  <c r="W43" i="3" s="1"/>
  <c r="X91" i="1"/>
  <c r="K41" i="3"/>
  <c r="W41" i="3" s="1"/>
  <c r="X89" i="1"/>
  <c r="K24" i="3"/>
  <c r="W24" i="3" s="1"/>
  <c r="X61" i="1"/>
  <c r="K21" i="3"/>
  <c r="K204" i="3"/>
  <c r="K193" i="3"/>
  <c r="K178" i="3"/>
  <c r="K141" i="3"/>
  <c r="K136" i="3"/>
  <c r="K132" i="3"/>
  <c r="W132" i="3" s="1"/>
  <c r="X23" i="1"/>
  <c r="L300" i="1"/>
  <c r="X300" i="1" s="1"/>
  <c r="X312" i="1"/>
  <c r="K217" i="3"/>
  <c r="K212" i="3"/>
  <c r="K191" i="3"/>
  <c r="W191" i="3" s="1"/>
  <c r="X292" i="1"/>
  <c r="K161" i="3"/>
  <c r="X288" i="1"/>
  <c r="K170" i="3"/>
  <c r="W170" i="3" s="1"/>
  <c r="X279" i="1"/>
  <c r="K206" i="3"/>
  <c r="W206" i="3" s="1"/>
  <c r="X239" i="1"/>
  <c r="K149" i="3"/>
  <c r="L202" i="1"/>
  <c r="X202" i="1" s="1"/>
  <c r="X209" i="1"/>
  <c r="K126" i="3"/>
  <c r="K120" i="3"/>
  <c r="W120" i="3" s="1"/>
  <c r="X175" i="1"/>
  <c r="K116" i="3"/>
  <c r="K114" i="3"/>
  <c r="K112" i="3"/>
  <c r="K110" i="3"/>
  <c r="K103" i="3"/>
  <c r="K97" i="3"/>
  <c r="K95" i="3"/>
  <c r="K93" i="3"/>
  <c r="K91" i="3"/>
  <c r="K89" i="3"/>
  <c r="K85" i="3"/>
  <c r="K83" i="3"/>
  <c r="K81" i="3"/>
  <c r="K79" i="3"/>
  <c r="K77" i="3"/>
  <c r="K75" i="3"/>
  <c r="K73" i="3"/>
  <c r="K71" i="3"/>
  <c r="K66" i="3"/>
  <c r="K64" i="3"/>
  <c r="K62" i="3"/>
  <c r="K56" i="3"/>
  <c r="W56" i="3" s="1"/>
  <c r="X104" i="1"/>
  <c r="K54" i="3"/>
  <c r="W54" i="3" s="1"/>
  <c r="X102" i="1"/>
  <c r="K52" i="3"/>
  <c r="K50" i="3"/>
  <c r="K48" i="3"/>
  <c r="W48" i="3" s="1"/>
  <c r="X96" i="1"/>
  <c r="K44" i="3"/>
  <c r="K42" i="3"/>
  <c r="W42" i="3" s="1"/>
  <c r="X90" i="1"/>
  <c r="K40" i="3"/>
  <c r="K109" i="3"/>
  <c r="K32" i="3"/>
  <c r="K29" i="3"/>
  <c r="W29" i="3" s="1"/>
  <c r="X65" i="1"/>
  <c r="K22" i="3"/>
  <c r="K209" i="3"/>
  <c r="K181" i="3"/>
  <c r="W181" i="3" s="1"/>
  <c r="X35" i="1"/>
  <c r="K137" i="3"/>
  <c r="K14" i="3"/>
  <c r="D154" i="3"/>
  <c r="K154" i="3"/>
  <c r="W154" i="3" s="1"/>
  <c r="K195" i="3"/>
  <c r="D173" i="3"/>
  <c r="E248" i="1"/>
  <c r="D184" i="3"/>
  <c r="D172" i="3"/>
  <c r="D171" i="3"/>
  <c r="K157" i="3"/>
  <c r="W157" i="3" s="1"/>
  <c r="K171" i="3"/>
  <c r="W171" i="3" s="1"/>
  <c r="K31" i="3"/>
  <c r="W31" i="3" s="1"/>
  <c r="K152" i="3"/>
  <c r="W152" i="3" s="1"/>
  <c r="E202" i="1"/>
  <c r="E194" i="1"/>
  <c r="K194" i="1" s="1"/>
  <c r="K60" i="3"/>
  <c r="K38" i="3"/>
  <c r="O192" i="1"/>
  <c r="F192" i="1"/>
  <c r="F211" i="1"/>
  <c r="P192" i="1"/>
  <c r="N192" i="1"/>
  <c r="F246" i="1"/>
  <c r="D192" i="3"/>
  <c r="P285" i="1"/>
  <c r="N285" i="1"/>
  <c r="O285" i="1"/>
  <c r="F285" i="1"/>
  <c r="P275" i="1"/>
  <c r="O275" i="1"/>
  <c r="D63" i="3"/>
  <c r="J63" i="3" s="1"/>
  <c r="D68" i="3"/>
  <c r="J68" i="3" s="1"/>
  <c r="D73" i="3"/>
  <c r="J73" i="3" s="1"/>
  <c r="D92" i="3"/>
  <c r="J92" i="3" s="1"/>
  <c r="D98" i="3"/>
  <c r="J98" i="3" s="1"/>
  <c r="D121" i="3"/>
  <c r="D106" i="3"/>
  <c r="J106" i="3" s="1"/>
  <c r="D147" i="3"/>
  <c r="D165" i="3"/>
  <c r="D207" i="3"/>
  <c r="D65" i="3"/>
  <c r="J65" i="3" s="1"/>
  <c r="D90" i="3"/>
  <c r="J90" i="3" s="1"/>
  <c r="D94" i="3"/>
  <c r="J94" i="3" s="1"/>
  <c r="D111" i="3"/>
  <c r="J111" i="3" s="1"/>
  <c r="D123" i="3"/>
  <c r="D152" i="3"/>
  <c r="J152" i="3" s="1"/>
  <c r="D167" i="3"/>
  <c r="J167" i="3" s="1"/>
  <c r="D190" i="3"/>
  <c r="X222" i="3"/>
  <c r="X218" i="3" s="1"/>
  <c r="D72" i="3"/>
  <c r="J72" i="3" s="1"/>
  <c r="D89" i="3"/>
  <c r="J89" i="3" s="1"/>
  <c r="D118" i="3"/>
  <c r="D122" i="3"/>
  <c r="D144" i="3"/>
  <c r="D153" i="3"/>
  <c r="J153" i="3" s="1"/>
  <c r="D166" i="3"/>
  <c r="D217" i="3"/>
  <c r="G242" i="1"/>
  <c r="Y294" i="1"/>
  <c r="D194" i="3"/>
  <c r="D168" i="3"/>
  <c r="K117" i="3"/>
  <c r="P50" i="1"/>
  <c r="O81" i="1"/>
  <c r="F81" i="1"/>
  <c r="P200" i="1"/>
  <c r="O211" i="1"/>
  <c r="X22" i="3"/>
  <c r="D22" i="3"/>
  <c r="J22" i="3" s="1"/>
  <c r="X32" i="3"/>
  <c r="D32" i="3"/>
  <c r="J32" i="3" s="1"/>
  <c r="X54" i="3"/>
  <c r="D54" i="3"/>
  <c r="J54" i="3" s="1"/>
  <c r="D64" i="3"/>
  <c r="J64" i="3" s="1"/>
  <c r="X66" i="3"/>
  <c r="D66" i="3"/>
  <c r="J66" i="3" s="1"/>
  <c r="X76" i="3"/>
  <c r="D76" i="3"/>
  <c r="J76" i="3" s="1"/>
  <c r="X78" i="3"/>
  <c r="D78" i="3"/>
  <c r="J78" i="3" s="1"/>
  <c r="X82" i="3"/>
  <c r="D82" i="3"/>
  <c r="J82" i="3" s="1"/>
  <c r="X84" i="3"/>
  <c r="D84" i="3"/>
  <c r="J84" i="3" s="1"/>
  <c r="X91" i="3"/>
  <c r="D91" i="3"/>
  <c r="J91" i="3" s="1"/>
  <c r="X93" i="3"/>
  <c r="D93" i="3"/>
  <c r="J93" i="3" s="1"/>
  <c r="X97" i="3"/>
  <c r="D97" i="3"/>
  <c r="J97" i="3" s="1"/>
  <c r="X103" i="3"/>
  <c r="D103" i="3"/>
  <c r="J103" i="3" s="1"/>
  <c r="X112" i="3"/>
  <c r="D112" i="3"/>
  <c r="J112" i="3" s="1"/>
  <c r="X120" i="3"/>
  <c r="D120" i="3"/>
  <c r="D151" i="3"/>
  <c r="J151" i="3" s="1"/>
  <c r="X206" i="3"/>
  <c r="D206" i="3"/>
  <c r="J206" i="3" s="1"/>
  <c r="D164" i="3"/>
  <c r="X191" i="3"/>
  <c r="D191" i="3"/>
  <c r="D222" i="3"/>
  <c r="K223" i="3"/>
  <c r="K46" i="3"/>
  <c r="W46" i="3" s="1"/>
  <c r="K188" i="3"/>
  <c r="K108" i="3"/>
  <c r="D31" i="3"/>
  <c r="J31" i="3" s="1"/>
  <c r="X50" i="3"/>
  <c r="D50" i="3"/>
  <c r="J50" i="3" s="1"/>
  <c r="X77" i="3"/>
  <c r="D77" i="3"/>
  <c r="J77" i="3" s="1"/>
  <c r="X79" i="3"/>
  <c r="D79" i="3"/>
  <c r="J79" i="3" s="1"/>
  <c r="X83" i="3"/>
  <c r="D83" i="3"/>
  <c r="J83" i="3" s="1"/>
  <c r="X85" i="3"/>
  <c r="D85" i="3"/>
  <c r="J85" i="3" s="1"/>
  <c r="X116" i="3"/>
  <c r="D116" i="3"/>
  <c r="J116" i="3" s="1"/>
  <c r="D119" i="3"/>
  <c r="D169" i="3"/>
  <c r="X170" i="3"/>
  <c r="D170" i="3"/>
  <c r="J170" i="3" s="1"/>
  <c r="D223" i="3"/>
  <c r="K151" i="3"/>
  <c r="W151" i="3" s="1"/>
  <c r="K69" i="3"/>
  <c r="K177" i="3"/>
  <c r="K134" i="3"/>
  <c r="X65" i="3"/>
  <c r="X68" i="3"/>
  <c r="X92" i="3"/>
  <c r="X94" i="3"/>
  <c r="X98" i="3"/>
  <c r="X121" i="3"/>
  <c r="X217" i="3"/>
  <c r="X216" i="3" s="1"/>
  <c r="O12" i="1"/>
  <c r="P115" i="1"/>
  <c r="N115" i="1"/>
  <c r="O200" i="1"/>
  <c r="P211" i="1"/>
  <c r="Y202" i="1"/>
  <c r="Y198" i="1"/>
  <c r="O50" i="1"/>
  <c r="X63" i="3"/>
  <c r="X89" i="3"/>
  <c r="X73" i="3"/>
  <c r="X180" i="3"/>
  <c r="X90" i="3"/>
  <c r="X72" i="3"/>
  <c r="P81" i="1"/>
  <c r="Y300" i="1"/>
  <c r="O115" i="1"/>
  <c r="K219" i="3" l="1"/>
  <c r="W219" i="3" s="1"/>
  <c r="W223" i="3"/>
  <c r="D219" i="3"/>
  <c r="J219" i="3" s="1"/>
  <c r="D218" i="3"/>
  <c r="J218" i="3" s="1"/>
  <c r="D216" i="3"/>
  <c r="J216" i="3" s="1"/>
  <c r="J217" i="3"/>
  <c r="D176" i="3"/>
  <c r="D163" i="3"/>
  <c r="K208" i="3"/>
  <c r="K160" i="3"/>
  <c r="W160" i="3" s="1"/>
  <c r="W161" i="3"/>
  <c r="K216" i="3"/>
  <c r="K203" i="3"/>
  <c r="K218" i="3"/>
  <c r="W218" i="3" s="1"/>
  <c r="W222" i="3"/>
  <c r="L282" i="1"/>
  <c r="X282" i="1" s="1"/>
  <c r="X283" i="1"/>
  <c r="X154" i="3"/>
  <c r="X213" i="3"/>
  <c r="X171" i="3"/>
  <c r="D215" i="3"/>
  <c r="J215" i="3" s="1"/>
  <c r="K215" i="3"/>
  <c r="W215" i="3" s="1"/>
  <c r="K36" i="3"/>
  <c r="D143" i="3"/>
  <c r="D162" i="3"/>
  <c r="J162" i="3" s="1"/>
  <c r="D205" i="3"/>
  <c r="G285" i="1"/>
  <c r="G115" i="1"/>
  <c r="G246" i="1"/>
  <c r="P315" i="1"/>
  <c r="G315" i="1"/>
  <c r="X111" i="3"/>
  <c r="X151" i="3"/>
  <c r="X223" i="3"/>
  <c r="X219" i="3" s="1"/>
  <c r="X64" i="3"/>
  <c r="X106" i="3"/>
  <c r="X152" i="3"/>
  <c r="X31" i="3"/>
  <c r="O315" i="1"/>
  <c r="D159" i="3" l="1"/>
  <c r="X215" i="3"/>
  <c r="F150" i="3"/>
  <c r="F275" i="1"/>
  <c r="E131" i="3"/>
  <c r="E133" i="3"/>
  <c r="E132" i="3"/>
  <c r="E130" i="3" l="1"/>
  <c r="L222" i="1"/>
  <c r="X222" i="1" s="1"/>
  <c r="L255" i="1"/>
  <c r="X255" i="1" s="1"/>
  <c r="L259" i="1"/>
  <c r="F200" i="1"/>
  <c r="D17" i="3"/>
  <c r="J17" i="3" s="1"/>
  <c r="X259" i="1" l="1"/>
  <c r="D47" i="3"/>
  <c r="J47" i="3" s="1"/>
  <c r="D38" i="3"/>
  <c r="J38" i="3" s="1"/>
  <c r="D179" i="3"/>
  <c r="J179" i="3" s="1"/>
  <c r="D104" i="3"/>
  <c r="J104" i="3" s="1"/>
  <c r="D45" i="3"/>
  <c r="J45" i="3" s="1"/>
  <c r="D46" i="3"/>
  <c r="J46" i="3" s="1"/>
  <c r="D19" i="3"/>
  <c r="J19" i="3" s="1"/>
  <c r="D131" i="3"/>
  <c r="J131" i="3" s="1"/>
  <c r="X149" i="3"/>
  <c r="D149" i="3"/>
  <c r="J149" i="3" s="1"/>
  <c r="X48" i="3"/>
  <c r="D48" i="3"/>
  <c r="J48" i="3" s="1"/>
  <c r="X209" i="3"/>
  <c r="X208" i="3" s="1"/>
  <c r="D209" i="3"/>
  <c r="D133" i="3"/>
  <c r="J133" i="3" s="1"/>
  <c r="X132" i="3"/>
  <c r="D132" i="3"/>
  <c r="J132" i="3" s="1"/>
  <c r="E283" i="1"/>
  <c r="K283" i="1" s="1"/>
  <c r="Y283" i="1"/>
  <c r="Y282" i="1" s="1"/>
  <c r="D208" i="3" l="1"/>
  <c r="J208" i="3" s="1"/>
  <c r="J209" i="3"/>
  <c r="X38" i="3"/>
  <c r="E282" i="1"/>
  <c r="K282" i="1" s="1"/>
  <c r="D49" i="3"/>
  <c r="J49" i="3" s="1"/>
  <c r="D37" i="3"/>
  <c r="J37" i="3" s="1"/>
  <c r="X104" i="3"/>
  <c r="X46" i="3"/>
  <c r="N298" i="1"/>
  <c r="L305" i="1"/>
  <c r="X305" i="1" s="1"/>
  <c r="X49" i="3"/>
  <c r="L272" i="1"/>
  <c r="X272" i="1" s="1"/>
  <c r="P167" i="3"/>
  <c r="P166" i="3"/>
  <c r="P165" i="3"/>
  <c r="F243" i="1"/>
  <c r="F242" i="1" s="1"/>
  <c r="P168" i="3"/>
  <c r="P164" i="3"/>
  <c r="P145" i="3"/>
  <c r="P144" i="3"/>
  <c r="L217" i="1" l="1"/>
  <c r="X217" i="1" s="1"/>
  <c r="L256" i="1"/>
  <c r="L257" i="1"/>
  <c r="L258" i="1"/>
  <c r="L216" i="1"/>
  <c r="L227" i="1"/>
  <c r="X227" i="1" s="1"/>
  <c r="L228" i="1"/>
  <c r="X228" i="1" s="1"/>
  <c r="L240" i="1"/>
  <c r="P45" i="3"/>
  <c r="P37" i="3"/>
  <c r="P25" i="3"/>
  <c r="P19" i="3"/>
  <c r="P17" i="3"/>
  <c r="E17" i="3"/>
  <c r="P201" i="3"/>
  <c r="P200" i="3" s="1"/>
  <c r="K144" i="3" l="1"/>
  <c r="W144" i="3" s="1"/>
  <c r="X216" i="1"/>
  <c r="K166" i="3"/>
  <c r="W166" i="3" s="1"/>
  <c r="X257" i="1"/>
  <c r="X240" i="1"/>
  <c r="K167" i="3"/>
  <c r="W167" i="3" s="1"/>
  <c r="X258" i="1"/>
  <c r="K165" i="3"/>
  <c r="W165" i="3" s="1"/>
  <c r="X256" i="1"/>
  <c r="K168" i="3"/>
  <c r="W168" i="3" s="1"/>
  <c r="K145" i="3"/>
  <c r="W145" i="3" s="1"/>
  <c r="K164" i="3"/>
  <c r="W164" i="3" s="1"/>
  <c r="F202" i="3"/>
  <c r="F200" i="3" s="1"/>
  <c r="D145" i="3"/>
  <c r="J145" i="3" s="1"/>
  <c r="X148" i="3"/>
  <c r="D148" i="3"/>
  <c r="J148" i="3" s="1"/>
  <c r="L77" i="1"/>
  <c r="X77" i="1" s="1"/>
  <c r="L93" i="1"/>
  <c r="L43" i="1"/>
  <c r="L62" i="1"/>
  <c r="L74" i="1"/>
  <c r="X74" i="1" s="1"/>
  <c r="X168" i="3"/>
  <c r="X164" i="3"/>
  <c r="X144" i="3"/>
  <c r="X167" i="3"/>
  <c r="X166" i="3"/>
  <c r="X165" i="3"/>
  <c r="K25" i="3" l="1"/>
  <c r="W25" i="3" s="1"/>
  <c r="X62" i="1"/>
  <c r="K201" i="3"/>
  <c r="W201" i="3" s="1"/>
  <c r="X43" i="1"/>
  <c r="K45" i="3"/>
  <c r="W45" i="3" s="1"/>
  <c r="X93" i="1"/>
  <c r="X145" i="3"/>
  <c r="D60" i="3"/>
  <c r="J60" i="3" s="1"/>
  <c r="D51" i="3"/>
  <c r="J51" i="3" s="1"/>
  <c r="D114" i="3"/>
  <c r="J114" i="3" s="1"/>
  <c r="D59" i="3"/>
  <c r="J59" i="3" s="1"/>
  <c r="D202" i="3"/>
  <c r="J202" i="3" s="1"/>
  <c r="D52" i="3"/>
  <c r="J52" i="3" s="1"/>
  <c r="D186" i="3"/>
  <c r="X62" i="3"/>
  <c r="D62" i="3"/>
  <c r="J62" i="3" s="1"/>
  <c r="X14" i="3"/>
  <c r="D14" i="3"/>
  <c r="J14" i="3" s="1"/>
  <c r="X61" i="3"/>
  <c r="D61" i="3"/>
  <c r="J61" i="3" s="1"/>
  <c r="X45" i="3"/>
  <c r="P131" i="3"/>
  <c r="D185" i="3" l="1"/>
  <c r="J185" i="3" s="1"/>
  <c r="J186" i="3"/>
  <c r="X114" i="3"/>
  <c r="D229" i="3"/>
  <c r="X59" i="3"/>
  <c r="X141" i="3"/>
  <c r="D141" i="3"/>
  <c r="J141" i="3" s="1"/>
  <c r="X52" i="3"/>
  <c r="X51" i="3"/>
  <c r="X60" i="3"/>
  <c r="Q271" i="1"/>
  <c r="Q270" i="1"/>
  <c r="Q247" i="1" s="1"/>
  <c r="P150" i="3"/>
  <c r="P147" i="3"/>
  <c r="P67" i="3"/>
  <c r="P47" i="3"/>
  <c r="P229" i="3"/>
  <c r="P228" i="3" s="1"/>
  <c r="P139" i="3"/>
  <c r="P138" i="3"/>
  <c r="P107" i="3"/>
  <c r="D228" i="3" l="1"/>
  <c r="J228" i="3" s="1"/>
  <c r="J229" i="3"/>
  <c r="P183" i="3"/>
  <c r="Q248" i="1"/>
  <c r="P184" i="3"/>
  <c r="P176" i="3" s="1"/>
  <c r="L18" i="1"/>
  <c r="L29" i="1"/>
  <c r="L95" i="1"/>
  <c r="L118" i="1"/>
  <c r="X118" i="1" s="1"/>
  <c r="L250" i="1"/>
  <c r="N315" i="1"/>
  <c r="L271" i="1"/>
  <c r="L231" i="1"/>
  <c r="X231" i="1" s="1"/>
  <c r="L28" i="1"/>
  <c r="L49" i="1"/>
  <c r="L127" i="1"/>
  <c r="L219" i="1"/>
  <c r="L270" i="1"/>
  <c r="P128" i="3"/>
  <c r="P30" i="3"/>
  <c r="E23" i="3"/>
  <c r="E21" i="3"/>
  <c r="E19" i="3"/>
  <c r="K183" i="3" l="1"/>
  <c r="W183" i="3" s="1"/>
  <c r="X270" i="1"/>
  <c r="K138" i="3"/>
  <c r="W138" i="3" s="1"/>
  <c r="X28" i="1"/>
  <c r="K184" i="3"/>
  <c r="X271" i="1"/>
  <c r="K150" i="3"/>
  <c r="W150" i="3" s="1"/>
  <c r="X250" i="1"/>
  <c r="K47" i="3"/>
  <c r="W47" i="3" s="1"/>
  <c r="X95" i="1"/>
  <c r="K107" i="3"/>
  <c r="K147" i="3"/>
  <c r="W147" i="3" s="1"/>
  <c r="X219" i="1"/>
  <c r="K229" i="3"/>
  <c r="X49" i="1"/>
  <c r="K139" i="3"/>
  <c r="W139" i="3" s="1"/>
  <c r="X29" i="1"/>
  <c r="K67" i="3"/>
  <c r="M231" i="3"/>
  <c r="L248" i="1"/>
  <c r="X248" i="1" s="1"/>
  <c r="D27" i="3"/>
  <c r="J27" i="3" s="1"/>
  <c r="F17" i="3"/>
  <c r="F19" i="3"/>
  <c r="F23" i="3"/>
  <c r="F131" i="3"/>
  <c r="D74" i="3"/>
  <c r="J74" i="3" s="1"/>
  <c r="D139" i="3"/>
  <c r="J139" i="3" s="1"/>
  <c r="D134" i="3"/>
  <c r="D115" i="3"/>
  <c r="J115" i="3" s="1"/>
  <c r="D75" i="3"/>
  <c r="J75" i="3" s="1"/>
  <c r="F25" i="3"/>
  <c r="F29" i="3"/>
  <c r="G283" i="1"/>
  <c r="D95" i="3"/>
  <c r="J95" i="3" s="1"/>
  <c r="D96" i="3"/>
  <c r="J96" i="3" s="1"/>
  <c r="X42" i="3"/>
  <c r="D42" i="3"/>
  <c r="J42" i="3" s="1"/>
  <c r="X113" i="3"/>
  <c r="D113" i="3"/>
  <c r="J113" i="3" s="1"/>
  <c r="X80" i="3"/>
  <c r="D80" i="3"/>
  <c r="J80" i="3" s="1"/>
  <c r="X41" i="3"/>
  <c r="D41" i="3"/>
  <c r="J41" i="3" s="1"/>
  <c r="X137" i="3"/>
  <c r="D137" i="3"/>
  <c r="J137" i="3" s="1"/>
  <c r="X110" i="3"/>
  <c r="D110" i="3"/>
  <c r="J110" i="3" s="1"/>
  <c r="X81" i="3"/>
  <c r="D81" i="3"/>
  <c r="J81" i="3" s="1"/>
  <c r="X25" i="3"/>
  <c r="D25" i="3"/>
  <c r="J25" i="3" s="1"/>
  <c r="L66" i="1"/>
  <c r="L183" i="1"/>
  <c r="X183" i="1" s="1"/>
  <c r="L206" i="1"/>
  <c r="X183" i="3"/>
  <c r="X147" i="3"/>
  <c r="X229" i="3"/>
  <c r="X228" i="3" s="1"/>
  <c r="X139" i="3"/>
  <c r="L203" i="1"/>
  <c r="X134" i="3"/>
  <c r="P186" i="3"/>
  <c r="P185" i="3" s="1"/>
  <c r="Q34" i="1"/>
  <c r="Q13" i="1" s="1"/>
  <c r="W184" i="3" l="1"/>
  <c r="K176" i="3"/>
  <c r="W176" i="3" s="1"/>
  <c r="D130" i="3"/>
  <c r="J130" i="3" s="1"/>
  <c r="J134" i="3"/>
  <c r="K228" i="3"/>
  <c r="W228" i="3" s="1"/>
  <c r="W229" i="3"/>
  <c r="K30" i="3"/>
  <c r="W30" i="3" s="1"/>
  <c r="X66" i="1"/>
  <c r="Y248" i="1"/>
  <c r="X184" i="3"/>
  <c r="X176" i="3" s="1"/>
  <c r="K128" i="3"/>
  <c r="W128" i="3" s="1"/>
  <c r="F15" i="3"/>
  <c r="D26" i="3"/>
  <c r="J26" i="3" s="1"/>
  <c r="P179" i="3"/>
  <c r="P175" i="3" s="1"/>
  <c r="F12" i="3"/>
  <c r="F133" i="3"/>
  <c r="F140" i="3"/>
  <c r="F204" i="3"/>
  <c r="F203" i="3" s="1"/>
  <c r="F198" i="3" s="1"/>
  <c r="D67" i="3"/>
  <c r="J67" i="3" s="1"/>
  <c r="G298" i="1"/>
  <c r="G275" i="1"/>
  <c r="F132" i="3"/>
  <c r="F138" i="3"/>
  <c r="D23" i="3"/>
  <c r="J23" i="3" s="1"/>
  <c r="D138" i="3"/>
  <c r="J138" i="3" s="1"/>
  <c r="D146" i="3"/>
  <c r="J146" i="3" s="1"/>
  <c r="G200" i="1"/>
  <c r="D39" i="3"/>
  <c r="J39" i="3" s="1"/>
  <c r="G282" i="1"/>
  <c r="G192" i="1"/>
  <c r="G81" i="1"/>
  <c r="X74" i="3"/>
  <c r="X95" i="3"/>
  <c r="X43" i="3"/>
  <c r="D43" i="3"/>
  <c r="J43" i="3" s="1"/>
  <c r="X47" i="3"/>
  <c r="X75" i="3"/>
  <c r="X96" i="3"/>
  <c r="X115" i="3"/>
  <c r="X161" i="3"/>
  <c r="X160" i="3" s="1"/>
  <c r="D161" i="3"/>
  <c r="X21" i="3"/>
  <c r="D21" i="3"/>
  <c r="J21" i="3" s="1"/>
  <c r="X70" i="3"/>
  <c r="D70" i="3"/>
  <c r="J70" i="3" s="1"/>
  <c r="X29" i="3"/>
  <c r="D29" i="3"/>
  <c r="J29" i="3" s="1"/>
  <c r="L14" i="1"/>
  <c r="L39" i="1"/>
  <c r="L36" i="1"/>
  <c r="D160" i="3" l="1"/>
  <c r="J160" i="3" s="1"/>
  <c r="J161" i="3"/>
  <c r="X14" i="1"/>
  <c r="K186" i="3"/>
  <c r="X36" i="1"/>
  <c r="K192" i="3"/>
  <c r="W192" i="3" s="1"/>
  <c r="X39" i="1"/>
  <c r="F130" i="3"/>
  <c r="F135" i="3"/>
  <c r="D178" i="3"/>
  <c r="J178" i="3" s="1"/>
  <c r="D140" i="3"/>
  <c r="J140" i="3" s="1"/>
  <c r="D177" i="3"/>
  <c r="J177" i="3" s="1"/>
  <c r="E192" i="1"/>
  <c r="K192" i="1" s="1"/>
  <c r="G50" i="1"/>
  <c r="X138" i="3"/>
  <c r="X67" i="3"/>
  <c r="X204" i="3"/>
  <c r="X203" i="3" s="1"/>
  <c r="D204" i="3"/>
  <c r="X186" i="3"/>
  <c r="X185" i="3" s="1"/>
  <c r="X192" i="3"/>
  <c r="X178" i="3"/>
  <c r="P123" i="3"/>
  <c r="P122" i="3"/>
  <c r="K185" i="3" l="1"/>
  <c r="W185" i="3" s="1"/>
  <c r="W186" i="3"/>
  <c r="D203" i="3"/>
  <c r="J203" i="3" s="1"/>
  <c r="J204" i="3"/>
  <c r="X177" i="3"/>
  <c r="L178" i="1"/>
  <c r="L177" i="1"/>
  <c r="P163" i="3"/>
  <c r="P159" i="3" s="1"/>
  <c r="E245" i="1"/>
  <c r="K245" i="1" s="1"/>
  <c r="P207" i="3"/>
  <c r="P205" i="3" s="1"/>
  <c r="P198" i="3" s="1"/>
  <c r="P23" i="3"/>
  <c r="P15" i="3" s="1"/>
  <c r="P140" i="3"/>
  <c r="P135" i="3" s="1"/>
  <c r="E20" i="3"/>
  <c r="E16" i="3" s="1"/>
  <c r="E231" i="3" s="1"/>
  <c r="P143" i="3"/>
  <c r="D176" i="1"/>
  <c r="P119" i="3"/>
  <c r="P58" i="3" s="1"/>
  <c r="P118" i="3"/>
  <c r="P20" i="3"/>
  <c r="P16" i="3" s="1"/>
  <c r="P226" i="3"/>
  <c r="P214" i="3" s="1"/>
  <c r="M202" i="3"/>
  <c r="M200" i="3" s="1"/>
  <c r="L236" i="1"/>
  <c r="P194" i="3"/>
  <c r="P190" i="3"/>
  <c r="P146" i="3"/>
  <c r="P156" i="3"/>
  <c r="P153" i="3"/>
  <c r="M140" i="3"/>
  <c r="M135" i="3" s="1"/>
  <c r="M131" i="3"/>
  <c r="M130" i="3" s="1"/>
  <c r="P133" i="3"/>
  <c r="P130" i="3" s="1"/>
  <c r="P129" i="3"/>
  <c r="M37" i="3"/>
  <c r="M35" i="3" s="1"/>
  <c r="P39" i="3"/>
  <c r="P35" i="3" s="1"/>
  <c r="M17" i="3"/>
  <c r="M19" i="3"/>
  <c r="M12" i="3"/>
  <c r="N12" i="3"/>
  <c r="N230" i="3" s="1"/>
  <c r="O202" i="3"/>
  <c r="O200" i="3" s="1"/>
  <c r="O198" i="3" s="1"/>
  <c r="O12" i="3"/>
  <c r="E138" i="3"/>
  <c r="E140" i="3"/>
  <c r="E104" i="3"/>
  <c r="E107" i="3"/>
  <c r="E117" i="3"/>
  <c r="E128" i="3"/>
  <c r="E29" i="3"/>
  <c r="E30" i="3"/>
  <c r="F298" i="1"/>
  <c r="D174" i="1"/>
  <c r="B231" i="1"/>
  <c r="C224" i="1"/>
  <c r="B224" i="1"/>
  <c r="C279" i="1"/>
  <c r="D279" i="1"/>
  <c r="B279" i="1"/>
  <c r="C48" i="1"/>
  <c r="D48" i="1"/>
  <c r="B48" i="1"/>
  <c r="C226" i="1"/>
  <c r="D226" i="1"/>
  <c r="B226" i="1"/>
  <c r="C251" i="1"/>
  <c r="D251" i="1"/>
  <c r="B251" i="1"/>
  <c r="C230" i="1"/>
  <c r="D230" i="1"/>
  <c r="B230" i="1"/>
  <c r="C188" i="1"/>
  <c r="D188" i="1"/>
  <c r="B188" i="1"/>
  <c r="C264" i="1"/>
  <c r="D264" i="1"/>
  <c r="B264" i="1"/>
  <c r="C273" i="1"/>
  <c r="B273" i="1"/>
  <c r="C262" i="1"/>
  <c r="D262" i="1"/>
  <c r="B262" i="1"/>
  <c r="C231" i="1"/>
  <c r="D231" i="1"/>
  <c r="C219" i="1"/>
  <c r="D219" i="1"/>
  <c r="B219" i="1"/>
  <c r="C105" i="1"/>
  <c r="D105" i="1"/>
  <c r="B105" i="1"/>
  <c r="C75" i="1"/>
  <c r="D75" i="1"/>
  <c r="B75" i="1"/>
  <c r="C294" i="1"/>
  <c r="D294" i="1"/>
  <c r="B294" i="1"/>
  <c r="C130" i="1"/>
  <c r="D130" i="1"/>
  <c r="B130" i="1"/>
  <c r="D80" i="1"/>
  <c r="C80" i="1"/>
  <c r="B80" i="1"/>
  <c r="C49" i="1"/>
  <c r="D49" i="1"/>
  <c r="B49" i="1"/>
  <c r="C23" i="1"/>
  <c r="D23" i="1"/>
  <c r="B23" i="1"/>
  <c r="C260" i="1"/>
  <c r="D260" i="1"/>
  <c r="B260" i="1"/>
  <c r="C95" i="1"/>
  <c r="D95" i="1"/>
  <c r="B95" i="1"/>
  <c r="C73" i="1"/>
  <c r="D73" i="1"/>
  <c r="B73" i="1"/>
  <c r="D182" i="1"/>
  <c r="C181" i="1"/>
  <c r="B181" i="1"/>
  <c r="B149" i="1"/>
  <c r="C149" i="1"/>
  <c r="D149" i="1"/>
  <c r="D150" i="1"/>
  <c r="B151" i="1"/>
  <c r="C151" i="1"/>
  <c r="D151" i="1"/>
  <c r="D152" i="1"/>
  <c r="B153" i="1"/>
  <c r="C153" i="1"/>
  <c r="D153" i="1"/>
  <c r="D154" i="1"/>
  <c r="B155" i="1"/>
  <c r="C155" i="1"/>
  <c r="D155" i="1"/>
  <c r="D156" i="1"/>
  <c r="B157" i="1"/>
  <c r="C157" i="1"/>
  <c r="D157" i="1"/>
  <c r="D158" i="1"/>
  <c r="B132" i="1"/>
  <c r="C132" i="1"/>
  <c r="D132" i="1"/>
  <c r="D133" i="1"/>
  <c r="B134" i="1"/>
  <c r="C134" i="1"/>
  <c r="D134" i="1"/>
  <c r="D135" i="1"/>
  <c r="B136" i="1"/>
  <c r="C136" i="1"/>
  <c r="D136" i="1"/>
  <c r="D137" i="1"/>
  <c r="B138" i="1"/>
  <c r="C138" i="1"/>
  <c r="D138" i="1"/>
  <c r="D139" i="1"/>
  <c r="B140" i="1"/>
  <c r="C140" i="1"/>
  <c r="D140" i="1"/>
  <c r="D141" i="1"/>
  <c r="B142" i="1"/>
  <c r="C142" i="1"/>
  <c r="D142" i="1"/>
  <c r="D143" i="1"/>
  <c r="B144" i="1"/>
  <c r="C144" i="1"/>
  <c r="D144" i="1"/>
  <c r="D145" i="1"/>
  <c r="B119" i="1"/>
  <c r="C119" i="1"/>
  <c r="D119" i="1"/>
  <c r="B121" i="1"/>
  <c r="C121" i="1"/>
  <c r="D121" i="1"/>
  <c r="D122" i="1"/>
  <c r="B123" i="1"/>
  <c r="C123" i="1"/>
  <c r="D123" i="1"/>
  <c r="D124" i="1"/>
  <c r="B125" i="1"/>
  <c r="C125" i="1"/>
  <c r="D125" i="1"/>
  <c r="D126" i="1"/>
  <c r="B97" i="1"/>
  <c r="C97" i="1"/>
  <c r="D97" i="1"/>
  <c r="D98" i="1"/>
  <c r="B99" i="1"/>
  <c r="C99" i="1"/>
  <c r="D99" i="1"/>
  <c r="D100" i="1"/>
  <c r="B166" i="1"/>
  <c r="C166" i="1"/>
  <c r="D166" i="1"/>
  <c r="B167" i="1"/>
  <c r="C167" i="1"/>
  <c r="D167" i="1"/>
  <c r="C163" i="1"/>
  <c r="D163" i="1"/>
  <c r="B163" i="1"/>
  <c r="C313" i="1"/>
  <c r="D313" i="1"/>
  <c r="B313" i="1"/>
  <c r="C281" i="1"/>
  <c r="B281" i="1"/>
  <c r="C278" i="1"/>
  <c r="D278" i="1"/>
  <c r="B278" i="1"/>
  <c r="D103" i="1"/>
  <c r="C103" i="1"/>
  <c r="B103" i="1"/>
  <c r="C101" i="1"/>
  <c r="D101" i="1"/>
  <c r="B101" i="1"/>
  <c r="C41" i="1"/>
  <c r="B41" i="1"/>
  <c r="C35" i="1"/>
  <c r="D35" i="1"/>
  <c r="B35" i="1"/>
  <c r="C191" i="1"/>
  <c r="D191" i="1"/>
  <c r="B191" i="1"/>
  <c r="C187" i="1"/>
  <c r="D187" i="1"/>
  <c r="B187" i="1"/>
  <c r="C183" i="1"/>
  <c r="D183" i="1"/>
  <c r="C184" i="1"/>
  <c r="D184" i="1"/>
  <c r="B184" i="1"/>
  <c r="B183" i="1"/>
  <c r="C172" i="1"/>
  <c r="D172" i="1"/>
  <c r="B172" i="1"/>
  <c r="C171" i="1"/>
  <c r="D171" i="1"/>
  <c r="B171" i="1"/>
  <c r="C170" i="1"/>
  <c r="D170" i="1"/>
  <c r="B170" i="1"/>
  <c r="C169" i="1"/>
  <c r="D169" i="1"/>
  <c r="B169" i="1"/>
  <c r="C168" i="1"/>
  <c r="D168" i="1"/>
  <c r="B168" i="1"/>
  <c r="C165" i="1"/>
  <c r="D165" i="1"/>
  <c r="B165" i="1"/>
  <c r="C164" i="1"/>
  <c r="D164" i="1"/>
  <c r="B164" i="1"/>
  <c r="C148" i="1"/>
  <c r="D148" i="1"/>
  <c r="B148" i="1"/>
  <c r="C131" i="1"/>
  <c r="D131" i="1"/>
  <c r="B131" i="1"/>
  <c r="C129" i="1"/>
  <c r="D129" i="1"/>
  <c r="B129" i="1"/>
  <c r="C128" i="1"/>
  <c r="D128" i="1"/>
  <c r="B128" i="1"/>
  <c r="C127" i="1"/>
  <c r="D127" i="1"/>
  <c r="B127" i="1"/>
  <c r="C107" i="1"/>
  <c r="D107" i="1"/>
  <c r="B107" i="1"/>
  <c r="C93" i="1"/>
  <c r="D93" i="1"/>
  <c r="B93" i="1"/>
  <c r="C91" i="1"/>
  <c r="D91" i="1"/>
  <c r="B91" i="1"/>
  <c r="C89" i="1"/>
  <c r="D89" i="1"/>
  <c r="B89" i="1"/>
  <c r="C87" i="1"/>
  <c r="D87" i="1"/>
  <c r="B87" i="1"/>
  <c r="C85" i="1"/>
  <c r="D85" i="1"/>
  <c r="B85" i="1"/>
  <c r="C78" i="1"/>
  <c r="D78" i="1"/>
  <c r="B78" i="1"/>
  <c r="C77" i="1"/>
  <c r="D77" i="1"/>
  <c r="B77" i="1"/>
  <c r="C74" i="1"/>
  <c r="D74" i="1"/>
  <c r="B74" i="1"/>
  <c r="D72" i="1"/>
  <c r="C72" i="1"/>
  <c r="B72" i="1"/>
  <c r="C66" i="1"/>
  <c r="C68" i="1"/>
  <c r="D68" i="1"/>
  <c r="B68" i="1"/>
  <c r="B66" i="1"/>
  <c r="C65" i="1"/>
  <c r="D65" i="1"/>
  <c r="B65" i="1"/>
  <c r="C63" i="1"/>
  <c r="D63" i="1"/>
  <c r="B63" i="1"/>
  <c r="C62" i="1"/>
  <c r="D62" i="1"/>
  <c r="B62" i="1"/>
  <c r="C60" i="1"/>
  <c r="D60" i="1"/>
  <c r="B60" i="1"/>
  <c r="C58" i="1"/>
  <c r="D58" i="1"/>
  <c r="B58" i="1"/>
  <c r="C56" i="1"/>
  <c r="D56" i="1"/>
  <c r="B56" i="1"/>
  <c r="C54" i="1"/>
  <c r="D54" i="1"/>
  <c r="B54" i="1"/>
  <c r="C47" i="1"/>
  <c r="D47" i="1"/>
  <c r="B47" i="1"/>
  <c r="C46" i="1"/>
  <c r="D46" i="1"/>
  <c r="B46" i="1"/>
  <c r="C45" i="1"/>
  <c r="D45" i="1"/>
  <c r="B45" i="1"/>
  <c r="D44" i="1"/>
  <c r="B44" i="1"/>
  <c r="C43" i="1"/>
  <c r="D43" i="1"/>
  <c r="B43" i="1"/>
  <c r="C42" i="1"/>
  <c r="D42" i="1"/>
  <c r="B42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4" i="1"/>
  <c r="D34" i="1"/>
  <c r="B34" i="1"/>
  <c r="C33" i="1"/>
  <c r="D33" i="1"/>
  <c r="B33" i="1"/>
  <c r="C32" i="1"/>
  <c r="D32" i="1"/>
  <c r="B32" i="1"/>
  <c r="C21" i="1"/>
  <c r="D21" i="1"/>
  <c r="C22" i="1"/>
  <c r="D22" i="1"/>
  <c r="B22" i="1"/>
  <c r="B21" i="1"/>
  <c r="C24" i="1"/>
  <c r="D24" i="1"/>
  <c r="C25" i="1"/>
  <c r="D25" i="1"/>
  <c r="B25" i="1"/>
  <c r="B24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6" i="1"/>
  <c r="D26" i="1"/>
  <c r="B26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D197" i="1"/>
  <c r="C197" i="1"/>
  <c r="B197" i="1"/>
  <c r="C204" i="1"/>
  <c r="D204" i="1"/>
  <c r="B204" i="1"/>
  <c r="C205" i="1"/>
  <c r="D205" i="1"/>
  <c r="B205" i="1"/>
  <c r="C206" i="1"/>
  <c r="D206" i="1"/>
  <c r="C207" i="1"/>
  <c r="D207" i="1"/>
  <c r="B207" i="1"/>
  <c r="B206" i="1"/>
  <c r="C210" i="1"/>
  <c r="D210" i="1"/>
  <c r="B210" i="1"/>
  <c r="C215" i="1"/>
  <c r="D215" i="1"/>
  <c r="B215" i="1"/>
  <c r="C220" i="1"/>
  <c r="D220" i="1"/>
  <c r="B220" i="1"/>
  <c r="C218" i="1"/>
  <c r="D218" i="1"/>
  <c r="B218" i="1"/>
  <c r="C217" i="1"/>
  <c r="D217" i="1"/>
  <c r="B217" i="1"/>
  <c r="C216" i="1"/>
  <c r="D216" i="1"/>
  <c r="B216" i="1"/>
  <c r="C221" i="1"/>
  <c r="D221" i="1"/>
  <c r="B221" i="1"/>
  <c r="C222" i="1"/>
  <c r="D222" i="1"/>
  <c r="B222" i="1"/>
  <c r="C223" i="1"/>
  <c r="D223" i="1"/>
  <c r="B223" i="1"/>
  <c r="C227" i="1"/>
  <c r="D227" i="1"/>
  <c r="B227" i="1"/>
  <c r="C228" i="1"/>
  <c r="D228" i="1"/>
  <c r="B228" i="1"/>
  <c r="C229" i="1"/>
  <c r="D229" i="1"/>
  <c r="B229" i="1"/>
  <c r="C236" i="1"/>
  <c r="D236" i="1"/>
  <c r="B236" i="1"/>
  <c r="C239" i="1"/>
  <c r="D239" i="1"/>
  <c r="B239" i="1"/>
  <c r="C240" i="1"/>
  <c r="D240" i="1"/>
  <c r="B240" i="1"/>
  <c r="C241" i="1"/>
  <c r="D241" i="1"/>
  <c r="B241" i="1"/>
  <c r="C250" i="1"/>
  <c r="D250" i="1"/>
  <c r="B250" i="1"/>
  <c r="C253" i="1"/>
  <c r="D253" i="1"/>
  <c r="B253" i="1"/>
  <c r="C255" i="1"/>
  <c r="D255" i="1"/>
  <c r="B255" i="1"/>
  <c r="C258" i="1"/>
  <c r="D258" i="1"/>
  <c r="B258" i="1"/>
  <c r="C257" i="1"/>
  <c r="D257" i="1"/>
  <c r="B257" i="1"/>
  <c r="C256" i="1"/>
  <c r="D256" i="1"/>
  <c r="B256" i="1"/>
  <c r="C259" i="1"/>
  <c r="D259" i="1"/>
  <c r="B259" i="1"/>
  <c r="C272" i="1"/>
  <c r="D272" i="1"/>
  <c r="B272" i="1"/>
  <c r="C245" i="1"/>
  <c r="D245" i="1"/>
  <c r="B245" i="1"/>
  <c r="C288" i="1"/>
  <c r="D288" i="1"/>
  <c r="B288" i="1"/>
  <c r="C290" i="1"/>
  <c r="D290" i="1"/>
  <c r="B290" i="1"/>
  <c r="C291" i="1"/>
  <c r="D291" i="1"/>
  <c r="B291" i="1"/>
  <c r="C292" i="1"/>
  <c r="D292" i="1"/>
  <c r="B292" i="1"/>
  <c r="C293" i="1"/>
  <c r="D293" i="1"/>
  <c r="B293" i="1"/>
  <c r="C303" i="1"/>
  <c r="D303" i="1"/>
  <c r="B303" i="1"/>
  <c r="C305" i="1"/>
  <c r="D305" i="1"/>
  <c r="B305" i="1"/>
  <c r="C308" i="1"/>
  <c r="D308" i="1"/>
  <c r="B308" i="1"/>
  <c r="C309" i="1"/>
  <c r="D309" i="1"/>
  <c r="B309" i="1"/>
  <c r="C310" i="1"/>
  <c r="D310" i="1"/>
  <c r="B310" i="1"/>
  <c r="C301" i="1"/>
  <c r="B301" i="1"/>
  <c r="C287" i="1"/>
  <c r="B287" i="1"/>
  <c r="C284" i="1"/>
  <c r="B284" i="1"/>
  <c r="C277" i="1"/>
  <c r="B277" i="1"/>
  <c r="C249" i="1"/>
  <c r="B249" i="1"/>
  <c r="C244" i="1"/>
  <c r="B244" i="1"/>
  <c r="C214" i="1"/>
  <c r="B214" i="1"/>
  <c r="C203" i="1"/>
  <c r="B203" i="1"/>
  <c r="C195" i="1"/>
  <c r="B195" i="1"/>
  <c r="C118" i="1"/>
  <c r="B118" i="1"/>
  <c r="C84" i="1"/>
  <c r="B84" i="1"/>
  <c r="C53" i="1"/>
  <c r="B53" i="1"/>
  <c r="C14" i="1"/>
  <c r="B14" i="1"/>
  <c r="D301" i="1"/>
  <c r="D287" i="1"/>
  <c r="D284" i="1"/>
  <c r="D277" i="1"/>
  <c r="D249" i="1"/>
  <c r="D244" i="1"/>
  <c r="D214" i="1"/>
  <c r="D203" i="1"/>
  <c r="D195" i="1"/>
  <c r="D118" i="1"/>
  <c r="D84" i="1"/>
  <c r="D53" i="1"/>
  <c r="D14" i="1"/>
  <c r="K123" i="3" l="1"/>
  <c r="W123" i="3" s="1"/>
  <c r="X178" i="1"/>
  <c r="K122" i="3"/>
  <c r="W122" i="3" s="1"/>
  <c r="X177" i="1"/>
  <c r="P57" i="3"/>
  <c r="E57" i="3"/>
  <c r="O230" i="3"/>
  <c r="P231" i="3"/>
  <c r="M15" i="3"/>
  <c r="E15" i="3"/>
  <c r="P142" i="3"/>
  <c r="E135" i="3"/>
  <c r="F142" i="3"/>
  <c r="F107" i="3"/>
  <c r="F57" i="3" s="1"/>
  <c r="Y245" i="1"/>
  <c r="D30" i="3"/>
  <c r="P12" i="3"/>
  <c r="L46" i="1"/>
  <c r="X46" i="1" s="1"/>
  <c r="M207" i="3"/>
  <c r="M205" i="3" s="1"/>
  <c r="M198" i="3" s="1"/>
  <c r="E12" i="3"/>
  <c r="M194" i="3"/>
  <c r="M187" i="3" s="1"/>
  <c r="P189" i="3"/>
  <c r="P187" i="3" s="1"/>
  <c r="L260" i="1"/>
  <c r="X260" i="1" s="1"/>
  <c r="P169" i="3"/>
  <c r="P162" i="3" s="1"/>
  <c r="F50" i="1"/>
  <c r="E201" i="1"/>
  <c r="K201" i="1" s="1"/>
  <c r="D195" i="3"/>
  <c r="J195" i="3" s="1"/>
  <c r="D227" i="3"/>
  <c r="J227" i="3" s="1"/>
  <c r="E247" i="1"/>
  <c r="K247" i="1" s="1"/>
  <c r="P246" i="1"/>
  <c r="O246" i="1"/>
  <c r="O314" i="1" s="1"/>
  <c r="Q285" i="1"/>
  <c r="L287" i="1"/>
  <c r="Q243" i="1"/>
  <c r="Q242" i="1" s="1"/>
  <c r="L244" i="1"/>
  <c r="Q192" i="1"/>
  <c r="L195" i="1"/>
  <c r="L63" i="1"/>
  <c r="N200" i="1"/>
  <c r="L204" i="1"/>
  <c r="N50" i="1"/>
  <c r="L54" i="1"/>
  <c r="X54" i="1" s="1"/>
  <c r="N81" i="1"/>
  <c r="L85" i="1"/>
  <c r="L24" i="1"/>
  <c r="X24" i="1" s="1"/>
  <c r="L30" i="1"/>
  <c r="L253" i="1"/>
  <c r="L291" i="1"/>
  <c r="L238" i="1"/>
  <c r="X238" i="1" s="1"/>
  <c r="L41" i="1"/>
  <c r="X41" i="1" s="1"/>
  <c r="L107" i="1"/>
  <c r="X107" i="1" s="1"/>
  <c r="L44" i="1"/>
  <c r="E117" i="1"/>
  <c r="K117" i="1" s="1"/>
  <c r="L64" i="1"/>
  <c r="E276" i="1"/>
  <c r="K276" i="1" s="1"/>
  <c r="L199" i="1"/>
  <c r="F315" i="1"/>
  <c r="L78" i="1"/>
  <c r="X78" i="1" s="1"/>
  <c r="X122" i="3"/>
  <c r="F115" i="1"/>
  <c r="E51" i="1"/>
  <c r="K51" i="1" s="1"/>
  <c r="P12" i="1"/>
  <c r="Q298" i="1"/>
  <c r="L301" i="1"/>
  <c r="X301" i="1" s="1"/>
  <c r="Q275" i="1"/>
  <c r="L277" i="1"/>
  <c r="N246" i="1"/>
  <c r="L249" i="1"/>
  <c r="L214" i="1"/>
  <c r="X214" i="1" s="1"/>
  <c r="L84" i="1"/>
  <c r="L56" i="1"/>
  <c r="L87" i="1"/>
  <c r="L184" i="1"/>
  <c r="L205" i="1"/>
  <c r="L251" i="1"/>
  <c r="L218" i="1"/>
  <c r="L281" i="1"/>
  <c r="X281" i="1" s="1"/>
  <c r="L313" i="1"/>
  <c r="L57" i="1"/>
  <c r="X57" i="1" s="1"/>
  <c r="L173" i="1"/>
  <c r="X173" i="1" s="1"/>
  <c r="L174" i="1"/>
  <c r="L60" i="1"/>
  <c r="L229" i="1"/>
  <c r="X229" i="1" s="1"/>
  <c r="Q50" i="1"/>
  <c r="L75" i="1"/>
  <c r="X75" i="1" s="1"/>
  <c r="L76" i="1"/>
  <c r="X76" i="1" s="1"/>
  <c r="Q81" i="1"/>
  <c r="L105" i="1"/>
  <c r="X105" i="1" s="1"/>
  <c r="L106" i="1"/>
  <c r="Q200" i="1"/>
  <c r="L208" i="1"/>
  <c r="X208" i="1" s="1"/>
  <c r="L232" i="1"/>
  <c r="L262" i="1"/>
  <c r="X262" i="1" s="1"/>
  <c r="L263" i="1"/>
  <c r="X263" i="1" s="1"/>
  <c r="X123" i="3"/>
  <c r="D15" i="3" l="1"/>
  <c r="J15" i="3" s="1"/>
  <c r="J30" i="3"/>
  <c r="L83" i="1"/>
  <c r="X83" i="1" s="1"/>
  <c r="X106" i="1"/>
  <c r="L117" i="1"/>
  <c r="X117" i="1" s="1"/>
  <c r="X174" i="1"/>
  <c r="K153" i="3"/>
  <c r="W153" i="3" s="1"/>
  <c r="X251" i="1"/>
  <c r="K129" i="3"/>
  <c r="W129" i="3" s="1"/>
  <c r="X184" i="1"/>
  <c r="K19" i="3"/>
  <c r="W19" i="3" s="1"/>
  <c r="X56" i="1"/>
  <c r="K28" i="3"/>
  <c r="W28" i="3" s="1"/>
  <c r="X64" i="1"/>
  <c r="K202" i="3"/>
  <c r="X44" i="1"/>
  <c r="K190" i="3"/>
  <c r="W190" i="3" s="1"/>
  <c r="X291" i="1"/>
  <c r="K140" i="3"/>
  <c r="X30" i="1"/>
  <c r="K37" i="3"/>
  <c r="W37" i="3" s="1"/>
  <c r="X85" i="1"/>
  <c r="K26" i="3"/>
  <c r="W26" i="3" s="1"/>
  <c r="X204" i="1"/>
  <c r="K27" i="3"/>
  <c r="W27" i="3" s="1"/>
  <c r="X63" i="1"/>
  <c r="L213" i="1"/>
  <c r="X213" i="1" s="1"/>
  <c r="X232" i="1"/>
  <c r="K23" i="3"/>
  <c r="W23" i="3" s="1"/>
  <c r="X60" i="1"/>
  <c r="K227" i="3"/>
  <c r="W227" i="3" s="1"/>
  <c r="X313" i="1"/>
  <c r="K146" i="3"/>
  <c r="W146" i="3" s="1"/>
  <c r="X218" i="1"/>
  <c r="K131" i="3"/>
  <c r="W131" i="3" s="1"/>
  <c r="X205" i="1"/>
  <c r="K39" i="3"/>
  <c r="W39" i="3" s="1"/>
  <c r="X87" i="1"/>
  <c r="L247" i="1"/>
  <c r="X247" i="1" s="1"/>
  <c r="X249" i="1"/>
  <c r="K156" i="3"/>
  <c r="W156" i="3" s="1"/>
  <c r="X253" i="1"/>
  <c r="L193" i="1"/>
  <c r="X193" i="1" s="1"/>
  <c r="X195" i="1"/>
  <c r="L243" i="1"/>
  <c r="X244" i="1"/>
  <c r="K155" i="3"/>
  <c r="W155" i="3" s="1"/>
  <c r="X199" i="1"/>
  <c r="L116" i="1"/>
  <c r="X116" i="1" s="1"/>
  <c r="E212" i="1"/>
  <c r="K212" i="1" s="1"/>
  <c r="E116" i="1"/>
  <c r="K116" i="1" s="1"/>
  <c r="L212" i="1"/>
  <c r="X212" i="1" s="1"/>
  <c r="P158" i="3"/>
  <c r="P230" i="3" s="1"/>
  <c r="E230" i="3"/>
  <c r="F230" i="3"/>
  <c r="L51" i="1"/>
  <c r="L299" i="1"/>
  <c r="E299" i="1"/>
  <c r="K299" i="1" s="1"/>
  <c r="K13" i="3"/>
  <c r="P314" i="1"/>
  <c r="D13" i="3"/>
  <c r="K52" i="1"/>
  <c r="X52" i="1"/>
  <c r="D157" i="3"/>
  <c r="J157" i="3" s="1"/>
  <c r="K173" i="3"/>
  <c r="W173" i="3" s="1"/>
  <c r="K172" i="3"/>
  <c r="W172" i="3" s="1"/>
  <c r="K35" i="3"/>
  <c r="W35" i="3" s="1"/>
  <c r="D20" i="3"/>
  <c r="J20" i="3" s="1"/>
  <c r="E13" i="1"/>
  <c r="L82" i="1"/>
  <c r="E83" i="1"/>
  <c r="K83" i="1" s="1"/>
  <c r="E82" i="1"/>
  <c r="K82" i="1" s="1"/>
  <c r="K189" i="3"/>
  <c r="W189" i="3" s="1"/>
  <c r="D28" i="3"/>
  <c r="J28" i="3" s="1"/>
  <c r="L286" i="1"/>
  <c r="L276" i="1"/>
  <c r="X276" i="1" s="1"/>
  <c r="L201" i="1"/>
  <c r="L194" i="1"/>
  <c r="X194" i="1" s="1"/>
  <c r="K119" i="3"/>
  <c r="K118" i="3"/>
  <c r="K20" i="3"/>
  <c r="K17" i="3"/>
  <c r="K133" i="3"/>
  <c r="N211" i="1"/>
  <c r="Q211" i="1"/>
  <c r="K226" i="3"/>
  <c r="N275" i="1"/>
  <c r="D150" i="3"/>
  <c r="J150" i="3" s="1"/>
  <c r="D127" i="3"/>
  <c r="D56" i="3"/>
  <c r="J56" i="3" s="1"/>
  <c r="D226" i="3"/>
  <c r="D212" i="3"/>
  <c r="J212" i="3" s="1"/>
  <c r="D188" i="3"/>
  <c r="J188" i="3" s="1"/>
  <c r="D88" i="3"/>
  <c r="J88" i="3" s="1"/>
  <c r="D53" i="3"/>
  <c r="J53" i="3" s="1"/>
  <c r="G211" i="1"/>
  <c r="D136" i="3"/>
  <c r="D69" i="3"/>
  <c r="J69" i="3" s="1"/>
  <c r="D107" i="3"/>
  <c r="J107" i="3" s="1"/>
  <c r="D40" i="3"/>
  <c r="J40" i="3" s="1"/>
  <c r="D156" i="3"/>
  <c r="J156" i="3" s="1"/>
  <c r="D181" i="3"/>
  <c r="D108" i="3"/>
  <c r="J108" i="3" s="1"/>
  <c r="X24" i="3"/>
  <c r="D24" i="3"/>
  <c r="J24" i="3" s="1"/>
  <c r="X201" i="3"/>
  <c r="D201" i="3"/>
  <c r="D189" i="3"/>
  <c r="J189" i="3" s="1"/>
  <c r="X109" i="3"/>
  <c r="D109" i="3"/>
  <c r="J109" i="3" s="1"/>
  <c r="X126" i="3"/>
  <c r="D126" i="3"/>
  <c r="J126" i="3" s="1"/>
  <c r="X44" i="3"/>
  <c r="D44" i="3"/>
  <c r="J44" i="3" s="1"/>
  <c r="X71" i="3"/>
  <c r="D71" i="3"/>
  <c r="J71" i="3" s="1"/>
  <c r="X117" i="3"/>
  <c r="D117" i="3"/>
  <c r="J117" i="3" s="1"/>
  <c r="K207" i="3"/>
  <c r="X55" i="3"/>
  <c r="D55" i="3"/>
  <c r="J55" i="3" s="1"/>
  <c r="X193" i="3"/>
  <c r="D193" i="3"/>
  <c r="J193" i="3" s="1"/>
  <c r="D129" i="3"/>
  <c r="J129" i="3" s="1"/>
  <c r="F12" i="1"/>
  <c r="F314" i="1" s="1"/>
  <c r="X30" i="3"/>
  <c r="K194" i="3"/>
  <c r="W194" i="3" s="1"/>
  <c r="D128" i="3"/>
  <c r="J128" i="3" s="1"/>
  <c r="K169" i="3"/>
  <c r="W169" i="3" s="1"/>
  <c r="X28" i="3"/>
  <c r="Q115" i="1"/>
  <c r="Q246" i="1"/>
  <c r="Q315" i="1"/>
  <c r="X131" i="3"/>
  <c r="X39" i="3"/>
  <c r="X190" i="3"/>
  <c r="X37" i="3"/>
  <c r="X26" i="3"/>
  <c r="X27" i="3"/>
  <c r="L192" i="1"/>
  <c r="X192" i="1" s="1"/>
  <c r="Y193" i="1"/>
  <c r="Y213" i="1"/>
  <c r="X172" i="3"/>
  <c r="X23" i="3"/>
  <c r="X146" i="3"/>
  <c r="X153" i="3"/>
  <c r="X19" i="3"/>
  <c r="E243" i="1"/>
  <c r="K243" i="1" s="1"/>
  <c r="Y243" i="1"/>
  <c r="Y242" i="1" s="1"/>
  <c r="Y199" i="1"/>
  <c r="X127" i="3"/>
  <c r="X202" i="3"/>
  <c r="X140" i="3"/>
  <c r="Q12" i="1"/>
  <c r="X17" i="3"/>
  <c r="X156" i="3"/>
  <c r="X227" i="3"/>
  <c r="X181" i="3"/>
  <c r="X188" i="3"/>
  <c r="X195" i="3"/>
  <c r="X53" i="3"/>
  <c r="K142" i="3" l="1"/>
  <c r="W142" i="3" s="1"/>
  <c r="K205" i="3"/>
  <c r="W207" i="3"/>
  <c r="D175" i="3"/>
  <c r="J175" i="3" s="1"/>
  <c r="J181" i="3"/>
  <c r="K214" i="3"/>
  <c r="W214" i="3" s="1"/>
  <c r="W226" i="3"/>
  <c r="K130" i="3"/>
  <c r="W130" i="3" s="1"/>
  <c r="W133" i="3"/>
  <c r="K16" i="3"/>
  <c r="W16" i="3" s="1"/>
  <c r="W20" i="3"/>
  <c r="K58" i="3"/>
  <c r="W58" i="3" s="1"/>
  <c r="W119" i="3"/>
  <c r="K143" i="3"/>
  <c r="W143" i="3" s="1"/>
  <c r="D200" i="3"/>
  <c r="J200" i="3" s="1"/>
  <c r="J201" i="3"/>
  <c r="D135" i="3"/>
  <c r="J135" i="3" s="1"/>
  <c r="J136" i="3"/>
  <c r="D214" i="3"/>
  <c r="J214" i="3" s="1"/>
  <c r="J226" i="3"/>
  <c r="D58" i="3"/>
  <c r="J58" i="3" s="1"/>
  <c r="J127" i="3"/>
  <c r="K15" i="3"/>
  <c r="W15" i="3" s="1"/>
  <c r="W17" i="3"/>
  <c r="K57" i="3"/>
  <c r="W57" i="3" s="1"/>
  <c r="W118" i="3"/>
  <c r="D12" i="3"/>
  <c r="J12" i="3" s="1"/>
  <c r="J13" i="3"/>
  <c r="K12" i="3"/>
  <c r="W12" i="3" s="1"/>
  <c r="W13" i="3"/>
  <c r="K135" i="3"/>
  <c r="W135" i="3" s="1"/>
  <c r="W140" i="3"/>
  <c r="K200" i="3"/>
  <c r="W200" i="3" s="1"/>
  <c r="W202" i="3"/>
  <c r="L200" i="1"/>
  <c r="X200" i="1" s="1"/>
  <c r="X201" i="1"/>
  <c r="E12" i="1"/>
  <c r="K12" i="1" s="1"/>
  <c r="K13" i="1"/>
  <c r="L50" i="1"/>
  <c r="X50" i="1" s="1"/>
  <c r="X51" i="1"/>
  <c r="L81" i="1"/>
  <c r="X81" i="1" s="1"/>
  <c r="X82" i="1"/>
  <c r="L298" i="1"/>
  <c r="X298" i="1" s="1"/>
  <c r="X299" i="1"/>
  <c r="L242" i="1"/>
  <c r="X242" i="1" s="1"/>
  <c r="X243" i="1"/>
  <c r="L285" i="1"/>
  <c r="X285" i="1" s="1"/>
  <c r="X286" i="1"/>
  <c r="X173" i="3"/>
  <c r="X163" i="3" s="1"/>
  <c r="X159" i="3" s="1"/>
  <c r="Y116" i="1"/>
  <c r="Y117" i="1"/>
  <c r="Y194" i="1"/>
  <c r="X155" i="3"/>
  <c r="X143" i="3" s="1"/>
  <c r="D57" i="3"/>
  <c r="J57" i="3" s="1"/>
  <c r="Y212" i="1"/>
  <c r="Y51" i="1"/>
  <c r="Y50" i="1" s="1"/>
  <c r="D35" i="3"/>
  <c r="J35" i="3" s="1"/>
  <c r="Y247" i="1"/>
  <c r="Y246" i="1" s="1"/>
  <c r="Y299" i="1"/>
  <c r="Y298" i="1" s="1"/>
  <c r="Q314" i="1"/>
  <c r="X13" i="3"/>
  <c r="X12" i="3" s="1"/>
  <c r="D16" i="3"/>
  <c r="J16" i="3" s="1"/>
  <c r="X35" i="3"/>
  <c r="X157" i="3"/>
  <c r="E315" i="1"/>
  <c r="K315" i="1" s="1"/>
  <c r="Y82" i="1"/>
  <c r="Y81" i="1" s="1"/>
  <c r="D187" i="3"/>
  <c r="X15" i="3"/>
  <c r="D36" i="3"/>
  <c r="J36" i="3" s="1"/>
  <c r="D142" i="3"/>
  <c r="J142" i="3" s="1"/>
  <c r="Y83" i="1"/>
  <c r="K187" i="3"/>
  <c r="W187" i="3" s="1"/>
  <c r="X212" i="3"/>
  <c r="Y276" i="1"/>
  <c r="Y275" i="1" s="1"/>
  <c r="Y286" i="1"/>
  <c r="Y201" i="1"/>
  <c r="Y200" i="1" s="1"/>
  <c r="Y192" i="1"/>
  <c r="X88" i="3"/>
  <c r="X119" i="3"/>
  <c r="X58" i="3" s="1"/>
  <c r="X40" i="3"/>
  <c r="X20" i="3"/>
  <c r="X16" i="3" s="1"/>
  <c r="K162" i="3"/>
  <c r="W162" i="3" s="1"/>
  <c r="L211" i="1"/>
  <c r="X211" i="1" s="1"/>
  <c r="K163" i="3"/>
  <c r="X150" i="3"/>
  <c r="X226" i="3"/>
  <c r="X214" i="3" s="1"/>
  <c r="L275" i="1"/>
  <c r="X275" i="1" s="1"/>
  <c r="E200" i="1"/>
  <c r="K200" i="1" s="1"/>
  <c r="E50" i="1"/>
  <c r="K50" i="1" s="1"/>
  <c r="E242" i="1"/>
  <c r="K242" i="1" s="1"/>
  <c r="E211" i="1"/>
  <c r="K211" i="1" s="1"/>
  <c r="E275" i="1"/>
  <c r="K275" i="1" s="1"/>
  <c r="G12" i="1"/>
  <c r="X189" i="3"/>
  <c r="X129" i="3"/>
  <c r="X128" i="3"/>
  <c r="X108" i="3"/>
  <c r="X194" i="3"/>
  <c r="X118" i="3"/>
  <c r="X56" i="3"/>
  <c r="X107" i="3"/>
  <c r="X133" i="3"/>
  <c r="X130" i="3" s="1"/>
  <c r="X69" i="3"/>
  <c r="X136" i="3"/>
  <c r="X135" i="3" s="1"/>
  <c r="X169" i="3"/>
  <c r="X207" i="3"/>
  <c r="X205" i="3" s="1"/>
  <c r="X200" i="3"/>
  <c r="E298" i="1"/>
  <c r="K298" i="1" s="1"/>
  <c r="L246" i="1"/>
  <c r="X246" i="1" s="1"/>
  <c r="L315" i="1"/>
  <c r="X315" i="1" s="1"/>
  <c r="L115" i="1"/>
  <c r="X115" i="1" s="1"/>
  <c r="Y315" i="1" l="1"/>
  <c r="W163" i="3"/>
  <c r="W159" i="3" s="1"/>
  <c r="K159" i="3"/>
  <c r="D198" i="3"/>
  <c r="J198" i="3" s="1"/>
  <c r="D158" i="3"/>
  <c r="J158" i="3" s="1"/>
  <c r="J187" i="3"/>
  <c r="K198" i="3"/>
  <c r="W198" i="3" s="1"/>
  <c r="W205" i="3"/>
  <c r="D231" i="3"/>
  <c r="X57" i="3"/>
  <c r="X198" i="3"/>
  <c r="K231" i="3"/>
  <c r="G314" i="1"/>
  <c r="X36" i="3"/>
  <c r="X231" i="3" s="1"/>
  <c r="X162" i="3"/>
  <c r="Y115" i="1"/>
  <c r="X187" i="3"/>
  <c r="X142" i="3"/>
  <c r="Y211" i="1"/>
  <c r="Y285" i="1"/>
  <c r="E246" i="1"/>
  <c r="K246" i="1" s="1"/>
  <c r="E115" i="1"/>
  <c r="K115" i="1" s="1"/>
  <c r="E81" i="1"/>
  <c r="K81" i="1" s="1"/>
  <c r="D230" i="3" l="1"/>
  <c r="J230" i="3" s="1"/>
  <c r="W231" i="3"/>
  <c r="J231" i="3"/>
  <c r="E314" i="1"/>
  <c r="K314" i="1" l="1"/>
  <c r="M179" i="3"/>
  <c r="M175" i="3" s="1"/>
  <c r="N12" i="1"/>
  <c r="N314" i="1" s="1"/>
  <c r="L34" i="1"/>
  <c r="L13" i="1" l="1"/>
  <c r="X13" i="1" s="1"/>
  <c r="X34" i="1"/>
  <c r="M158" i="3"/>
  <c r="M230" i="3" s="1"/>
  <c r="Y13" i="1"/>
  <c r="K179" i="3"/>
  <c r="L12" i="1" l="1"/>
  <c r="K175" i="3"/>
  <c r="W175" i="3" s="1"/>
  <c r="W179" i="3"/>
  <c r="L314" i="1"/>
  <c r="X314" i="1" s="1"/>
  <c r="X12" i="1"/>
  <c r="X179" i="3"/>
  <c r="Y12" i="1"/>
  <c r="Y314" i="1" s="1"/>
  <c r="K158" i="3"/>
  <c r="K230" i="3" l="1"/>
  <c r="W158" i="3"/>
  <c r="X175" i="3"/>
  <c r="X158" i="3" s="1"/>
  <c r="X230" i="3" s="1"/>
  <c r="W230" i="3" l="1"/>
</calcChain>
</file>

<file path=xl/comments1.xml><?xml version="1.0" encoding="utf-8"?>
<comments xmlns="http://schemas.openxmlformats.org/spreadsheetml/2006/main">
  <authors>
    <author>User</author>
  </authors>
  <commentList>
    <comment ref="B21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<sst xmlns="http://schemas.openxmlformats.org/spreadsheetml/2006/main" count="965" uniqueCount="617">
  <si>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</si>
  <si>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</si>
  <si>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</si>
  <si>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</si>
  <si>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</si>
  <si>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</si>
  <si>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</si>
  <si>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</si>
  <si>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</si>
  <si>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</si>
  <si>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</si>
  <si>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</si>
  <si>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</si>
  <si>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</si>
  <si>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</si>
  <si>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</si>
  <si>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</si>
  <si>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</si>
  <si>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</si>
  <si>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</si>
  <si>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</si>
  <si>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</si>
  <si>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</si>
  <si>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</si>
  <si>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</si>
  <si>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</si>
  <si>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</si>
  <si>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</si>
  <si>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</si>
  <si>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</si>
  <si>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</si>
  <si>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</si>
  <si>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</si>
  <si>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</si>
  <si>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</si>
  <si>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</si>
  <si>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</si>
  <si>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</si>
  <si>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</si>
  <si>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</si>
  <si>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</si>
  <si>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</si>
  <si>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</si>
  <si>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</si>
  <si>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</si>
  <si>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</si>
  <si>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</si>
  <si>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</si>
  <si>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</si>
  <si>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</si>
  <si>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</si>
  <si>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</si>
  <si>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</si>
  <si>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</si>
  <si>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</si>
  <si>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</si>
  <si>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</si>
  <si>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</si>
  <si>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</si>
  <si>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</si>
  <si>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</si>
  <si>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</si>
  <si>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</si>
  <si>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</si>
  <si>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</si>
  <si>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</si>
  <si>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</si>
  <si>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</si>
  <si>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</si>
  <si>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</si>
  <si>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</si>
  <si>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</si>
  <si>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</si>
  <si>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</si>
  <si>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</si>
  <si>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</si>
  <si>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</si>
  <si>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</si>
  <si>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</si>
  <si>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</si>
  <si>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</si>
  <si>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</si>
  <si>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</si>
  <si>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</si>
  <si>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</si>
  <si>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</si>
  <si>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</si>
  <si>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</si>
  <si>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</si>
  <si>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</si>
  <si>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</si>
  <si>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</si>
  <si>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</si>
  <si>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</si>
  <si>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</si>
  <si>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</si>
  <si>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</si>
  <si>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</si>
  <si>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</si>
  <si>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</si>
  <si>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</si>
  <si>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</si>
  <si>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</si>
  <si>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</si>
  <si>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</si>
  <si>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</si>
  <si>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</si>
  <si>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</si>
  <si>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</si>
  <si>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</si>
  <si>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</si>
  <si>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</si>
  <si>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</si>
  <si>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</si>
  <si>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</si>
  <si>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</si>
  <si>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</si>
  <si>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</si>
  <si>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</si>
  <si>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</si>
  <si>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</si>
  <si>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</si>
  <si>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</si>
  <si>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</si>
  <si>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</si>
  <si>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</si>
  <si>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</si>
  <si>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</si>
  <si>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</si>
  <si>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</si>
  <si>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</si>
  <si>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</si>
  <si>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</si>
  <si>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</si>
  <si>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</si>
  <si>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</si>
  <si>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</si>
  <si>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</si>
  <si>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</si>
  <si>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</si>
  <si>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</si>
  <si>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</si>
  <si>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</si>
  <si>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</si>
  <si>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</si>
  <si>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</si>
  <si>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</si>
  <si>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</si>
  <si>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</si>
  <si>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</si>
  <si>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</si>
  <si>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</si>
  <si>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</si>
  <si>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</si>
  <si>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</si>
  <si>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</si>
  <si>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</si>
  <si>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</si>
  <si>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</si>
  <si>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</si>
  <si>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</si>
  <si>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</si>
  <si>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</si>
  <si>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</si>
  <si>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</si>
  <si>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</si>
  <si>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</si>
  <si>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</si>
  <si>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</si>
  <si>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</si>
  <si>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</si>
  <si>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</si>
  <si>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</si>
  <si>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</si>
  <si>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</si>
  <si>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</si>
  <si>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</si>
  <si>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</si>
  <si>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</si>
  <si>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</si>
  <si>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</si>
  <si>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</si>
  <si>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</si>
  <si>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</si>
  <si>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</si>
  <si>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</si>
  <si>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</si>
  <si>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</si>
  <si>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</si>
  <si>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</si>
  <si>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</si>
  <si>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</si>
  <si>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</si>
  <si>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</si>
  <si>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</si>
  <si>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</si>
  <si>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</si>
  <si>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</si>
  <si>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</si>
  <si>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</si>
  <si>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</si>
  <si>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</si>
  <si>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</si>
  <si>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</si>
  <si>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</si>
  <si>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</si>
  <si>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</si>
  <si>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</si>
  <si>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</si>
  <si>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</si>
  <si>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</si>
  <si>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</si>
  <si>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</si>
  <si>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</si>
  <si>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</si>
  <si>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</si>
  <si>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</si>
  <si>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</si>
  <si>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</si>
  <si>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</si>
  <si>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</si>
  <si>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</si>
  <si>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</si>
  <si>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</si>
  <si>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</si>
  <si>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</si>
  <si>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</si>
  <si>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</si>
  <si>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</si>
  <si>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</si>
  <si>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</si>
  <si>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</si>
  <si>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</si>
  <si>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</si>
  <si>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</si>
  <si>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</si>
  <si>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</si>
  <si>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</si>
  <si>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</si>
  <si>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</si>
  <si>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</si>
  <si>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</si>
  <si>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</si>
  <si>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</si>
  <si>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</si>
  <si>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</si>
  <si>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</si>
  <si>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</si>
  <si>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</si>
  <si>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</si>
  <si>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</si>
  <si>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</si>
  <si>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</si>
  <si>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</si>
  <si>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</si>
  <si>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</si>
  <si>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</si>
  <si>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</si>
  <si>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</si>
  <si>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</si>
  <si>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</si>
  <si>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</si>
  <si>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</si>
  <si>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</si>
  <si>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</si>
  <si>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</si>
  <si>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</si>
  <si>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</si>
  <si>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</si>
  <si>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</si>
  <si>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</si>
  <si>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</si>
  <si>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</si>
  <si>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</si>
  <si>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</si>
  <si>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</si>
  <si>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</si>
  <si>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</si>
  <si>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</si>
  <si>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</si>
  <si>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</si>
  <si>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</si>
  <si>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</si>
  <si>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</si>
  <si>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</si>
  <si>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</si>
  <si>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</si>
  <si>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</si>
  <si>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</si>
  <si>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</si>
  <si>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</si>
  <si>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</si>
  <si>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</si>
  <si>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</si>
  <si>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</si>
  <si>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</si>
  <si>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</si>
  <si>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</si>
  <si>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</si>
  <si>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</si>
  <si>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</si>
  <si>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</si>
  <si>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</si>
  <si>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</si>
  <si>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</si>
  <si>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</si>
  <si>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</si>
  <si>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</si>
  <si>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</si>
  <si>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</si>
  <si>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</si>
  <si>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</si>
  <si>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</si>
  <si>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</si>
  <si>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</si>
  <si>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</si>
  <si>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</si>
  <si>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</si>
  <si>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</si>
  <si>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</si>
  <si>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</si>
  <si>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</si>
  <si>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</si>
  <si>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</si>
  <si>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</si>
  <si>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</si>
  <si>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</si>
  <si>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</si>
  <si>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</si>
  <si>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</si>
  <si>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</si>
  <si>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</si>
  <si>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</si>
  <si>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</si>
  <si>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</si>
  <si>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</si>
  <si>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</si>
  <si>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</si>
  <si>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</si>
  <si>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</si>
  <si>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</si>
  <si>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</si>
  <si>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</si>
  <si>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</si>
  <si>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</si>
  <si>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</si>
  <si>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</si>
  <si>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</si>
  <si>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</si>
  <si>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</si>
  <si>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</si>
  <si>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</si>
  <si>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</si>
  <si>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</si>
  <si>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</si>
  <si>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</si>
  <si>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</si>
  <si>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</si>
  <si>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</si>
  <si>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</si>
  <si>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</si>
  <si>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</si>
  <si>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</si>
  <si>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</si>
  <si>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</si>
  <si>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</si>
  <si>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</si>
  <si>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</si>
  <si>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</si>
  <si>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</si>
  <si>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</si>
  <si>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</si>
  <si>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</si>
  <si>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</si>
  <si>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</si>
  <si>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</si>
  <si>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</si>
  <si>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</si>
  <si>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</si>
  <si>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</si>
  <si>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</si>
  <si>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</si>
  <si>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</si>
  <si>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</si>
  <si>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</si>
  <si>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</si>
  <si>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</si>
  <si>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</si>
  <si>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</si>
  <si>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</si>
  <si>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</si>
  <si>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</si>
  <si>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</si>
  <si>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</si>
  <si>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</si>
  <si>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</si>
  <si>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</si>
  <si>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</si>
  <si>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</si>
  <si>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</si>
  <si>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</si>
  <si>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</si>
  <si>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</si>
  <si>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</si>
  <si>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</si>
  <si>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</si>
  <si>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</si>
  <si>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</si>
  <si>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</si>
  <si>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</si>
  <si>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</si>
  <si>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</si>
  <si>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</si>
  <si>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</si>
  <si>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</si>
  <si>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</si>
  <si>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</si>
  <si>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</si>
  <si>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</si>
  <si>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</si>
  <si>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</si>
  <si>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</si>
  <si>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</si>
  <si>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</si>
  <si>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</si>
  <si>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</si>
  <si>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</si>
  <si>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</si>
  <si>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</si>
  <si>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</si>
  <si>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</si>
  <si>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</si>
  <si>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</si>
  <si>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</si>
  <si>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</si>
  <si>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</si>
  <si>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</si>
  <si>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</si>
  <si>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</si>
  <si>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</si>
  <si>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</si>
  <si>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</si>
  <si>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</si>
  <si>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</si>
  <si>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</si>
  <si>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</si>
  <si>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</si>
  <si>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</si>
  <si>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</si>
  <si>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</si>
  <si>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</si>
  <si>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</si>
  <si>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</si>
  <si>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</si>
  <si>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</si>
  <si>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</si>
  <si>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</si>
  <si>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</si>
  <si>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</si>
  <si>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</si>
  <si>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</si>
  <si>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</si>
  <si>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</si>
  <si>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</si>
  <si>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</si>
  <si>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</si>
  <si>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</si>
  <si>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</si>
  <si>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</si>
  <si>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</si>
  <si>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</si>
  <si>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</si>
  <si>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</si>
  <si>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</si>
  <si>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</si>
  <si>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</si>
  <si>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</si>
  <si>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</si>
  <si>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</si>
  <si>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</si>
  <si>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</si>
  <si>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</si>
  <si>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</si>
  <si>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</si>
  <si>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</si>
  <si>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</si>
  <si>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</si>
  <si>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</si>
  <si>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</si>
  <si>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</si>
  <si>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</si>
  <si>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</si>
  <si>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</si>
  <si>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</si>
  <si>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</si>
  <si>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</si>
  <si>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</si>
  <si>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</si>
  <si>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</si>
  <si>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</si>
  <si>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</si>
  <si>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</si>
  <si>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</si>
  <si>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</si>
  <si>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</si>
  <si>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</si>
  <si>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</si>
  <si>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</si>
  <si>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</si>
  <si>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</si>
  <si>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</si>
  <si>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</si>
  <si>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</si>
  <si>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</si>
  <si>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</si>
  <si>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</si>
  <si>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</si>
  <si>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</si>
  <si>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</si>
  <si>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</si>
  <si>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</si>
  <si>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</si>
  <si>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</si>
  <si>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</si>
  <si>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</si>
  <si>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</si>
  <si>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</si>
  <si>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</si>
  <si>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</si>
  <si>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</si>
  <si>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</si>
  <si>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</si>
  <si>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</si>
  <si>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</si>
  <si>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</si>
  <si>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</si>
  <si>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</si>
  <si>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</si>
  <si>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</si>
  <si>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</si>
  <si>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</si>
  <si>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</si>
  <si>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</si>
  <si>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</si>
  <si>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</si>
  <si>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</si>
  <si>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</si>
  <si>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</si>
  <si>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</si>
  <si>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</si>
  <si>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</si>
  <si>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</si>
  <si>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</si>
  <si>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</si>
  <si>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</si>
  <si>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</si>
  <si>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</si>
  <si>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</si>
  <si>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</si>
  <si>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</si>
  <si>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</si>
  <si>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</si>
  <si>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</si>
  <si>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</si>
  <si>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</si>
  <si>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</si>
  <si>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</si>
  <si>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</si>
  <si>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</si>
  <si>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</si>
  <si>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</si>
  <si>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</si>
  <si>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</si>
  <si>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</si>
  <si>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</si>
  <si>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</si>
  <si>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</si>
  <si>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</si>
  <si>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</si>
  <si>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</si>
  <si>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</si>
  <si>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</si>
  <si>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</si>
  <si>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</si>
  <si>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</si>
  <si>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</si>
  <si>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</si>
  <si>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</si>
  <si>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</si>
  <si>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</si>
  <si>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</si>
  <si>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</si>
  <si>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</si>
  <si>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</si>
  <si>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</si>
  <si>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</si>
  <si>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</si>
  <si>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</si>
  <si>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>0813224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</si>
  <si>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І - ІІ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</si>
  <si>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0619770</t>
  </si>
  <si>
    <t>Утримання та розвиток автомобільних доріг та дорожньої інфраструктури за рахунок коштів місцевого бюджету</t>
  </si>
  <si>
    <t>0816083</t>
  </si>
  <si>
    <t>Затверджено по бюджету з урахуванням змін (відповідно до казначейської звітності)</t>
  </si>
  <si>
    <t>Касові видатки</t>
  </si>
  <si>
    <t>до рішення виконавчого комітету</t>
  </si>
  <si>
    <t>Директор департаменту фінансів,</t>
  </si>
  <si>
    <t>С.А. Липова</t>
  </si>
  <si>
    <t>економіки та інвестицій</t>
  </si>
  <si>
    <t>% виконання до затвердженого по бюдже-ту</t>
  </si>
  <si>
    <t xml:space="preserve">                   Додаток 2</t>
  </si>
  <si>
    <t xml:space="preserve">                    Додаток 3</t>
  </si>
  <si>
    <t>ЗАГАЛЬНИЙ ФОНД</t>
  </si>
  <si>
    <t>СПЕЦІАЛЬНИЙ ФОНД</t>
  </si>
  <si>
    <t>Звіт про виконання видаткової частини міського бюджету за 2019 рік за головними розпорядниками коштів</t>
  </si>
  <si>
    <t>Звіт про виконання видаткової частини міського бюджету за 2019 рік за типовою програмною класифікацією видатків та кредитування місцевих бюджетів</t>
  </si>
  <si>
    <t>від 11.02.2020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</si>
</sst>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23"/>
      <name val="Times New Roman"/>
      <family val="1"/>
      <charset val="204"/>
    </font>
    <font>
      <sz val="30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24" borderId="0" applyNumberFormat="0" applyBorder="0" applyAlignment="0" applyProtection="0"/>
    <xf numFmtId="0" fontId="38" fillId="30" borderId="0" applyNumberFormat="0" applyBorder="0" applyAlignment="0" applyProtection="0"/>
    <xf numFmtId="0" fontId="39" fillId="36" borderId="0" applyNumberFormat="0" applyBorder="0" applyAlignment="0" applyProtection="0"/>
    <xf numFmtId="0" fontId="38" fillId="25" borderId="0" applyNumberFormat="0" applyBorder="0" applyAlignment="0" applyProtection="0"/>
    <xf numFmtId="0" fontId="38" fillId="31" borderId="0" applyNumberFormat="0" applyBorder="0" applyAlignment="0" applyProtection="0"/>
    <xf numFmtId="0" fontId="39" fillId="37" borderId="0" applyNumberFormat="0" applyBorder="0" applyAlignment="0" applyProtection="0"/>
    <xf numFmtId="0" fontId="38" fillId="26" borderId="0" applyNumberFormat="0" applyBorder="0" applyAlignment="0" applyProtection="0"/>
    <xf numFmtId="0" fontId="38" fillId="32" borderId="0" applyNumberFormat="0" applyBorder="0" applyAlignment="0" applyProtection="0"/>
    <xf numFmtId="0" fontId="39" fillId="38" borderId="0" applyNumberFormat="0" applyBorder="0" applyAlignment="0" applyProtection="0"/>
    <xf numFmtId="0" fontId="38" fillId="27" borderId="0" applyNumberFormat="0" applyBorder="0" applyAlignment="0" applyProtection="0"/>
    <xf numFmtId="0" fontId="38" fillId="33" borderId="0" applyNumberFormat="0" applyBorder="0" applyAlignment="0" applyProtection="0"/>
    <xf numFmtId="0" fontId="39" fillId="39" borderId="0" applyNumberFormat="0" applyBorder="0" applyAlignment="0" applyProtection="0"/>
    <xf numFmtId="0" fontId="38" fillId="28" borderId="0" applyNumberFormat="0" applyBorder="0" applyAlignment="0" applyProtection="0"/>
    <xf numFmtId="0" fontId="38" fillId="34" borderId="0" applyNumberFormat="0" applyBorder="0" applyAlignment="0" applyProtection="0"/>
    <xf numFmtId="0" fontId="39" fillId="40" borderId="0" applyNumberFormat="0" applyBorder="0" applyAlignment="0" applyProtection="0"/>
    <xf numFmtId="0" fontId="38" fillId="29" borderId="0" applyNumberFormat="0" applyBorder="0" applyAlignment="0" applyProtection="0"/>
    <xf numFmtId="0" fontId="38" fillId="35" borderId="0" applyNumberFormat="0" applyBorder="0" applyAlignment="0" applyProtection="0"/>
    <xf numFmtId="0" fontId="39" fillId="41" borderId="0" applyNumberFormat="0" applyBorder="0" applyAlignment="0" applyProtection="0"/>
  </cellStyleXfs>
  <cellXfs count="219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9" fillId="0" borderId="0" xfId="0" applyFont="1" applyFill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" fontId="20" fillId="0" borderId="0" xfId="0" applyNumberFormat="1" applyFont="1" applyFill="1"/>
    <xf numFmtId="0" fontId="28" fillId="0" borderId="0" xfId="0" applyFont="1" applyFill="1"/>
    <xf numFmtId="49" fontId="28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/>
    <xf numFmtId="49" fontId="28" fillId="0" borderId="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/>
    <xf numFmtId="49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/>
    <xf numFmtId="3" fontId="3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 applyProtection="1">
      <alignment horizontal="center"/>
    </xf>
    <xf numFmtId="3" fontId="37" fillId="0" borderId="0" xfId="0" applyNumberFormat="1" applyFont="1" applyFill="1"/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left" vertical="center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justify" vertical="top" wrapText="1"/>
    </xf>
    <xf numFmtId="3" fontId="24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horizontal="center"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0" xfId="0" applyNumberFormat="1" applyFont="1" applyFill="1" applyAlignment="1" applyProtection="1">
      <alignment horizontal="left" wrapText="1"/>
    </xf>
    <xf numFmtId="3" fontId="31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9" xfId="0" applyNumberFormat="1" applyFont="1" applyFill="1" applyBorder="1" applyAlignment="1" applyProtection="1">
      <alignment horizontal="center" vertical="center"/>
    </xf>
    <xf numFmtId="3" fontId="23" fillId="0" borderId="9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Alignment="1" applyProtection="1">
      <alignment horizontal="center" wrapText="1"/>
    </xf>
    <xf numFmtId="49" fontId="27" fillId="0" borderId="0" xfId="0" applyNumberFormat="1" applyFont="1" applyFill="1" applyAlignment="1">
      <alignment horizontal="center" vertical="center" textRotation="180"/>
    </xf>
    <xf numFmtId="3" fontId="1" fillId="0" borderId="0" xfId="0" applyNumberFormat="1" applyFont="1" applyFill="1" applyBorder="1"/>
    <xf numFmtId="3" fontId="37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 applyProtection="1">
      <alignment horizontal="center" vertic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center" wrapText="1"/>
    </xf>
    <xf numFmtId="4" fontId="23" fillId="0" borderId="9" xfId="0" applyNumberFormat="1" applyFont="1" applyFill="1" applyBorder="1" applyAlignment="1">
      <alignment horizontal="right"/>
    </xf>
    <xf numFmtId="4" fontId="26" fillId="0" borderId="7" xfId="0" applyNumberFormat="1" applyFont="1" applyFill="1" applyBorder="1" applyAlignment="1">
      <alignment horizontal="right"/>
    </xf>
    <xf numFmtId="4" fontId="22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40" fillId="0" borderId="7" xfId="0" applyNumberFormat="1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9" fontId="20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/>
    <xf numFmtId="3" fontId="32" fillId="0" borderId="0" xfId="0" applyNumberFormat="1" applyFont="1" applyFill="1" applyBorder="1" applyAlignment="1"/>
    <xf numFmtId="49" fontId="22" fillId="0" borderId="7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Protection="1">
      <protection locked="0" hidden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164" fontId="28" fillId="0" borderId="7" xfId="0" applyNumberFormat="1" applyFont="1" applyFill="1" applyBorder="1" applyAlignment="1">
      <alignment horizontal="right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/>
    <xf numFmtId="3" fontId="41" fillId="0" borderId="0" xfId="0" applyNumberFormat="1" applyFont="1" applyFill="1" applyBorder="1" applyAlignment="1"/>
    <xf numFmtId="0" fontId="41" fillId="0" borderId="0" xfId="0" applyFont="1" applyFill="1" applyAlignment="1">
      <alignment wrapText="1"/>
    </xf>
    <xf numFmtId="3" fontId="42" fillId="0" borderId="0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textRotation="180"/>
    </xf>
    <xf numFmtId="3" fontId="41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 applyProtection="1">
      <alignment horizontal="center"/>
      <protection locked="0"/>
    </xf>
    <xf numFmtId="4" fontId="27" fillId="0" borderId="0" xfId="0" applyNumberFormat="1" applyFont="1" applyFill="1" applyBorder="1" applyAlignment="1">
      <alignment horizontal="center"/>
    </xf>
    <xf numFmtId="164" fontId="23" fillId="0" borderId="9" xfId="0" applyNumberFormat="1" applyFont="1" applyFill="1" applyBorder="1" applyAlignment="1">
      <alignment horizontal="right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wrapText="1"/>
    </xf>
    <xf numFmtId="164" fontId="30" fillId="0" borderId="7" xfId="0" applyNumberFormat="1" applyFont="1" applyFill="1" applyBorder="1" applyAlignment="1">
      <alignment horizontal="right"/>
    </xf>
    <xf numFmtId="0" fontId="32" fillId="0" borderId="0" xfId="0" applyFont="1" applyFill="1" applyAlignment="1">
      <alignment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vertical="center"/>
    </xf>
    <xf numFmtId="0" fontId="20" fillId="0" borderId="0" xfId="0" applyFont="1" applyFill="1" applyAlignment="1">
      <alignment horizontal="justify" vertical="top" wrapText="1"/>
    </xf>
    <xf numFmtId="0" fontId="28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right"/>
    </xf>
    <xf numFmtId="164" fontId="26" fillId="0" borderId="9" xfId="0" applyNumberFormat="1" applyFont="1" applyFill="1" applyBorder="1" applyAlignment="1">
      <alignment horizontal="right"/>
    </xf>
    <xf numFmtId="164" fontId="22" fillId="0" borderId="9" xfId="0" applyNumberFormat="1" applyFont="1" applyFill="1" applyBorder="1" applyAlignment="1">
      <alignment horizontal="right"/>
    </xf>
    <xf numFmtId="4" fontId="28" fillId="0" borderId="0" xfId="0" applyNumberFormat="1" applyFont="1" applyFill="1"/>
    <xf numFmtId="1" fontId="37" fillId="0" borderId="0" xfId="0" applyNumberFormat="1" applyFont="1" applyFill="1" applyBorder="1" applyAlignment="1">
      <alignment horizontal="center" textRotation="180"/>
    </xf>
    <xf numFmtId="1" fontId="37" fillId="0" borderId="0" xfId="0" applyNumberFormat="1" applyFont="1" applyFill="1" applyBorder="1" applyAlignment="1" applyProtection="1">
      <alignment horizontal="center" textRotation="180"/>
      <protection locked="0"/>
    </xf>
    <xf numFmtId="1" fontId="37" fillId="0" borderId="0" xfId="0" applyNumberFormat="1" applyFont="1" applyFill="1" applyBorder="1"/>
    <xf numFmtId="1" fontId="37" fillId="0" borderId="0" xfId="0" applyNumberFormat="1" applyFont="1" applyFill="1"/>
    <xf numFmtId="3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/>
    <xf numFmtId="4" fontId="47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wrapText="1"/>
    </xf>
    <xf numFmtId="3" fontId="42" fillId="0" borderId="0" xfId="0" applyNumberFormat="1" applyFont="1" applyFill="1"/>
    <xf numFmtId="0" fontId="47" fillId="0" borderId="0" xfId="0" applyFont="1" applyFill="1" applyBorder="1" applyAlignment="1">
      <alignment vertical="center"/>
    </xf>
    <xf numFmtId="3" fontId="42" fillId="0" borderId="0" xfId="0" applyNumberFormat="1" applyFont="1" applyFill="1" applyBorder="1"/>
    <xf numFmtId="0" fontId="47" fillId="0" borderId="0" xfId="0" applyNumberFormat="1" applyFont="1" applyFill="1" applyBorder="1" applyAlignment="1" applyProtection="1"/>
    <xf numFmtId="4" fontId="42" fillId="0" borderId="0" xfId="0" applyNumberFormat="1" applyFont="1" applyFill="1"/>
    <xf numFmtId="3" fontId="42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Protection="1">
      <protection locked="0"/>
    </xf>
    <xf numFmtId="1" fontId="37" fillId="0" borderId="13" xfId="0" applyNumberFormat="1" applyFont="1" applyFill="1" applyBorder="1" applyAlignment="1">
      <alignment horizontal="center" vertical="center" textRotation="180"/>
    </xf>
    <xf numFmtId="1" fontId="37" fillId="0" borderId="0" xfId="0" applyNumberFormat="1" applyFont="1" applyFill="1" applyBorder="1" applyAlignment="1">
      <alignment horizontal="center" textRotation="180"/>
    </xf>
    <xf numFmtId="1" fontId="37" fillId="0" borderId="0" xfId="0" applyNumberFormat="1" applyFont="1" applyFill="1" applyBorder="1" applyAlignment="1">
      <alignment horizontal="center" vertical="center" textRotation="180"/>
    </xf>
    <xf numFmtId="0" fontId="32" fillId="0" borderId="0" xfId="0" applyFont="1" applyFill="1" applyAlignment="1">
      <alignment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10" xfId="0" applyNumberFormat="1" applyFont="1" applyFill="1" applyBorder="1" applyAlignment="1" applyProtection="1">
      <alignment horizontal="center" vertical="center" wrapText="1"/>
    </xf>
    <xf numFmtId="3" fontId="28" fillId="0" borderId="9" xfId="0" applyNumberFormat="1" applyFont="1" applyFill="1" applyBorder="1" applyAlignment="1" applyProtection="1">
      <alignment horizontal="center" vertical="center" wrapText="1"/>
    </xf>
    <xf numFmtId="3" fontId="45" fillId="0" borderId="11" xfId="0" applyNumberFormat="1" applyFont="1" applyFill="1" applyBorder="1" applyAlignment="1" applyProtection="1">
      <alignment horizontal="center" vertical="center" wrapText="1"/>
    </xf>
    <xf numFmtId="3" fontId="45" fillId="0" borderId="12" xfId="0" applyNumberFormat="1" applyFont="1" applyFill="1" applyBorder="1" applyAlignment="1" applyProtection="1">
      <alignment horizontal="center" vertical="center" wrapText="1"/>
    </xf>
    <xf numFmtId="3" fontId="45" fillId="0" borderId="8" xfId="0" applyNumberFormat="1" applyFont="1" applyFill="1" applyBorder="1" applyAlignment="1" applyProtection="1">
      <alignment horizontal="center" vertical="center" wrapText="1"/>
    </xf>
    <xf numFmtId="3" fontId="44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3" fontId="44" fillId="0" borderId="12" xfId="0" applyNumberFormat="1" applyFont="1" applyFill="1" applyBorder="1" applyAlignment="1" applyProtection="1">
      <alignment horizontal="center" vertical="center" wrapText="1"/>
    </xf>
    <xf numFmtId="3" fontId="44" fillId="0" borderId="8" xfId="0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left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3" fontId="44" fillId="0" borderId="11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49" fontId="36" fillId="0" borderId="0" xfId="0" applyNumberFormat="1" applyFont="1" applyFill="1" applyBorder="1" applyAlignment="1" applyProtection="1">
      <alignment horizontal="left" vertical="center"/>
    </xf>
    <xf numFmtId="0" fontId="45" fillId="0" borderId="11" xfId="0" applyNumberFormat="1" applyFont="1" applyFill="1" applyBorder="1" applyAlignment="1" applyProtection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</xf>
    <xf numFmtId="0" fontId="45" fillId="0" borderId="8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0" fontId="41" fillId="0" borderId="0" xfId="0" applyFont="1" applyFill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 textRotation="180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WZ865"/>
  <sheetViews>
    <sheetView showGridLines="0" showZeros="0" view="pageBreakPreview" topLeftCell="H1" zoomScale="79" zoomScaleNormal="84" zoomScaleSheetLayoutView="79" workbookViewId="0">
      <selection activeCell="S4" sqref="S4"/>
    </sheetView>
  </sheetViews>
  <sheetFormatPr defaultColWidth="9.1640625" defaultRowHeight="15" x14ac:dyDescent="0.25"/>
  <cols>
    <col min="1" max="1" width="21.1640625" style="39" customWidth="1"/>
    <col min="2" max="2" width="17.5" style="39" customWidth="1"/>
    <col min="3" max="3" width="18" style="39" customWidth="1"/>
    <col min="4" max="4" width="65" style="60" customWidth="1"/>
    <col min="5" max="5" width="17.6640625" style="42" customWidth="1"/>
    <col min="6" max="6" width="18.5" style="42" customWidth="1"/>
    <col min="7" max="7" width="16.1640625" style="42" customWidth="1"/>
    <col min="8" max="8" width="18" style="42" customWidth="1"/>
    <col min="9" max="9" width="17.6640625" style="42" customWidth="1"/>
    <col min="10" max="10" width="16.33203125" style="42" customWidth="1"/>
    <col min="11" max="11" width="10.6640625" style="42" customWidth="1"/>
    <col min="12" max="13" width="16.83203125" style="42" customWidth="1"/>
    <col min="14" max="14" width="16" style="42" customWidth="1"/>
    <col min="15" max="15" width="14.1640625" style="42" customWidth="1"/>
    <col min="16" max="16" width="15" style="42" customWidth="1"/>
    <col min="17" max="17" width="16.33203125" style="42" customWidth="1"/>
    <col min="18" max="19" width="16.6640625" style="42" customWidth="1"/>
    <col min="20" max="20" width="16.1640625" style="42" customWidth="1"/>
    <col min="21" max="21" width="13.83203125" style="42" customWidth="1"/>
    <col min="22" max="22" width="15" style="42" customWidth="1"/>
    <col min="23" max="23" width="16.5" style="42" customWidth="1"/>
    <col min="24" max="24" width="10.33203125" style="42" customWidth="1"/>
    <col min="25" max="25" width="17.6640625" style="84" customWidth="1"/>
    <col min="26" max="26" width="5" style="168" customWidth="1"/>
    <col min="27" max="27" width="13.5" style="74" customWidth="1"/>
    <col min="28" max="28" width="14" style="74" customWidth="1"/>
    <col min="29" max="30" width="9.1640625" style="74"/>
    <col min="31" max="31" width="11.83203125" style="74" bestFit="1" customWidth="1"/>
    <col min="32" max="32" width="11" style="74" customWidth="1"/>
    <col min="33" max="33" width="12.1640625" style="74" customWidth="1"/>
    <col min="34" max="584" width="9.1640625" style="74"/>
    <col min="585" max="16384" width="9.1640625" style="43"/>
  </cols>
  <sheetData>
    <row r="1" spans="1:584" ht="25.5" customHeight="1" x14ac:dyDescent="0.25">
      <c r="M1" s="134"/>
      <c r="N1" s="134"/>
      <c r="O1" s="134"/>
      <c r="P1" s="134"/>
      <c r="Q1" s="134"/>
      <c r="R1" s="133"/>
      <c r="S1" s="136" t="s">
        <v>610</v>
      </c>
      <c r="T1" s="136"/>
      <c r="U1" s="136"/>
      <c r="V1" s="136"/>
      <c r="W1" s="136"/>
      <c r="X1" s="133"/>
      <c r="Y1" s="82"/>
      <c r="Z1" s="189">
        <v>10</v>
      </c>
    </row>
    <row r="2" spans="1:584" ht="25.5" customHeight="1" x14ac:dyDescent="0.45">
      <c r="M2" s="125"/>
      <c r="N2" s="126"/>
      <c r="O2" s="125"/>
      <c r="P2" s="125"/>
      <c r="Q2" s="125"/>
      <c r="R2" s="125"/>
      <c r="S2" s="137" t="s">
        <v>605</v>
      </c>
      <c r="T2" s="138"/>
      <c r="U2" s="137"/>
      <c r="V2" s="137"/>
      <c r="W2" s="137"/>
      <c r="X2" s="125"/>
      <c r="Y2" s="73"/>
      <c r="Z2" s="189"/>
    </row>
    <row r="3" spans="1:584" ht="30.75" customHeight="1" x14ac:dyDescent="0.45">
      <c r="M3" s="190"/>
      <c r="N3" s="190"/>
      <c r="O3" s="190"/>
      <c r="P3" s="190"/>
      <c r="Q3" s="190"/>
      <c r="R3" s="152"/>
      <c r="S3" s="138" t="s">
        <v>616</v>
      </c>
      <c r="T3" s="139"/>
      <c r="U3" s="139"/>
      <c r="V3" s="139"/>
      <c r="W3" s="139"/>
      <c r="X3" s="152"/>
      <c r="Y3" s="112"/>
      <c r="Z3" s="189"/>
    </row>
    <row r="4" spans="1:584" ht="22.5" customHeight="1" x14ac:dyDescent="0.4">
      <c r="M4" s="126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82"/>
      <c r="Z4" s="189"/>
    </row>
    <row r="5" spans="1:584" ht="22.5" customHeight="1" x14ac:dyDescent="0.4">
      <c r="M5" s="126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12"/>
      <c r="Z5" s="189"/>
    </row>
    <row r="6" spans="1:584" s="40" customFormat="1" ht="37.5" x14ac:dyDescent="0.35">
      <c r="A6" s="191" t="s">
        <v>614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89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75"/>
      <c r="JT6" s="75"/>
      <c r="JU6" s="75"/>
      <c r="JV6" s="75"/>
      <c r="JW6" s="75"/>
      <c r="JX6" s="75"/>
      <c r="JY6" s="75"/>
      <c r="JZ6" s="75"/>
      <c r="KA6" s="75"/>
      <c r="KB6" s="75"/>
      <c r="KC6" s="75"/>
      <c r="KD6" s="75"/>
      <c r="KE6" s="75"/>
      <c r="KF6" s="75"/>
      <c r="KG6" s="75"/>
      <c r="KH6" s="75"/>
      <c r="KI6" s="75"/>
      <c r="KJ6" s="75"/>
      <c r="KK6" s="75"/>
      <c r="KL6" s="75"/>
      <c r="KM6" s="75"/>
      <c r="KN6" s="75"/>
      <c r="KO6" s="75"/>
      <c r="KP6" s="75"/>
      <c r="KQ6" s="75"/>
      <c r="KR6" s="75"/>
      <c r="KS6" s="75"/>
      <c r="KT6" s="75"/>
      <c r="KU6" s="75"/>
      <c r="KV6" s="75"/>
      <c r="KW6" s="75"/>
      <c r="KX6" s="75"/>
      <c r="KY6" s="75"/>
      <c r="KZ6" s="75"/>
      <c r="LA6" s="75"/>
      <c r="LB6" s="75"/>
      <c r="LC6" s="75"/>
      <c r="LD6" s="75"/>
      <c r="LE6" s="75"/>
      <c r="LF6" s="75"/>
      <c r="LG6" s="75"/>
      <c r="LH6" s="75"/>
      <c r="LI6" s="75"/>
      <c r="LJ6" s="75"/>
      <c r="LK6" s="75"/>
      <c r="LL6" s="75"/>
      <c r="LM6" s="75"/>
      <c r="LN6" s="75"/>
      <c r="LO6" s="75"/>
      <c r="LP6" s="75"/>
      <c r="LQ6" s="75"/>
      <c r="LR6" s="75"/>
      <c r="LS6" s="75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75"/>
      <c r="ME6" s="75"/>
      <c r="MF6" s="75"/>
      <c r="MG6" s="75"/>
      <c r="MH6" s="75"/>
      <c r="MI6" s="75"/>
      <c r="MJ6" s="75"/>
      <c r="MK6" s="75"/>
      <c r="ML6" s="75"/>
      <c r="MM6" s="75"/>
      <c r="MN6" s="75"/>
      <c r="MO6" s="75"/>
      <c r="MP6" s="75"/>
      <c r="MQ6" s="75"/>
      <c r="MR6" s="75"/>
      <c r="MS6" s="75"/>
      <c r="MT6" s="75"/>
      <c r="MU6" s="75"/>
      <c r="MV6" s="75"/>
      <c r="MW6" s="75"/>
      <c r="MX6" s="75"/>
      <c r="MY6" s="75"/>
      <c r="MZ6" s="75"/>
      <c r="NA6" s="75"/>
      <c r="NB6" s="75"/>
      <c r="NC6" s="75"/>
      <c r="ND6" s="75"/>
      <c r="NE6" s="75"/>
      <c r="NF6" s="75"/>
      <c r="NG6" s="75"/>
      <c r="NH6" s="75"/>
      <c r="NI6" s="75"/>
      <c r="NJ6" s="75"/>
      <c r="NK6" s="75"/>
      <c r="NL6" s="75"/>
      <c r="NM6" s="75"/>
      <c r="NN6" s="75"/>
      <c r="NO6" s="75"/>
      <c r="NP6" s="75"/>
      <c r="NQ6" s="75"/>
      <c r="NR6" s="75"/>
      <c r="NS6" s="75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75"/>
      <c r="OO6" s="75"/>
      <c r="OP6" s="75"/>
      <c r="OQ6" s="75"/>
      <c r="OR6" s="75"/>
      <c r="OS6" s="75"/>
      <c r="OT6" s="75"/>
      <c r="OU6" s="75"/>
      <c r="OV6" s="75"/>
      <c r="OW6" s="75"/>
      <c r="OX6" s="75"/>
      <c r="OY6" s="75"/>
      <c r="OZ6" s="75"/>
      <c r="PA6" s="75"/>
      <c r="PB6" s="75"/>
      <c r="PC6" s="75"/>
      <c r="PD6" s="75"/>
      <c r="PE6" s="75"/>
      <c r="PF6" s="75"/>
      <c r="PG6" s="75"/>
      <c r="PH6" s="75"/>
      <c r="PI6" s="75"/>
      <c r="PJ6" s="75"/>
      <c r="PK6" s="75"/>
      <c r="PL6" s="75"/>
      <c r="PM6" s="75"/>
      <c r="PN6" s="75"/>
      <c r="PO6" s="75"/>
      <c r="PP6" s="75"/>
      <c r="PQ6" s="75"/>
      <c r="PR6" s="75"/>
      <c r="PS6" s="75"/>
      <c r="PT6" s="75"/>
      <c r="PU6" s="75"/>
      <c r="PV6" s="75"/>
      <c r="PW6" s="75"/>
      <c r="PX6" s="75"/>
      <c r="PY6" s="75"/>
      <c r="PZ6" s="75"/>
      <c r="QA6" s="75"/>
      <c r="QB6" s="75"/>
      <c r="QC6" s="75"/>
      <c r="QD6" s="75"/>
      <c r="QE6" s="75"/>
      <c r="QF6" s="75"/>
      <c r="QG6" s="75"/>
      <c r="QH6" s="75"/>
      <c r="QI6" s="75"/>
      <c r="QJ6" s="75"/>
      <c r="QK6" s="75"/>
      <c r="QL6" s="75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75"/>
      <c r="QX6" s="75"/>
      <c r="QY6" s="75"/>
      <c r="QZ6" s="75"/>
      <c r="RA6" s="75"/>
      <c r="RB6" s="75"/>
      <c r="RC6" s="75"/>
      <c r="RD6" s="75"/>
      <c r="RE6" s="75"/>
      <c r="RF6" s="75"/>
      <c r="RG6" s="75"/>
      <c r="RH6" s="75"/>
      <c r="RI6" s="75"/>
      <c r="RJ6" s="75"/>
      <c r="RK6" s="75"/>
      <c r="RL6" s="75"/>
      <c r="RM6" s="75"/>
      <c r="RN6" s="75"/>
      <c r="RO6" s="75"/>
      <c r="RP6" s="75"/>
      <c r="RQ6" s="75"/>
      <c r="RR6" s="75"/>
      <c r="RS6" s="75"/>
      <c r="RT6" s="75"/>
      <c r="RU6" s="75"/>
      <c r="RV6" s="75"/>
      <c r="RW6" s="75"/>
      <c r="RX6" s="75"/>
      <c r="RY6" s="75"/>
      <c r="RZ6" s="75"/>
      <c r="SA6" s="75"/>
      <c r="SB6" s="75"/>
      <c r="SC6" s="75"/>
      <c r="SD6" s="75"/>
      <c r="SE6" s="75"/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/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/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/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/>
      <c r="UJ6" s="75"/>
      <c r="UK6" s="75"/>
      <c r="UL6" s="75"/>
      <c r="UM6" s="75"/>
      <c r="UN6" s="75"/>
      <c r="UO6" s="75"/>
      <c r="UP6" s="75"/>
      <c r="UQ6" s="75"/>
      <c r="UR6" s="75"/>
      <c r="US6" s="75"/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/>
      <c r="VG6" s="75"/>
      <c r="VH6" s="75"/>
      <c r="VI6" s="75"/>
      <c r="VJ6" s="75"/>
      <c r="VK6" s="75"/>
      <c r="VL6" s="75"/>
    </row>
    <row r="7" spans="1:584" ht="17.25" customHeight="1" x14ac:dyDescent="0.4">
      <c r="D7" s="41"/>
      <c r="Y7" s="172" t="s">
        <v>301</v>
      </c>
      <c r="Z7" s="189"/>
    </row>
    <row r="8" spans="1:584" s="44" customFormat="1" ht="30" customHeight="1" x14ac:dyDescent="0.2">
      <c r="A8" s="192" t="s">
        <v>554</v>
      </c>
      <c r="B8" s="192" t="s">
        <v>555</v>
      </c>
      <c r="C8" s="192" t="s">
        <v>556</v>
      </c>
      <c r="D8" s="192" t="s">
        <v>559</v>
      </c>
      <c r="E8" s="196" t="s">
        <v>612</v>
      </c>
      <c r="F8" s="197"/>
      <c r="G8" s="197"/>
      <c r="H8" s="197"/>
      <c r="I8" s="197"/>
      <c r="J8" s="198"/>
      <c r="K8" s="200" t="s">
        <v>609</v>
      </c>
      <c r="L8" s="196" t="s">
        <v>613</v>
      </c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8"/>
      <c r="X8" s="200" t="s">
        <v>609</v>
      </c>
      <c r="Y8" s="193" t="s">
        <v>295</v>
      </c>
      <c r="Z8" s="189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</row>
    <row r="9" spans="1:584" s="44" customFormat="1" ht="52.5" customHeight="1" x14ac:dyDescent="0.2">
      <c r="A9" s="192"/>
      <c r="B9" s="192"/>
      <c r="C9" s="192"/>
      <c r="D9" s="192"/>
      <c r="E9" s="199" t="s">
        <v>603</v>
      </c>
      <c r="F9" s="199"/>
      <c r="G9" s="199"/>
      <c r="H9" s="207" t="s">
        <v>604</v>
      </c>
      <c r="I9" s="203"/>
      <c r="J9" s="204"/>
      <c r="K9" s="201"/>
      <c r="L9" s="199" t="s">
        <v>603</v>
      </c>
      <c r="M9" s="199"/>
      <c r="N9" s="199"/>
      <c r="O9" s="199"/>
      <c r="P9" s="199"/>
      <c r="Q9" s="199"/>
      <c r="R9" s="203" t="s">
        <v>604</v>
      </c>
      <c r="S9" s="203"/>
      <c r="T9" s="203"/>
      <c r="U9" s="203"/>
      <c r="V9" s="203"/>
      <c r="W9" s="204"/>
      <c r="X9" s="201"/>
      <c r="Y9" s="193"/>
      <c r="Z9" s="189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</row>
    <row r="10" spans="1:584" s="44" customFormat="1" ht="21.75" customHeight="1" x14ac:dyDescent="0.2">
      <c r="A10" s="192"/>
      <c r="B10" s="192"/>
      <c r="C10" s="192"/>
      <c r="D10" s="192"/>
      <c r="E10" s="193" t="s">
        <v>557</v>
      </c>
      <c r="F10" s="193" t="s">
        <v>297</v>
      </c>
      <c r="G10" s="193"/>
      <c r="H10" s="206" t="s">
        <v>557</v>
      </c>
      <c r="I10" s="208" t="s">
        <v>297</v>
      </c>
      <c r="J10" s="209"/>
      <c r="K10" s="201"/>
      <c r="L10" s="193" t="s">
        <v>557</v>
      </c>
      <c r="M10" s="194" t="s">
        <v>558</v>
      </c>
      <c r="N10" s="193" t="s">
        <v>296</v>
      </c>
      <c r="O10" s="193" t="s">
        <v>297</v>
      </c>
      <c r="P10" s="193"/>
      <c r="Q10" s="193" t="s">
        <v>298</v>
      </c>
      <c r="R10" s="193" t="s">
        <v>557</v>
      </c>
      <c r="S10" s="194" t="s">
        <v>558</v>
      </c>
      <c r="T10" s="193" t="s">
        <v>296</v>
      </c>
      <c r="U10" s="193" t="s">
        <v>297</v>
      </c>
      <c r="V10" s="193"/>
      <c r="W10" s="193" t="s">
        <v>298</v>
      </c>
      <c r="X10" s="201"/>
      <c r="Y10" s="193"/>
      <c r="Z10" s="189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</row>
    <row r="11" spans="1:584" s="44" customFormat="1" ht="49.5" customHeight="1" x14ac:dyDescent="0.2">
      <c r="A11" s="192"/>
      <c r="B11" s="192"/>
      <c r="C11" s="192"/>
      <c r="D11" s="192"/>
      <c r="E11" s="193"/>
      <c r="F11" s="150" t="s">
        <v>299</v>
      </c>
      <c r="G11" s="150" t="s">
        <v>300</v>
      </c>
      <c r="H11" s="206"/>
      <c r="I11" s="151" t="s">
        <v>299</v>
      </c>
      <c r="J11" s="151" t="s">
        <v>300</v>
      </c>
      <c r="K11" s="202"/>
      <c r="L11" s="193"/>
      <c r="M11" s="195"/>
      <c r="N11" s="193"/>
      <c r="O11" s="150" t="s">
        <v>299</v>
      </c>
      <c r="P11" s="150" t="s">
        <v>300</v>
      </c>
      <c r="Q11" s="193"/>
      <c r="R11" s="193"/>
      <c r="S11" s="195"/>
      <c r="T11" s="193"/>
      <c r="U11" s="150" t="s">
        <v>299</v>
      </c>
      <c r="V11" s="150" t="s">
        <v>300</v>
      </c>
      <c r="W11" s="193"/>
      <c r="X11" s="202"/>
      <c r="Y11" s="193"/>
      <c r="Z11" s="189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</row>
    <row r="12" spans="1:584" s="64" customFormat="1" ht="19.5" customHeight="1" x14ac:dyDescent="0.25">
      <c r="A12" s="65" t="s">
        <v>201</v>
      </c>
      <c r="B12" s="65"/>
      <c r="C12" s="65"/>
      <c r="D12" s="66" t="s">
        <v>57</v>
      </c>
      <c r="E12" s="113">
        <f>E13</f>
        <v>167603522</v>
      </c>
      <c r="F12" s="113">
        <f t="shared" ref="F12:Y12" si="0">F13</f>
        <v>84332964</v>
      </c>
      <c r="G12" s="113">
        <f t="shared" si="0"/>
        <v>4847025</v>
      </c>
      <c r="H12" s="113">
        <f>H13</f>
        <v>162384220.18000004</v>
      </c>
      <c r="I12" s="113">
        <f t="shared" si="0"/>
        <v>84325648.050000012</v>
      </c>
      <c r="J12" s="113">
        <f t="shared" si="0"/>
        <v>4162630.9399999995</v>
      </c>
      <c r="K12" s="135">
        <f>H12/E12*100</f>
        <v>96.885923542823903</v>
      </c>
      <c r="L12" s="113">
        <f t="shared" si="0"/>
        <v>40422772.159999996</v>
      </c>
      <c r="M12" s="113">
        <f t="shared" si="0"/>
        <v>39771582</v>
      </c>
      <c r="N12" s="113">
        <f t="shared" si="0"/>
        <v>651190.16</v>
      </c>
      <c r="O12" s="113">
        <f t="shared" si="0"/>
        <v>158895</v>
      </c>
      <c r="P12" s="113">
        <f t="shared" si="0"/>
        <v>56455</v>
      </c>
      <c r="Q12" s="113">
        <f t="shared" si="0"/>
        <v>39771582</v>
      </c>
      <c r="R12" s="113">
        <f t="shared" si="0"/>
        <v>35789356.140000001</v>
      </c>
      <c r="S12" s="113">
        <f t="shared" si="0"/>
        <v>35131881.140000001</v>
      </c>
      <c r="T12" s="113">
        <f t="shared" si="0"/>
        <v>647675</v>
      </c>
      <c r="U12" s="113">
        <f t="shared" si="0"/>
        <v>28050.69</v>
      </c>
      <c r="V12" s="113">
        <f t="shared" si="0"/>
        <v>18337.689999999999</v>
      </c>
      <c r="W12" s="113">
        <f t="shared" si="0"/>
        <v>35141681.140000001</v>
      </c>
      <c r="X12" s="149">
        <f>R12/L12*100</f>
        <v>88.537609440391236</v>
      </c>
      <c r="Y12" s="113">
        <f t="shared" si="0"/>
        <v>198173576.31999999</v>
      </c>
      <c r="Z12" s="18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  <c r="IW12" s="79"/>
      <c r="IX12" s="79"/>
      <c r="IY12" s="79"/>
      <c r="IZ12" s="79"/>
      <c r="JA12" s="79"/>
      <c r="JB12" s="79"/>
      <c r="JC12" s="79"/>
      <c r="JD12" s="79"/>
      <c r="JE12" s="79"/>
      <c r="JF12" s="79"/>
      <c r="JG12" s="79"/>
      <c r="JH12" s="79"/>
      <c r="JI12" s="79"/>
      <c r="JJ12" s="79"/>
      <c r="JK12" s="79"/>
      <c r="JL12" s="79"/>
      <c r="JM12" s="79"/>
      <c r="JN12" s="79"/>
      <c r="JO12" s="79"/>
      <c r="JP12" s="79"/>
      <c r="JQ12" s="79"/>
      <c r="JR12" s="79"/>
      <c r="JS12" s="79"/>
      <c r="JT12" s="79"/>
      <c r="JU12" s="79"/>
      <c r="JV12" s="79"/>
      <c r="JW12" s="79"/>
      <c r="JX12" s="79"/>
      <c r="JY12" s="79"/>
      <c r="JZ12" s="79"/>
      <c r="KA12" s="79"/>
      <c r="KB12" s="79"/>
      <c r="KC12" s="79"/>
      <c r="KD12" s="79"/>
      <c r="KE12" s="79"/>
      <c r="KF12" s="79"/>
      <c r="KG12" s="79"/>
      <c r="KH12" s="79"/>
      <c r="KI12" s="79"/>
      <c r="KJ12" s="79"/>
      <c r="KK12" s="79"/>
      <c r="KL12" s="79"/>
      <c r="KM12" s="79"/>
      <c r="KN12" s="79"/>
      <c r="KO12" s="79"/>
      <c r="KP12" s="79"/>
      <c r="KQ12" s="79"/>
      <c r="KR12" s="79"/>
      <c r="KS12" s="79"/>
      <c r="KT12" s="79"/>
      <c r="KU12" s="79"/>
      <c r="KV12" s="79"/>
      <c r="KW12" s="79"/>
      <c r="KX12" s="79"/>
      <c r="KY12" s="79"/>
      <c r="KZ12" s="79"/>
      <c r="LA12" s="79"/>
      <c r="LB12" s="79"/>
      <c r="LC12" s="79"/>
      <c r="LD12" s="79"/>
      <c r="LE12" s="79"/>
      <c r="LF12" s="79"/>
      <c r="LG12" s="79"/>
      <c r="LH12" s="79"/>
      <c r="LI12" s="79"/>
      <c r="LJ12" s="79"/>
      <c r="LK12" s="79"/>
      <c r="LL12" s="79"/>
      <c r="LM12" s="79"/>
      <c r="LN12" s="79"/>
      <c r="LO12" s="79"/>
      <c r="LP12" s="79"/>
      <c r="LQ12" s="79"/>
      <c r="LR12" s="79"/>
      <c r="LS12" s="79"/>
      <c r="LT12" s="79"/>
      <c r="LU12" s="79"/>
      <c r="LV12" s="79"/>
      <c r="LW12" s="79"/>
      <c r="LX12" s="79"/>
      <c r="LY12" s="79"/>
      <c r="LZ12" s="79"/>
      <c r="MA12" s="79"/>
      <c r="MB12" s="79"/>
      <c r="MC12" s="79"/>
      <c r="MD12" s="79"/>
      <c r="ME12" s="79"/>
      <c r="MF12" s="79"/>
      <c r="MG12" s="79"/>
      <c r="MH12" s="79"/>
      <c r="MI12" s="79"/>
      <c r="MJ12" s="79"/>
      <c r="MK12" s="79"/>
      <c r="ML12" s="79"/>
      <c r="MM12" s="79"/>
      <c r="MN12" s="79"/>
      <c r="MO12" s="79"/>
      <c r="MP12" s="79"/>
      <c r="MQ12" s="79"/>
      <c r="MR12" s="79"/>
      <c r="MS12" s="79"/>
      <c r="MT12" s="79"/>
      <c r="MU12" s="79"/>
      <c r="MV12" s="79"/>
      <c r="MW12" s="79"/>
      <c r="MX12" s="79"/>
      <c r="MY12" s="79"/>
      <c r="MZ12" s="79"/>
      <c r="NA12" s="79"/>
      <c r="NB12" s="79"/>
      <c r="NC12" s="79"/>
      <c r="ND12" s="79"/>
      <c r="NE12" s="79"/>
      <c r="NF12" s="79"/>
      <c r="NG12" s="79"/>
      <c r="NH12" s="79"/>
      <c r="NI12" s="79"/>
      <c r="NJ12" s="79"/>
      <c r="NK12" s="79"/>
      <c r="NL12" s="79"/>
      <c r="NM12" s="79"/>
      <c r="NN12" s="79"/>
      <c r="NO12" s="79"/>
      <c r="NP12" s="79"/>
      <c r="NQ12" s="79"/>
      <c r="NR12" s="79"/>
      <c r="NS12" s="79"/>
      <c r="NT12" s="79"/>
      <c r="NU12" s="79"/>
      <c r="NV12" s="79"/>
      <c r="NW12" s="79"/>
      <c r="NX12" s="79"/>
      <c r="NY12" s="79"/>
      <c r="NZ12" s="79"/>
      <c r="OA12" s="79"/>
      <c r="OB12" s="79"/>
      <c r="OC12" s="79"/>
      <c r="OD12" s="79"/>
      <c r="OE12" s="79"/>
      <c r="OF12" s="79"/>
      <c r="OG12" s="79"/>
      <c r="OH12" s="79"/>
      <c r="OI12" s="79"/>
      <c r="OJ12" s="79"/>
      <c r="OK12" s="79"/>
      <c r="OL12" s="79"/>
      <c r="OM12" s="79"/>
      <c r="ON12" s="79"/>
      <c r="OO12" s="79"/>
      <c r="OP12" s="79"/>
      <c r="OQ12" s="79"/>
      <c r="OR12" s="79"/>
      <c r="OS12" s="79"/>
      <c r="OT12" s="79"/>
      <c r="OU12" s="79"/>
      <c r="OV12" s="79"/>
      <c r="OW12" s="79"/>
      <c r="OX12" s="79"/>
      <c r="OY12" s="79"/>
      <c r="OZ12" s="79"/>
      <c r="PA12" s="79"/>
      <c r="PB12" s="79"/>
      <c r="PC12" s="79"/>
      <c r="PD12" s="79"/>
      <c r="PE12" s="79"/>
      <c r="PF12" s="79"/>
      <c r="PG12" s="79"/>
      <c r="PH12" s="79"/>
      <c r="PI12" s="79"/>
      <c r="PJ12" s="79"/>
      <c r="PK12" s="79"/>
      <c r="PL12" s="79"/>
      <c r="PM12" s="79"/>
      <c r="PN12" s="79"/>
      <c r="PO12" s="79"/>
      <c r="PP12" s="79"/>
      <c r="PQ12" s="79"/>
      <c r="PR12" s="79"/>
      <c r="PS12" s="79"/>
      <c r="PT12" s="79"/>
      <c r="PU12" s="79"/>
      <c r="PV12" s="79"/>
      <c r="PW12" s="79"/>
      <c r="PX12" s="79"/>
      <c r="PY12" s="79"/>
      <c r="PZ12" s="79"/>
      <c r="QA12" s="79"/>
      <c r="QB12" s="79"/>
      <c r="QC12" s="79"/>
      <c r="QD12" s="79"/>
      <c r="QE12" s="79"/>
      <c r="QF12" s="79"/>
      <c r="QG12" s="79"/>
      <c r="QH12" s="79"/>
      <c r="QI12" s="79"/>
      <c r="QJ12" s="79"/>
      <c r="QK12" s="79"/>
      <c r="QL12" s="79"/>
      <c r="QM12" s="79"/>
      <c r="QN12" s="79"/>
      <c r="QO12" s="79"/>
      <c r="QP12" s="79"/>
      <c r="QQ12" s="79"/>
      <c r="QR12" s="79"/>
      <c r="QS12" s="79"/>
      <c r="QT12" s="79"/>
      <c r="QU12" s="79"/>
      <c r="QV12" s="79"/>
      <c r="QW12" s="79"/>
      <c r="QX12" s="79"/>
      <c r="QY12" s="79"/>
      <c r="QZ12" s="79"/>
      <c r="RA12" s="79"/>
      <c r="RB12" s="79"/>
      <c r="RC12" s="79"/>
      <c r="RD12" s="79"/>
      <c r="RE12" s="79"/>
      <c r="RF12" s="79"/>
      <c r="RG12" s="79"/>
      <c r="RH12" s="79"/>
      <c r="RI12" s="79"/>
      <c r="RJ12" s="79"/>
      <c r="RK12" s="79"/>
      <c r="RL12" s="79"/>
      <c r="RM12" s="79"/>
      <c r="RN12" s="79"/>
      <c r="RO12" s="79"/>
      <c r="RP12" s="79"/>
      <c r="RQ12" s="79"/>
      <c r="RR12" s="79"/>
      <c r="RS12" s="79"/>
      <c r="RT12" s="79"/>
      <c r="RU12" s="79"/>
      <c r="RV12" s="79"/>
      <c r="RW12" s="79"/>
      <c r="RX12" s="79"/>
      <c r="RY12" s="79"/>
      <c r="RZ12" s="79"/>
      <c r="SA12" s="79"/>
      <c r="SB12" s="79"/>
      <c r="SC12" s="79"/>
      <c r="SD12" s="79"/>
      <c r="SE12" s="79"/>
      <c r="SF12" s="79"/>
      <c r="SG12" s="79"/>
      <c r="SH12" s="79"/>
      <c r="SI12" s="79"/>
      <c r="SJ12" s="79"/>
      <c r="SK12" s="79"/>
      <c r="SL12" s="79"/>
      <c r="SM12" s="79"/>
      <c r="SN12" s="79"/>
      <c r="SO12" s="79"/>
      <c r="SP12" s="79"/>
      <c r="SQ12" s="79"/>
      <c r="SR12" s="79"/>
      <c r="SS12" s="79"/>
      <c r="ST12" s="79"/>
      <c r="SU12" s="79"/>
      <c r="SV12" s="79"/>
      <c r="SW12" s="79"/>
      <c r="SX12" s="79"/>
      <c r="SY12" s="79"/>
      <c r="SZ12" s="79"/>
      <c r="TA12" s="79"/>
      <c r="TB12" s="79"/>
      <c r="TC12" s="79"/>
      <c r="TD12" s="79"/>
      <c r="TE12" s="79"/>
      <c r="TF12" s="79"/>
      <c r="TG12" s="79"/>
      <c r="TH12" s="79"/>
      <c r="TI12" s="79"/>
      <c r="TJ12" s="79"/>
      <c r="TK12" s="79"/>
      <c r="TL12" s="79"/>
      <c r="TM12" s="79"/>
      <c r="TN12" s="79"/>
      <c r="TO12" s="79"/>
      <c r="TP12" s="79"/>
      <c r="TQ12" s="79"/>
      <c r="TR12" s="79"/>
      <c r="TS12" s="79"/>
      <c r="TT12" s="79"/>
      <c r="TU12" s="79"/>
      <c r="TV12" s="79"/>
      <c r="TW12" s="79"/>
      <c r="TX12" s="79"/>
      <c r="TY12" s="79"/>
      <c r="TZ12" s="79"/>
      <c r="UA12" s="79"/>
      <c r="UB12" s="79"/>
      <c r="UC12" s="79"/>
      <c r="UD12" s="79"/>
      <c r="UE12" s="79"/>
      <c r="UF12" s="79"/>
      <c r="UG12" s="79"/>
      <c r="UH12" s="79"/>
      <c r="UI12" s="79"/>
      <c r="UJ12" s="79"/>
      <c r="UK12" s="79"/>
      <c r="UL12" s="79"/>
      <c r="UM12" s="79"/>
      <c r="UN12" s="79"/>
      <c r="UO12" s="79"/>
      <c r="UP12" s="79"/>
      <c r="UQ12" s="79"/>
      <c r="UR12" s="79"/>
      <c r="US12" s="79"/>
      <c r="UT12" s="79"/>
      <c r="UU12" s="79"/>
      <c r="UV12" s="79"/>
      <c r="UW12" s="79"/>
      <c r="UX12" s="79"/>
      <c r="UY12" s="79"/>
      <c r="UZ12" s="79"/>
      <c r="VA12" s="79"/>
      <c r="VB12" s="79"/>
      <c r="VC12" s="79"/>
      <c r="VD12" s="79"/>
      <c r="VE12" s="79"/>
      <c r="VF12" s="79"/>
      <c r="VG12" s="79"/>
      <c r="VH12" s="79"/>
      <c r="VI12" s="79"/>
      <c r="VJ12" s="79"/>
      <c r="VK12" s="79"/>
      <c r="VL12" s="79"/>
    </row>
    <row r="13" spans="1:584" s="81" customFormat="1" ht="19.5" customHeight="1" x14ac:dyDescent="0.25">
      <c r="A13" s="67" t="s">
        <v>202</v>
      </c>
      <c r="B13" s="67"/>
      <c r="C13" s="67"/>
      <c r="D13" s="68" t="s">
        <v>57</v>
      </c>
      <c r="E13" s="114">
        <f>E14+E15+E16+E17+E18+E19+E20+E21+E22+E23+E24+E25+E26+E27+E28+E29+E30+E31+E32+E33+E34+E35+E36+E37+E38+E39+E40+E41+E42+E43+E44+E45+E46+E47+E48+E49</f>
        <v>167603522</v>
      </c>
      <c r="F13" s="114">
        <f t="shared" ref="F13:Y13" si="1">F14+F15+F16+F17+F18+F19+F20+F21+F22+F23+F24+F25+F26+F27+F28+F29+F30+F31+F32+F33+F34+F35+F36+F37+F38+F39+F40+F41+F42+F43+F44+F45+F46+F47+F48+F49</f>
        <v>84332964</v>
      </c>
      <c r="G13" s="114">
        <f t="shared" si="1"/>
        <v>4847025</v>
      </c>
      <c r="H13" s="114">
        <f>H14+H15+H16+H17+H18+H19+H20+H21+H22+H23+H24+H25+H26+H27+H28+H29+H30+H31+H32+H33+H34+H35+H36+H37+H38+H39+H40+H41+H42+H43+H44+H45+H46+H47+H48+H49</f>
        <v>162384220.18000004</v>
      </c>
      <c r="I13" s="114">
        <f t="shared" ref="I13:J13" si="2">I14+I15+I16+I17+I18+I19+I20+I21+I22+I23+I24+I25+I26+I27+I28+I29+I30+I31+I32+I33+I34+I35+I36+I37+I38+I39+I40+I41+I42+I43+I44+I45+I46+I47+I48+I49</f>
        <v>84325648.050000012</v>
      </c>
      <c r="J13" s="114">
        <f t="shared" si="2"/>
        <v>4162630.9399999995</v>
      </c>
      <c r="K13" s="135">
        <f t="shared" ref="K13:K74" si="3">H13/E13*100</f>
        <v>96.885923542823903</v>
      </c>
      <c r="L13" s="114">
        <f t="shared" si="1"/>
        <v>40422772.159999996</v>
      </c>
      <c r="M13" s="114">
        <f t="shared" si="1"/>
        <v>39771582</v>
      </c>
      <c r="N13" s="114">
        <f t="shared" si="1"/>
        <v>651190.16</v>
      </c>
      <c r="O13" s="114">
        <f t="shared" si="1"/>
        <v>158895</v>
      </c>
      <c r="P13" s="114">
        <f t="shared" si="1"/>
        <v>56455</v>
      </c>
      <c r="Q13" s="114">
        <f t="shared" si="1"/>
        <v>39771582</v>
      </c>
      <c r="R13" s="114">
        <f t="shared" ref="R13:W13" si="4">R14+R15+R16+R17+R18+R19+R20+R21+R22+R23+R24+R25+R26+R27+R28+R29+R30+R31+R32+R33+R34+R35+R36+R37+R38+R39+R40+R41+R42+R43+R44+R45+R46+R47+R48+R49</f>
        <v>35789356.140000001</v>
      </c>
      <c r="S13" s="114">
        <f t="shared" si="4"/>
        <v>35131881.140000001</v>
      </c>
      <c r="T13" s="114">
        <f t="shared" si="4"/>
        <v>647675</v>
      </c>
      <c r="U13" s="114">
        <f t="shared" si="4"/>
        <v>28050.69</v>
      </c>
      <c r="V13" s="114">
        <f t="shared" si="4"/>
        <v>18337.689999999999</v>
      </c>
      <c r="W13" s="114">
        <f t="shared" si="4"/>
        <v>35141681.140000001</v>
      </c>
      <c r="X13" s="165">
        <f t="shared" ref="X13:X76" si="5">R13/L13*100</f>
        <v>88.537609440391236</v>
      </c>
      <c r="Y13" s="114">
        <f t="shared" si="1"/>
        <v>198173576.31999999</v>
      </c>
      <c r="Z13" s="189"/>
      <c r="AA13" s="80"/>
      <c r="AB13" s="80"/>
      <c r="AC13" s="80"/>
      <c r="AD13" s="80"/>
      <c r="AE13" s="79"/>
      <c r="AF13" s="79"/>
      <c r="AG13" s="79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  <c r="IW13" s="80"/>
      <c r="IX13" s="80"/>
      <c r="IY13" s="80"/>
      <c r="IZ13" s="80"/>
      <c r="JA13" s="80"/>
      <c r="JB13" s="80"/>
      <c r="JC13" s="80"/>
      <c r="JD13" s="80"/>
      <c r="JE13" s="80"/>
      <c r="JF13" s="80"/>
      <c r="JG13" s="80"/>
      <c r="JH13" s="80"/>
      <c r="JI13" s="80"/>
      <c r="JJ13" s="80"/>
      <c r="JK13" s="80"/>
      <c r="JL13" s="80"/>
      <c r="JM13" s="80"/>
      <c r="JN13" s="80"/>
      <c r="JO13" s="80"/>
      <c r="JP13" s="80"/>
      <c r="JQ13" s="80"/>
      <c r="JR13" s="80"/>
      <c r="JS13" s="80"/>
      <c r="JT13" s="80"/>
      <c r="JU13" s="80"/>
      <c r="JV13" s="80"/>
      <c r="JW13" s="80"/>
      <c r="JX13" s="80"/>
      <c r="JY13" s="80"/>
      <c r="JZ13" s="80"/>
      <c r="KA13" s="80"/>
      <c r="KB13" s="80"/>
      <c r="KC13" s="80"/>
      <c r="KD13" s="80"/>
      <c r="KE13" s="80"/>
      <c r="KF13" s="80"/>
      <c r="KG13" s="80"/>
      <c r="KH13" s="80"/>
      <c r="KI13" s="80"/>
      <c r="KJ13" s="80"/>
      <c r="KK13" s="80"/>
      <c r="KL13" s="80"/>
      <c r="KM13" s="80"/>
      <c r="KN13" s="80"/>
      <c r="KO13" s="80"/>
      <c r="KP13" s="80"/>
      <c r="KQ13" s="80"/>
      <c r="KR13" s="80"/>
      <c r="KS13" s="80"/>
      <c r="KT13" s="80"/>
      <c r="KU13" s="80"/>
      <c r="KV13" s="80"/>
      <c r="KW13" s="80"/>
      <c r="KX13" s="80"/>
      <c r="KY13" s="80"/>
      <c r="KZ13" s="80"/>
      <c r="LA13" s="80"/>
      <c r="LB13" s="80"/>
      <c r="LC13" s="80"/>
      <c r="LD13" s="80"/>
      <c r="LE13" s="80"/>
      <c r="LF13" s="80"/>
      <c r="LG13" s="80"/>
      <c r="LH13" s="80"/>
      <c r="LI13" s="80"/>
      <c r="LJ13" s="80"/>
      <c r="LK13" s="80"/>
      <c r="LL13" s="80"/>
      <c r="LM13" s="80"/>
      <c r="LN13" s="80"/>
      <c r="LO13" s="80"/>
      <c r="LP13" s="80"/>
      <c r="LQ13" s="80"/>
      <c r="LR13" s="80"/>
      <c r="LS13" s="80"/>
      <c r="LT13" s="80"/>
      <c r="LU13" s="80"/>
      <c r="LV13" s="80"/>
      <c r="LW13" s="80"/>
      <c r="LX13" s="80"/>
      <c r="LY13" s="80"/>
      <c r="LZ13" s="80"/>
      <c r="MA13" s="80"/>
      <c r="MB13" s="80"/>
      <c r="MC13" s="80"/>
      <c r="MD13" s="80"/>
      <c r="ME13" s="80"/>
      <c r="MF13" s="80"/>
      <c r="MG13" s="80"/>
      <c r="MH13" s="80"/>
      <c r="MI13" s="80"/>
      <c r="MJ13" s="80"/>
      <c r="MK13" s="80"/>
      <c r="ML13" s="80"/>
      <c r="MM13" s="80"/>
      <c r="MN13" s="80"/>
      <c r="MO13" s="80"/>
      <c r="MP13" s="80"/>
      <c r="MQ13" s="80"/>
      <c r="MR13" s="80"/>
      <c r="MS13" s="80"/>
      <c r="MT13" s="80"/>
      <c r="MU13" s="80"/>
      <c r="MV13" s="80"/>
      <c r="MW13" s="80"/>
      <c r="MX13" s="80"/>
      <c r="MY13" s="80"/>
      <c r="MZ13" s="80"/>
      <c r="NA13" s="80"/>
      <c r="NB13" s="80"/>
      <c r="NC13" s="80"/>
      <c r="ND13" s="80"/>
      <c r="NE13" s="80"/>
      <c r="NF13" s="80"/>
      <c r="NG13" s="80"/>
      <c r="NH13" s="80"/>
      <c r="NI13" s="80"/>
      <c r="NJ13" s="80"/>
      <c r="NK13" s="80"/>
      <c r="NL13" s="80"/>
      <c r="NM13" s="80"/>
      <c r="NN13" s="80"/>
      <c r="NO13" s="80"/>
      <c r="NP13" s="80"/>
      <c r="NQ13" s="80"/>
      <c r="NR13" s="80"/>
      <c r="NS13" s="80"/>
      <c r="NT13" s="80"/>
      <c r="NU13" s="80"/>
      <c r="NV13" s="80"/>
      <c r="NW13" s="80"/>
      <c r="NX13" s="80"/>
      <c r="NY13" s="80"/>
      <c r="NZ13" s="80"/>
      <c r="OA13" s="80"/>
      <c r="OB13" s="80"/>
      <c r="OC13" s="80"/>
      <c r="OD13" s="80"/>
      <c r="OE13" s="80"/>
      <c r="OF13" s="80"/>
      <c r="OG13" s="80"/>
      <c r="OH13" s="80"/>
      <c r="OI13" s="80"/>
      <c r="OJ13" s="80"/>
      <c r="OK13" s="80"/>
      <c r="OL13" s="80"/>
      <c r="OM13" s="80"/>
      <c r="ON13" s="80"/>
      <c r="OO13" s="80"/>
      <c r="OP13" s="80"/>
      <c r="OQ13" s="80"/>
      <c r="OR13" s="80"/>
      <c r="OS13" s="80"/>
      <c r="OT13" s="80"/>
      <c r="OU13" s="80"/>
      <c r="OV13" s="80"/>
      <c r="OW13" s="80"/>
      <c r="OX13" s="80"/>
      <c r="OY13" s="80"/>
      <c r="OZ13" s="80"/>
      <c r="PA13" s="80"/>
      <c r="PB13" s="80"/>
      <c r="PC13" s="80"/>
      <c r="PD13" s="80"/>
      <c r="PE13" s="80"/>
      <c r="PF13" s="80"/>
      <c r="PG13" s="80"/>
      <c r="PH13" s="80"/>
      <c r="PI13" s="80"/>
      <c r="PJ13" s="80"/>
      <c r="PK13" s="80"/>
      <c r="PL13" s="80"/>
      <c r="PM13" s="80"/>
      <c r="PN13" s="80"/>
      <c r="PO13" s="80"/>
      <c r="PP13" s="80"/>
      <c r="PQ13" s="80"/>
      <c r="PR13" s="80"/>
      <c r="PS13" s="80"/>
      <c r="PT13" s="80"/>
      <c r="PU13" s="80"/>
      <c r="PV13" s="80"/>
      <c r="PW13" s="80"/>
      <c r="PX13" s="80"/>
      <c r="PY13" s="80"/>
      <c r="PZ13" s="80"/>
      <c r="QA13" s="80"/>
      <c r="QB13" s="80"/>
      <c r="QC13" s="80"/>
      <c r="QD13" s="80"/>
      <c r="QE13" s="80"/>
      <c r="QF13" s="80"/>
      <c r="QG13" s="80"/>
      <c r="QH13" s="80"/>
      <c r="QI13" s="80"/>
      <c r="QJ13" s="80"/>
      <c r="QK13" s="80"/>
      <c r="QL13" s="80"/>
      <c r="QM13" s="80"/>
      <c r="QN13" s="80"/>
      <c r="QO13" s="80"/>
      <c r="QP13" s="80"/>
      <c r="QQ13" s="80"/>
      <c r="QR13" s="80"/>
      <c r="QS13" s="80"/>
      <c r="QT13" s="80"/>
      <c r="QU13" s="80"/>
      <c r="QV13" s="80"/>
      <c r="QW13" s="80"/>
      <c r="QX13" s="80"/>
      <c r="QY13" s="80"/>
      <c r="QZ13" s="80"/>
      <c r="RA13" s="80"/>
      <c r="RB13" s="80"/>
      <c r="RC13" s="80"/>
      <c r="RD13" s="80"/>
      <c r="RE13" s="80"/>
      <c r="RF13" s="80"/>
      <c r="RG13" s="80"/>
      <c r="RH13" s="80"/>
      <c r="RI13" s="80"/>
      <c r="RJ13" s="80"/>
      <c r="RK13" s="80"/>
      <c r="RL13" s="80"/>
      <c r="RM13" s="80"/>
      <c r="RN13" s="80"/>
      <c r="RO13" s="80"/>
      <c r="RP13" s="80"/>
      <c r="RQ13" s="80"/>
      <c r="RR13" s="80"/>
      <c r="RS13" s="80"/>
      <c r="RT13" s="80"/>
      <c r="RU13" s="80"/>
      <c r="RV13" s="80"/>
      <c r="RW13" s="80"/>
      <c r="RX13" s="80"/>
      <c r="RY13" s="80"/>
      <c r="RZ13" s="80"/>
      <c r="SA13" s="80"/>
      <c r="SB13" s="80"/>
      <c r="SC13" s="80"/>
      <c r="SD13" s="80"/>
      <c r="SE13" s="80"/>
      <c r="SF13" s="80"/>
      <c r="SG13" s="80"/>
      <c r="SH13" s="80"/>
      <c r="SI13" s="80"/>
      <c r="SJ13" s="80"/>
      <c r="SK13" s="80"/>
      <c r="SL13" s="80"/>
      <c r="SM13" s="80"/>
      <c r="SN13" s="80"/>
      <c r="SO13" s="80"/>
      <c r="SP13" s="80"/>
      <c r="SQ13" s="80"/>
      <c r="SR13" s="80"/>
      <c r="SS13" s="80"/>
      <c r="ST13" s="80"/>
      <c r="SU13" s="80"/>
      <c r="SV13" s="80"/>
      <c r="SW13" s="80"/>
      <c r="SX13" s="80"/>
      <c r="SY13" s="80"/>
      <c r="SZ13" s="80"/>
      <c r="TA13" s="80"/>
      <c r="TB13" s="80"/>
      <c r="TC13" s="80"/>
      <c r="TD13" s="80"/>
      <c r="TE13" s="80"/>
      <c r="TF13" s="80"/>
      <c r="TG13" s="80"/>
      <c r="TH13" s="80"/>
      <c r="TI13" s="80"/>
      <c r="TJ13" s="80"/>
      <c r="TK13" s="80"/>
      <c r="TL13" s="80"/>
      <c r="TM13" s="80"/>
      <c r="TN13" s="80"/>
      <c r="TO13" s="80"/>
      <c r="TP13" s="80"/>
      <c r="TQ13" s="80"/>
      <c r="TR13" s="80"/>
      <c r="TS13" s="80"/>
      <c r="TT13" s="80"/>
      <c r="TU13" s="80"/>
      <c r="TV13" s="80"/>
      <c r="TW13" s="80"/>
      <c r="TX13" s="80"/>
      <c r="TY13" s="80"/>
      <c r="TZ13" s="80"/>
      <c r="UA13" s="80"/>
      <c r="UB13" s="80"/>
      <c r="UC13" s="80"/>
      <c r="UD13" s="80"/>
      <c r="UE13" s="80"/>
      <c r="UF13" s="80"/>
      <c r="UG13" s="80"/>
      <c r="UH13" s="80"/>
      <c r="UI13" s="80"/>
      <c r="UJ13" s="80"/>
      <c r="UK13" s="80"/>
      <c r="UL13" s="80"/>
      <c r="UM13" s="80"/>
      <c r="UN13" s="80"/>
      <c r="UO13" s="80"/>
      <c r="UP13" s="80"/>
      <c r="UQ13" s="80"/>
      <c r="UR13" s="80"/>
      <c r="US13" s="80"/>
      <c r="UT13" s="80"/>
      <c r="UU13" s="80"/>
      <c r="UV13" s="80"/>
      <c r="UW13" s="80"/>
      <c r="UX13" s="80"/>
      <c r="UY13" s="80"/>
      <c r="UZ13" s="80"/>
      <c r="VA13" s="80"/>
      <c r="VB13" s="80"/>
      <c r="VC13" s="80"/>
      <c r="VD13" s="80"/>
      <c r="VE13" s="80"/>
      <c r="VF13" s="80"/>
      <c r="VG13" s="80"/>
      <c r="VH13" s="80"/>
      <c r="VI13" s="80"/>
      <c r="VJ13" s="80"/>
      <c r="VK13" s="80"/>
      <c r="VL13" s="80"/>
    </row>
    <row r="14" spans="1:584" s="47" customFormat="1" ht="40.5" customHeight="1" x14ac:dyDescent="0.25">
      <c r="A14" s="45" t="s">
        <v>203</v>
      </c>
      <c r="B14" s="91" t="str">
        <f>'дод 3'!A13</f>
        <v>0160</v>
      </c>
      <c r="C14" s="91" t="str">
        <f>'дод 3'!B13</f>
        <v>0111</v>
      </c>
      <c r="D14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4" s="115">
        <v>93916595</v>
      </c>
      <c r="F14" s="115">
        <f>67900413+181068+562486+39113-150000+150000</f>
        <v>68683080</v>
      </c>
      <c r="G14" s="115">
        <f>2571728+35280</f>
        <v>2607008</v>
      </c>
      <c r="H14" s="115">
        <v>93034040.109999999</v>
      </c>
      <c r="I14" s="115">
        <v>68683080</v>
      </c>
      <c r="J14" s="115">
        <v>2151308.44</v>
      </c>
      <c r="K14" s="164">
        <f t="shared" si="3"/>
        <v>99.060278015828828</v>
      </c>
      <c r="L14" s="115">
        <f t="shared" ref="L14:L65" si="6">N14+Q14</f>
        <v>2607858</v>
      </c>
      <c r="M14" s="115">
        <f>2000000+12752+35952+272704+136450+150000</f>
        <v>2607858</v>
      </c>
      <c r="N14" s="115"/>
      <c r="O14" s="115"/>
      <c r="P14" s="115"/>
      <c r="Q14" s="115">
        <f>2000000+12752+35952+272704+136450+150000</f>
        <v>2607858</v>
      </c>
      <c r="R14" s="115">
        <f t="shared" ref="R14:R77" si="7">T14+W14</f>
        <v>2252102.4899999998</v>
      </c>
      <c r="S14" s="115">
        <v>2184807.48</v>
      </c>
      <c r="T14" s="115">
        <v>67295.009999999995</v>
      </c>
      <c r="U14" s="115"/>
      <c r="V14" s="115"/>
      <c r="W14" s="115">
        <v>2184807.48</v>
      </c>
      <c r="X14" s="166">
        <f t="shared" si="5"/>
        <v>86.358325108192233</v>
      </c>
      <c r="Y14" s="115">
        <f>H14+R14</f>
        <v>95286142.599999994</v>
      </c>
      <c r="Z14" s="189"/>
      <c r="AA14" s="53"/>
      <c r="AB14" s="53"/>
      <c r="AC14" s="53"/>
      <c r="AD14" s="53"/>
      <c r="AE14" s="79"/>
      <c r="AF14" s="79"/>
      <c r="AG14" s="79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</row>
    <row r="15" spans="1:584" s="47" customFormat="1" ht="21" customHeight="1" x14ac:dyDescent="0.25">
      <c r="A15" s="45" t="s">
        <v>313</v>
      </c>
      <c r="B15" s="91" t="str">
        <f>'дод 3'!A14</f>
        <v>0180</v>
      </c>
      <c r="C15" s="91" t="str">
        <f>'дод 3'!B14</f>
        <v>0133</v>
      </c>
      <c r="D15" s="48" t="str">
        <f>'дод 3'!C14</f>
        <v>Інша діяльність у сфері державного управління</v>
      </c>
      <c r="E15" s="115">
        <v>303300</v>
      </c>
      <c r="F15" s="115"/>
      <c r="G15" s="115"/>
      <c r="H15" s="115">
        <v>267825.06</v>
      </c>
      <c r="I15" s="115"/>
      <c r="J15" s="115"/>
      <c r="K15" s="164">
        <f t="shared" si="3"/>
        <v>88.303679525222549</v>
      </c>
      <c r="L15" s="115">
        <f t="shared" si="6"/>
        <v>0</v>
      </c>
      <c r="M15" s="115"/>
      <c r="N15" s="115"/>
      <c r="O15" s="115"/>
      <c r="P15" s="115"/>
      <c r="Q15" s="115"/>
      <c r="R15" s="115">
        <f t="shared" si="7"/>
        <v>0</v>
      </c>
      <c r="S15" s="115"/>
      <c r="T15" s="115"/>
      <c r="U15" s="115"/>
      <c r="V15" s="115"/>
      <c r="W15" s="115"/>
      <c r="X15" s="149"/>
      <c r="Y15" s="115">
        <f t="shared" ref="Y15:Y49" si="8">H15+R15</f>
        <v>267825.06</v>
      </c>
      <c r="Z15" s="189"/>
      <c r="AA15" s="53"/>
      <c r="AB15" s="53"/>
      <c r="AC15" s="53"/>
      <c r="AD15" s="53"/>
      <c r="AE15" s="79"/>
      <c r="AF15" s="79"/>
      <c r="AG15" s="79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</row>
    <row r="16" spans="1:584" s="47" customFormat="1" ht="37.5" customHeight="1" x14ac:dyDescent="0.25">
      <c r="A16" s="45" t="s">
        <v>329</v>
      </c>
      <c r="B16" s="91" t="str">
        <f>'дод 3'!A69</f>
        <v>3033</v>
      </c>
      <c r="C16" s="91" t="str">
        <f>'дод 3'!B69</f>
        <v>1070</v>
      </c>
      <c r="D16" s="48" t="str">
        <f>'дод 3'!C69</f>
        <v>Компенсаційні виплати на пільговий проїзд автомобільним транспортом окремим категоріям громадян</v>
      </c>
      <c r="E16" s="115">
        <v>116396</v>
      </c>
      <c r="F16" s="115"/>
      <c r="G16" s="115"/>
      <c r="H16" s="115">
        <v>116394.25</v>
      </c>
      <c r="I16" s="115"/>
      <c r="J16" s="115"/>
      <c r="K16" s="164">
        <f t="shared" si="3"/>
        <v>99.998496511907632</v>
      </c>
      <c r="L16" s="115">
        <f t="shared" si="6"/>
        <v>0</v>
      </c>
      <c r="M16" s="115"/>
      <c r="N16" s="115"/>
      <c r="O16" s="115"/>
      <c r="P16" s="115"/>
      <c r="Q16" s="115"/>
      <c r="R16" s="115">
        <f t="shared" si="7"/>
        <v>0</v>
      </c>
      <c r="S16" s="115"/>
      <c r="T16" s="115"/>
      <c r="U16" s="115"/>
      <c r="V16" s="115"/>
      <c r="W16" s="115"/>
      <c r="X16" s="149"/>
      <c r="Y16" s="115">
        <f t="shared" si="8"/>
        <v>116394.25</v>
      </c>
      <c r="Z16" s="189"/>
      <c r="AA16" s="53"/>
      <c r="AB16" s="53"/>
      <c r="AC16" s="53"/>
      <c r="AD16" s="53"/>
      <c r="AE16" s="79"/>
      <c r="AF16" s="79"/>
      <c r="AG16" s="79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</row>
    <row r="17" spans="1:584" s="47" customFormat="1" ht="35.25" customHeight="1" x14ac:dyDescent="0.25">
      <c r="A17" s="45" t="s">
        <v>204</v>
      </c>
      <c r="B17" s="91" t="str">
        <f>'дод 3'!A71</f>
        <v>3036</v>
      </c>
      <c r="C17" s="91" t="str">
        <f>'дод 3'!B71</f>
        <v>1070</v>
      </c>
      <c r="D17" s="48" t="str">
        <f>'дод 3'!C71</f>
        <v>Компенсаційні виплати на пільговий проїзд електротранспортом окремим категоріям громадян</v>
      </c>
      <c r="E17" s="115">
        <v>253530</v>
      </c>
      <c r="F17" s="115"/>
      <c r="G17" s="115"/>
      <c r="H17" s="115">
        <v>253529.5</v>
      </c>
      <c r="I17" s="115"/>
      <c r="J17" s="115"/>
      <c r="K17" s="164">
        <f t="shared" si="3"/>
        <v>99.999802784680313</v>
      </c>
      <c r="L17" s="115">
        <f t="shared" si="6"/>
        <v>0</v>
      </c>
      <c r="M17" s="115"/>
      <c r="N17" s="115"/>
      <c r="O17" s="115"/>
      <c r="P17" s="115"/>
      <c r="Q17" s="115"/>
      <c r="R17" s="115">
        <f t="shared" si="7"/>
        <v>0</v>
      </c>
      <c r="S17" s="115"/>
      <c r="T17" s="115"/>
      <c r="U17" s="115"/>
      <c r="V17" s="115"/>
      <c r="W17" s="115"/>
      <c r="X17" s="149"/>
      <c r="Y17" s="115">
        <f t="shared" si="8"/>
        <v>253529.5</v>
      </c>
      <c r="Z17" s="189"/>
      <c r="AA17" s="53"/>
      <c r="AB17" s="53"/>
      <c r="AC17" s="53"/>
      <c r="AD17" s="53"/>
      <c r="AE17" s="79"/>
      <c r="AF17" s="79"/>
      <c r="AG17" s="79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</row>
    <row r="18" spans="1:584" s="47" customFormat="1" ht="36" customHeight="1" x14ac:dyDescent="0.25">
      <c r="A18" s="45" t="s">
        <v>205</v>
      </c>
      <c r="B18" s="91" t="str">
        <f>'дод 3'!A107</f>
        <v>3121</v>
      </c>
      <c r="C18" s="91" t="str">
        <f>'дод 3'!B107</f>
        <v>1040</v>
      </c>
      <c r="D18" s="48" t="str">
        <f>'дод 3'!C107</f>
        <v>Утримання та забезпечення діяльності центрів соціальних служб для сім’ї, дітей та молоді</v>
      </c>
      <c r="E18" s="115">
        <v>2260500</v>
      </c>
      <c r="F18" s="115">
        <f>1724250-3300</f>
        <v>1720950</v>
      </c>
      <c r="G18" s="115">
        <f>53204+510</f>
        <v>53714</v>
      </c>
      <c r="H18" s="115">
        <v>2240972.23</v>
      </c>
      <c r="I18" s="115">
        <v>1720705.66</v>
      </c>
      <c r="J18" s="115">
        <v>42864.6</v>
      </c>
      <c r="K18" s="164">
        <f t="shared" si="3"/>
        <v>99.13613050210131</v>
      </c>
      <c r="L18" s="115">
        <f t="shared" si="6"/>
        <v>0</v>
      </c>
      <c r="M18" s="115"/>
      <c r="N18" s="115"/>
      <c r="O18" s="115"/>
      <c r="P18" s="115"/>
      <c r="Q18" s="115"/>
      <c r="R18" s="115">
        <f t="shared" si="7"/>
        <v>0</v>
      </c>
      <c r="S18" s="115"/>
      <c r="T18" s="115"/>
      <c r="U18" s="115"/>
      <c r="V18" s="115"/>
      <c r="W18" s="115"/>
      <c r="X18" s="149"/>
      <c r="Y18" s="115">
        <f t="shared" si="8"/>
        <v>2240972.23</v>
      </c>
      <c r="Z18" s="189"/>
      <c r="AA18" s="53"/>
      <c r="AB18" s="53"/>
      <c r="AC18" s="53"/>
      <c r="AD18" s="53"/>
      <c r="AE18" s="79"/>
      <c r="AF18" s="79"/>
      <c r="AG18" s="79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</row>
    <row r="19" spans="1:584" s="47" customFormat="1" ht="42.75" customHeight="1" x14ac:dyDescent="0.25">
      <c r="A19" s="45" t="s">
        <v>206</v>
      </c>
      <c r="B19" s="91" t="str">
        <f>'дод 3'!A108</f>
        <v>3131</v>
      </c>
      <c r="C19" s="91" t="str">
        <f>'дод 3'!B108</f>
        <v>1040</v>
      </c>
      <c r="D19" s="48" t="str">
        <f>'дод 3'!C108</f>
        <v>Здійснення заходів та реалізація проектів на виконання Державної цільової соціальної програми «Молодь України»</v>
      </c>
      <c r="E19" s="115">
        <v>850000</v>
      </c>
      <c r="F19" s="115"/>
      <c r="G19" s="115"/>
      <c r="H19" s="115">
        <v>713618.81</v>
      </c>
      <c r="I19" s="115"/>
      <c r="J19" s="115"/>
      <c r="K19" s="164">
        <f t="shared" si="3"/>
        <v>83.955154117647069</v>
      </c>
      <c r="L19" s="115">
        <f t="shared" si="6"/>
        <v>0</v>
      </c>
      <c r="M19" s="115"/>
      <c r="N19" s="115"/>
      <c r="O19" s="115"/>
      <c r="P19" s="115"/>
      <c r="Q19" s="115"/>
      <c r="R19" s="115">
        <f t="shared" si="7"/>
        <v>0</v>
      </c>
      <c r="S19" s="115"/>
      <c r="T19" s="115"/>
      <c r="U19" s="115"/>
      <c r="V19" s="115"/>
      <c r="W19" s="115"/>
      <c r="X19" s="149"/>
      <c r="Y19" s="115">
        <f t="shared" si="8"/>
        <v>713618.81</v>
      </c>
      <c r="Z19" s="189"/>
      <c r="AA19" s="53"/>
      <c r="AB19" s="53"/>
      <c r="AC19" s="53"/>
      <c r="AD19" s="53"/>
      <c r="AE19" s="79"/>
      <c r="AF19" s="79"/>
      <c r="AG19" s="79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</row>
    <row r="20" spans="1:584" s="47" customFormat="1" ht="60" customHeight="1" x14ac:dyDescent="0.25">
      <c r="A20" s="45" t="s">
        <v>207</v>
      </c>
      <c r="B20" s="91" t="str">
        <f>'дод 3'!A109</f>
        <v>3140</v>
      </c>
      <c r="C20" s="91" t="str">
        <f>'дод 3'!B109</f>
        <v>1040</v>
      </c>
      <c r="D20" s="48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" s="115">
        <v>3076854</v>
      </c>
      <c r="F20" s="115"/>
      <c r="G20" s="115"/>
      <c r="H20" s="115">
        <v>3063275</v>
      </c>
      <c r="I20" s="115"/>
      <c r="J20" s="115"/>
      <c r="K20" s="164">
        <f t="shared" si="3"/>
        <v>99.558672592199699</v>
      </c>
      <c r="L20" s="115">
        <f t="shared" si="6"/>
        <v>0</v>
      </c>
      <c r="M20" s="115"/>
      <c r="N20" s="115"/>
      <c r="O20" s="115"/>
      <c r="P20" s="115"/>
      <c r="Q20" s="115"/>
      <c r="R20" s="115">
        <f t="shared" si="7"/>
        <v>0</v>
      </c>
      <c r="S20" s="115"/>
      <c r="T20" s="115"/>
      <c r="U20" s="115"/>
      <c r="V20" s="115"/>
      <c r="W20" s="115"/>
      <c r="X20" s="149"/>
      <c r="Y20" s="115">
        <f t="shared" si="8"/>
        <v>3063275</v>
      </c>
      <c r="Z20" s="189"/>
      <c r="AA20" s="53"/>
      <c r="AB20" s="53"/>
      <c r="AC20" s="53"/>
      <c r="AD20" s="53"/>
      <c r="AE20" s="79"/>
      <c r="AF20" s="79"/>
      <c r="AG20" s="79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</row>
    <row r="21" spans="1:584" s="47" customFormat="1" ht="37.5" customHeight="1" x14ac:dyDescent="0.25">
      <c r="A21" s="45" t="s">
        <v>395</v>
      </c>
      <c r="B21" s="91" t="str">
        <f>'дод 3'!A128</f>
        <v>3241</v>
      </c>
      <c r="C21" s="91" t="str">
        <f>'дод 3'!B128</f>
        <v>1090</v>
      </c>
      <c r="D21" s="48" t="str">
        <f>'дод 3'!C128</f>
        <v>Забезпечення діяльності інших закладів у сфері соціального захисту і соціального забезпечення</v>
      </c>
      <c r="E21" s="115">
        <v>1028700</v>
      </c>
      <c r="F21" s="115">
        <f>720662-1839</f>
        <v>718823</v>
      </c>
      <c r="G21" s="115">
        <v>114491</v>
      </c>
      <c r="H21" s="115">
        <v>1001458.99</v>
      </c>
      <c r="I21" s="115">
        <v>718819.42</v>
      </c>
      <c r="J21" s="115">
        <v>101572.95</v>
      </c>
      <c r="K21" s="164">
        <f t="shared" si="3"/>
        <v>97.351899484786614</v>
      </c>
      <c r="L21" s="115">
        <f t="shared" si="6"/>
        <v>0</v>
      </c>
      <c r="M21" s="115"/>
      <c r="N21" s="115"/>
      <c r="O21" s="115"/>
      <c r="P21" s="115"/>
      <c r="Q21" s="115"/>
      <c r="R21" s="115">
        <f t="shared" si="7"/>
        <v>1453.32</v>
      </c>
      <c r="S21" s="115"/>
      <c r="T21" s="115">
        <v>1453.32</v>
      </c>
      <c r="U21" s="115"/>
      <c r="V21" s="115"/>
      <c r="W21" s="115"/>
      <c r="X21" s="149"/>
      <c r="Y21" s="115">
        <f t="shared" si="8"/>
        <v>1002912.3099999999</v>
      </c>
      <c r="Z21" s="189"/>
      <c r="AA21" s="53"/>
      <c r="AB21" s="53"/>
      <c r="AC21" s="53"/>
      <c r="AD21" s="53"/>
      <c r="AE21" s="79"/>
      <c r="AF21" s="79"/>
      <c r="AG21" s="79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</row>
    <row r="22" spans="1:584" s="47" customFormat="1" ht="33.75" customHeight="1" x14ac:dyDescent="0.25">
      <c r="A22" s="45" t="s">
        <v>396</v>
      </c>
      <c r="B22" s="91" t="str">
        <f>'дод 3'!A129</f>
        <v>3242</v>
      </c>
      <c r="C22" s="91" t="str">
        <f>'дод 3'!B129</f>
        <v>1090</v>
      </c>
      <c r="D22" s="48" t="str">
        <f>'дод 3'!C129</f>
        <v>Інші заходи у сфері соціального захисту і соціального забезпечення</v>
      </c>
      <c r="E22" s="115">
        <v>238590</v>
      </c>
      <c r="F22" s="115"/>
      <c r="G22" s="115"/>
      <c r="H22" s="115">
        <v>160979.71</v>
      </c>
      <c r="I22" s="115"/>
      <c r="J22" s="115"/>
      <c r="K22" s="164">
        <f t="shared" si="3"/>
        <v>67.47127289492434</v>
      </c>
      <c r="L22" s="115">
        <f t="shared" si="6"/>
        <v>0</v>
      </c>
      <c r="M22" s="115"/>
      <c r="N22" s="115"/>
      <c r="O22" s="115"/>
      <c r="P22" s="115"/>
      <c r="Q22" s="115"/>
      <c r="R22" s="115">
        <f t="shared" si="7"/>
        <v>0</v>
      </c>
      <c r="S22" s="115"/>
      <c r="T22" s="115"/>
      <c r="U22" s="115"/>
      <c r="V22" s="115"/>
      <c r="W22" s="115"/>
      <c r="X22" s="149"/>
      <c r="Y22" s="115">
        <f t="shared" si="8"/>
        <v>160979.71</v>
      </c>
      <c r="Z22" s="189"/>
      <c r="AA22" s="53"/>
      <c r="AB22" s="53"/>
      <c r="AC22" s="53"/>
      <c r="AD22" s="53"/>
      <c r="AE22" s="79"/>
      <c r="AF22" s="79"/>
      <c r="AG22" s="79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</row>
    <row r="23" spans="1:584" s="47" customFormat="1" ht="33.75" customHeight="1" x14ac:dyDescent="0.25">
      <c r="A23" s="45" t="s">
        <v>483</v>
      </c>
      <c r="B23" s="91" t="str">
        <f>'дод 3'!A132</f>
        <v>4060</v>
      </c>
      <c r="C23" s="91" t="str">
        <f>'дод 3'!B132</f>
        <v>0828</v>
      </c>
      <c r="D23" s="48" t="str">
        <f>'дод 3'!C132</f>
        <v>Забезпечення діяльності палаців i будинків культури, клубів, центрів дозвілля та iнших клубних закладів</v>
      </c>
      <c r="E23" s="115">
        <v>3195567</v>
      </c>
      <c r="F23" s="115">
        <f>1067040+69800-4500</f>
        <v>1132340</v>
      </c>
      <c r="G23" s="115">
        <f>409840+389</f>
        <v>410229</v>
      </c>
      <c r="H23" s="115">
        <v>3068524.74</v>
      </c>
      <c r="I23" s="115">
        <v>1132300.45</v>
      </c>
      <c r="J23" s="115">
        <v>381595.57</v>
      </c>
      <c r="K23" s="164">
        <f t="shared" si="3"/>
        <v>96.024421957042378</v>
      </c>
      <c r="L23" s="115">
        <f t="shared" si="6"/>
        <v>1725833</v>
      </c>
      <c r="M23" s="115">
        <f>20000+1705833</f>
        <v>1725833</v>
      </c>
      <c r="N23" s="115"/>
      <c r="O23" s="115"/>
      <c r="P23" s="115"/>
      <c r="Q23" s="115">
        <f>20000+1705833</f>
        <v>1725833</v>
      </c>
      <c r="R23" s="115">
        <f t="shared" si="7"/>
        <v>1701030</v>
      </c>
      <c r="S23" s="115">
        <v>1701030</v>
      </c>
      <c r="T23" s="115"/>
      <c r="U23" s="115"/>
      <c r="V23" s="115"/>
      <c r="W23" s="115">
        <v>1701030</v>
      </c>
      <c r="X23" s="166">
        <f t="shared" si="5"/>
        <v>98.562838930533843</v>
      </c>
      <c r="Y23" s="115">
        <f t="shared" si="8"/>
        <v>4769554.74</v>
      </c>
      <c r="Z23" s="189"/>
      <c r="AA23" s="53"/>
      <c r="AB23" s="53"/>
      <c r="AC23" s="53"/>
      <c r="AD23" s="53"/>
      <c r="AE23" s="79"/>
      <c r="AF23" s="79"/>
      <c r="AG23" s="79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</row>
    <row r="24" spans="1:584" s="47" customFormat="1" ht="30.75" customHeight="1" x14ac:dyDescent="0.25">
      <c r="A24" s="45" t="s">
        <v>393</v>
      </c>
      <c r="B24" s="91" t="str">
        <f>'дод 3'!A133</f>
        <v>4081</v>
      </c>
      <c r="C24" s="91" t="str">
        <f>'дод 3'!B133</f>
        <v>0829</v>
      </c>
      <c r="D24" s="48" t="str">
        <f>'дод 3'!C133</f>
        <v xml:space="preserve">Забезпечення діяльності інших закладів в галузі культури і мистецтва </v>
      </c>
      <c r="E24" s="115">
        <v>2782500</v>
      </c>
      <c r="F24" s="115">
        <f>1268300-4290</f>
        <v>1264010</v>
      </c>
      <c r="G24" s="115">
        <v>95365</v>
      </c>
      <c r="H24" s="115">
        <v>2661870.7799999998</v>
      </c>
      <c r="I24" s="115">
        <v>1258745.8999999999</v>
      </c>
      <c r="J24" s="115">
        <v>80303.59</v>
      </c>
      <c r="K24" s="164">
        <f t="shared" si="3"/>
        <v>95.664718059299176</v>
      </c>
      <c r="L24" s="115">
        <f t="shared" si="6"/>
        <v>23000</v>
      </c>
      <c r="M24" s="115">
        <v>23000</v>
      </c>
      <c r="N24" s="115"/>
      <c r="O24" s="115"/>
      <c r="P24" s="115"/>
      <c r="Q24" s="115">
        <f>23000</f>
        <v>23000</v>
      </c>
      <c r="R24" s="115">
        <f t="shared" si="7"/>
        <v>22315</v>
      </c>
      <c r="S24" s="115">
        <v>22315</v>
      </c>
      <c r="T24" s="115"/>
      <c r="U24" s="115"/>
      <c r="V24" s="115"/>
      <c r="W24" s="115">
        <v>22315</v>
      </c>
      <c r="X24" s="166">
        <f t="shared" si="5"/>
        <v>97.021739130434781</v>
      </c>
      <c r="Y24" s="115">
        <f t="shared" si="8"/>
        <v>2684185.7799999998</v>
      </c>
      <c r="Z24" s="189"/>
      <c r="AA24" s="53"/>
      <c r="AB24" s="53"/>
      <c r="AC24" s="53"/>
      <c r="AD24" s="53"/>
      <c r="AE24" s="79"/>
      <c r="AF24" s="79"/>
      <c r="AG24" s="79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</row>
    <row r="25" spans="1:584" s="47" customFormat="1" ht="25.5" customHeight="1" x14ac:dyDescent="0.25">
      <c r="A25" s="45" t="s">
        <v>394</v>
      </c>
      <c r="B25" s="91" t="str">
        <f>'дод 3'!A134</f>
        <v>4082</v>
      </c>
      <c r="C25" s="91" t="str">
        <f>'дод 3'!B134</f>
        <v>0829</v>
      </c>
      <c r="D25" s="48" t="str">
        <f>'дод 3'!C134</f>
        <v>Інші заходи в галузі культури і мистецтва</v>
      </c>
      <c r="E25" s="115">
        <v>328100</v>
      </c>
      <c r="F25" s="115"/>
      <c r="G25" s="115"/>
      <c r="H25" s="115">
        <v>297114</v>
      </c>
      <c r="I25" s="115"/>
      <c r="J25" s="115"/>
      <c r="K25" s="164">
        <f t="shared" si="3"/>
        <v>90.555928070710152</v>
      </c>
      <c r="L25" s="115">
        <f t="shared" si="6"/>
        <v>0</v>
      </c>
      <c r="M25" s="115"/>
      <c r="N25" s="115"/>
      <c r="O25" s="115"/>
      <c r="P25" s="115"/>
      <c r="Q25" s="115"/>
      <c r="R25" s="115">
        <f t="shared" si="7"/>
        <v>0</v>
      </c>
      <c r="S25" s="115"/>
      <c r="T25" s="115"/>
      <c r="U25" s="115"/>
      <c r="V25" s="115"/>
      <c r="W25" s="115"/>
      <c r="X25" s="166"/>
      <c r="Y25" s="115">
        <f t="shared" si="8"/>
        <v>297114</v>
      </c>
      <c r="Z25" s="189"/>
      <c r="AA25" s="53"/>
      <c r="AB25" s="53"/>
      <c r="AC25" s="53"/>
      <c r="AD25" s="53"/>
      <c r="AE25" s="79"/>
      <c r="AF25" s="79"/>
      <c r="AG25" s="79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</row>
    <row r="26" spans="1:584" s="47" customFormat="1" ht="36.75" customHeight="1" x14ac:dyDescent="0.25">
      <c r="A26" s="49" t="s">
        <v>208</v>
      </c>
      <c r="B26" s="93" t="str">
        <f>'дод 3'!A136</f>
        <v>5011</v>
      </c>
      <c r="C26" s="93" t="str">
        <f>'дод 3'!B136</f>
        <v>0810</v>
      </c>
      <c r="D26" s="46" t="str">
        <f>'дод 3'!C136</f>
        <v>Проведення навчально-тренувальних зборів і змагань з олімпійських видів спорту</v>
      </c>
      <c r="E26" s="115">
        <v>860000</v>
      </c>
      <c r="F26" s="115"/>
      <c r="G26" s="115"/>
      <c r="H26" s="115">
        <v>740373.39</v>
      </c>
      <c r="I26" s="115"/>
      <c r="J26" s="115"/>
      <c r="K26" s="164">
        <f t="shared" si="3"/>
        <v>86.08992906976745</v>
      </c>
      <c r="L26" s="115">
        <f t="shared" si="6"/>
        <v>0</v>
      </c>
      <c r="M26" s="115"/>
      <c r="N26" s="115"/>
      <c r="O26" s="115"/>
      <c r="P26" s="115"/>
      <c r="Q26" s="115"/>
      <c r="R26" s="115">
        <f t="shared" si="7"/>
        <v>0</v>
      </c>
      <c r="S26" s="115"/>
      <c r="T26" s="115"/>
      <c r="U26" s="115"/>
      <c r="V26" s="115"/>
      <c r="W26" s="115"/>
      <c r="X26" s="166"/>
      <c r="Y26" s="115">
        <f t="shared" si="8"/>
        <v>740373.39</v>
      </c>
      <c r="Z26" s="189"/>
      <c r="AA26" s="53"/>
      <c r="AB26" s="53"/>
      <c r="AC26" s="53"/>
      <c r="AD26" s="53"/>
      <c r="AE26" s="79"/>
      <c r="AF26" s="79"/>
      <c r="AG26" s="79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</row>
    <row r="27" spans="1:584" s="47" customFormat="1" ht="34.5" customHeight="1" x14ac:dyDescent="0.25">
      <c r="A27" s="49" t="s">
        <v>209</v>
      </c>
      <c r="B27" s="93" t="str">
        <f>'дод 3'!A137</f>
        <v>5012</v>
      </c>
      <c r="C27" s="93" t="str">
        <f>'дод 3'!B137</f>
        <v>0810</v>
      </c>
      <c r="D27" s="46" t="str">
        <f>'дод 3'!C137</f>
        <v>Проведення навчально-тренувальних зборів і змагань з неолімпійських видів спорту</v>
      </c>
      <c r="E27" s="115">
        <v>1004500</v>
      </c>
      <c r="F27" s="115"/>
      <c r="G27" s="115"/>
      <c r="H27" s="115">
        <v>919629.69</v>
      </c>
      <c r="I27" s="115"/>
      <c r="J27" s="115"/>
      <c r="K27" s="164">
        <f t="shared" si="3"/>
        <v>91.550989547038313</v>
      </c>
      <c r="L27" s="115">
        <f t="shared" si="6"/>
        <v>0</v>
      </c>
      <c r="M27" s="115"/>
      <c r="N27" s="115"/>
      <c r="O27" s="115"/>
      <c r="P27" s="115"/>
      <c r="Q27" s="115"/>
      <c r="R27" s="115">
        <f t="shared" si="7"/>
        <v>0</v>
      </c>
      <c r="S27" s="115"/>
      <c r="T27" s="115"/>
      <c r="U27" s="115"/>
      <c r="V27" s="115"/>
      <c r="W27" s="115"/>
      <c r="X27" s="166"/>
      <c r="Y27" s="115">
        <f t="shared" si="8"/>
        <v>919629.69</v>
      </c>
      <c r="Z27" s="189"/>
      <c r="AA27" s="53"/>
      <c r="AB27" s="53"/>
      <c r="AC27" s="53"/>
      <c r="AD27" s="53"/>
      <c r="AE27" s="79"/>
      <c r="AF27" s="79"/>
      <c r="AG27" s="79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</row>
    <row r="28" spans="1:584" s="47" customFormat="1" ht="39" customHeight="1" x14ac:dyDescent="0.25">
      <c r="A28" s="49" t="s">
        <v>210</v>
      </c>
      <c r="B28" s="93" t="str">
        <f>'дод 3'!A138</f>
        <v>5031</v>
      </c>
      <c r="C28" s="93" t="str">
        <f>'дод 3'!B138</f>
        <v>0810</v>
      </c>
      <c r="D28" s="46" t="str">
        <f>'дод 3'!C138</f>
        <v>Утримання та навчально-тренувальна робота комунальних дитячо-юнацьких спортивних шкіл</v>
      </c>
      <c r="E28" s="115">
        <v>10221500</v>
      </c>
      <c r="F28" s="115">
        <f>7398000+10539</f>
        <v>7408539</v>
      </c>
      <c r="G28" s="115">
        <f>659700+29024</f>
        <v>688724</v>
      </c>
      <c r="H28" s="115">
        <v>10121019.08</v>
      </c>
      <c r="I28" s="115">
        <v>7406861.2599999998</v>
      </c>
      <c r="J28" s="115">
        <v>644174.93000000005</v>
      </c>
      <c r="K28" s="164">
        <f t="shared" si="3"/>
        <v>99.016965024702827</v>
      </c>
      <c r="L28" s="115">
        <f t="shared" si="6"/>
        <v>500000</v>
      </c>
      <c r="M28" s="115">
        <f>200000+10000+290000</f>
        <v>500000</v>
      </c>
      <c r="N28" s="115"/>
      <c r="O28" s="115"/>
      <c r="P28" s="115"/>
      <c r="Q28" s="115">
        <f>200000+10000+290000</f>
        <v>500000</v>
      </c>
      <c r="R28" s="115">
        <f t="shared" si="7"/>
        <v>560455.69999999995</v>
      </c>
      <c r="S28" s="115">
        <v>480455.7</v>
      </c>
      <c r="T28" s="115">
        <v>80000</v>
      </c>
      <c r="U28" s="115"/>
      <c r="V28" s="115"/>
      <c r="W28" s="115">
        <v>480455.7</v>
      </c>
      <c r="X28" s="166">
        <f t="shared" si="5"/>
        <v>112.09114</v>
      </c>
      <c r="Y28" s="115">
        <f t="shared" si="8"/>
        <v>10681474.779999999</v>
      </c>
      <c r="Z28" s="189"/>
      <c r="AA28" s="53"/>
      <c r="AB28" s="53"/>
      <c r="AC28" s="53"/>
      <c r="AD28" s="53"/>
      <c r="AE28" s="79"/>
      <c r="AF28" s="79"/>
      <c r="AG28" s="79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</row>
    <row r="29" spans="1:584" s="47" customFormat="1" ht="42" customHeight="1" x14ac:dyDescent="0.25">
      <c r="A29" s="49" t="s">
        <v>211</v>
      </c>
      <c r="B29" s="93" t="str">
        <f>'дод 3'!A139</f>
        <v>5032</v>
      </c>
      <c r="C29" s="93" t="str">
        <f>'дод 3'!B139</f>
        <v>0810</v>
      </c>
      <c r="D29" s="46" t="str">
        <f>'дод 3'!C139</f>
        <v>Фінансова підтримка дитячо-юнацьких спортивних шкіл фізкультурно-спортивних товариств</v>
      </c>
      <c r="E29" s="115">
        <v>9116300</v>
      </c>
      <c r="F29" s="115"/>
      <c r="G29" s="115"/>
      <c r="H29" s="115">
        <v>9100729.6600000001</v>
      </c>
      <c r="I29" s="115"/>
      <c r="J29" s="115"/>
      <c r="K29" s="164">
        <f t="shared" si="3"/>
        <v>99.829203295196521</v>
      </c>
      <c r="L29" s="115">
        <f t="shared" si="6"/>
        <v>292000</v>
      </c>
      <c r="M29" s="115">
        <f>120000+52000+10000+100000+10000</f>
        <v>292000</v>
      </c>
      <c r="N29" s="115"/>
      <c r="O29" s="115"/>
      <c r="P29" s="115"/>
      <c r="Q29" s="115">
        <f>120000+52000+10000+100000+10000</f>
        <v>292000</v>
      </c>
      <c r="R29" s="115">
        <f t="shared" si="7"/>
        <v>292000</v>
      </c>
      <c r="S29" s="115">
        <v>292000</v>
      </c>
      <c r="T29" s="115"/>
      <c r="U29" s="115"/>
      <c r="V29" s="115"/>
      <c r="W29" s="115">
        <v>292000</v>
      </c>
      <c r="X29" s="166">
        <f t="shared" si="5"/>
        <v>100</v>
      </c>
      <c r="Y29" s="115">
        <f t="shared" si="8"/>
        <v>9392729.6600000001</v>
      </c>
      <c r="Z29" s="189"/>
      <c r="AA29" s="53"/>
      <c r="AB29" s="53"/>
      <c r="AC29" s="53"/>
      <c r="AD29" s="53"/>
      <c r="AE29" s="79"/>
      <c r="AF29" s="79"/>
      <c r="AG29" s="79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</row>
    <row r="30" spans="1:584" s="47" customFormat="1" ht="56.25" customHeight="1" x14ac:dyDescent="0.25">
      <c r="A30" s="49" t="s">
        <v>212</v>
      </c>
      <c r="B30" s="93" t="str">
        <f>'дод 3'!A140</f>
        <v>5061</v>
      </c>
      <c r="C30" s="93" t="str">
        <f>'дод 3'!B140</f>
        <v>0810</v>
      </c>
      <c r="D30" s="46" t="str">
        <f>'дод 3'!C140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0" s="115">
        <v>3524500</v>
      </c>
      <c r="F30" s="115">
        <f>2106300-8745</f>
        <v>2097555</v>
      </c>
      <c r="G30" s="115">
        <f>486300+27605</f>
        <v>513905</v>
      </c>
      <c r="H30" s="115">
        <v>3457727.48</v>
      </c>
      <c r="I30" s="115">
        <v>2097478.0299999998</v>
      </c>
      <c r="J30" s="115">
        <v>454439.22</v>
      </c>
      <c r="K30" s="164">
        <f t="shared" si="3"/>
        <v>98.105475386579656</v>
      </c>
      <c r="L30" s="115">
        <f t="shared" si="6"/>
        <v>892389</v>
      </c>
      <c r="M30" s="115">
        <f>135000+7000+500000</f>
        <v>642000</v>
      </c>
      <c r="N30" s="115">
        <v>250389</v>
      </c>
      <c r="O30" s="115">
        <v>158895</v>
      </c>
      <c r="P30" s="115">
        <v>55055</v>
      </c>
      <c r="Q30" s="115">
        <f>135000+7000+500000</f>
        <v>642000</v>
      </c>
      <c r="R30" s="115">
        <f t="shared" si="7"/>
        <v>723216.8</v>
      </c>
      <c r="S30" s="115">
        <v>642000</v>
      </c>
      <c r="T30" s="115">
        <v>81216.800000000003</v>
      </c>
      <c r="U30" s="115">
        <v>28050.69</v>
      </c>
      <c r="V30" s="115">
        <v>17193.689999999999</v>
      </c>
      <c r="W30" s="115">
        <v>642000</v>
      </c>
      <c r="X30" s="166">
        <f t="shared" si="5"/>
        <v>81.042773947236029</v>
      </c>
      <c r="Y30" s="115">
        <f t="shared" si="8"/>
        <v>4180944.2800000003</v>
      </c>
      <c r="Z30" s="189"/>
      <c r="AA30" s="53"/>
      <c r="AB30" s="53"/>
      <c r="AC30" s="53"/>
      <c r="AD30" s="53"/>
      <c r="AE30" s="79"/>
      <c r="AF30" s="79"/>
      <c r="AG30" s="79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</row>
    <row r="31" spans="1:584" s="47" customFormat="1" ht="39" customHeight="1" x14ac:dyDescent="0.25">
      <c r="A31" s="49" t="s">
        <v>213</v>
      </c>
      <c r="B31" s="93" t="str">
        <f>'дод 3'!A141</f>
        <v>5062</v>
      </c>
      <c r="C31" s="93" t="str">
        <f>'дод 3'!B141</f>
        <v>0810</v>
      </c>
      <c r="D31" s="46" t="str">
        <f>'дод 3'!C141</f>
        <v>Підтримка спорту вищих досягнень та організацій, які здійснюють фізкультурно-спортивну діяльність в регіоні</v>
      </c>
      <c r="E31" s="115">
        <v>6398180</v>
      </c>
      <c r="F31" s="115"/>
      <c r="G31" s="115"/>
      <c r="H31" s="115">
        <v>5983590.6100000003</v>
      </c>
      <c r="I31" s="115"/>
      <c r="J31" s="115"/>
      <c r="K31" s="164">
        <f t="shared" si="3"/>
        <v>93.520198087581164</v>
      </c>
      <c r="L31" s="115">
        <f t="shared" si="6"/>
        <v>0</v>
      </c>
      <c r="M31" s="115"/>
      <c r="N31" s="115"/>
      <c r="O31" s="115"/>
      <c r="P31" s="115"/>
      <c r="Q31" s="115"/>
      <c r="R31" s="115">
        <f t="shared" si="7"/>
        <v>0</v>
      </c>
      <c r="S31" s="115"/>
      <c r="T31" s="115"/>
      <c r="U31" s="115"/>
      <c r="V31" s="115"/>
      <c r="W31" s="115"/>
      <c r="X31" s="149"/>
      <c r="Y31" s="115">
        <f t="shared" si="8"/>
        <v>5983590.6100000003</v>
      </c>
      <c r="Z31" s="189"/>
      <c r="AA31" s="53"/>
      <c r="AB31" s="53"/>
      <c r="AC31" s="53"/>
      <c r="AD31" s="53"/>
      <c r="AE31" s="79"/>
      <c r="AF31" s="79"/>
      <c r="AG31" s="79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</row>
    <row r="32" spans="1:584" s="47" customFormat="1" ht="31.5" customHeight="1" x14ac:dyDescent="0.25">
      <c r="A32" s="49" t="s">
        <v>214</v>
      </c>
      <c r="B32" s="93" t="str">
        <f>'дод 3'!A177</f>
        <v>7412</v>
      </c>
      <c r="C32" s="93" t="str">
        <f>'дод 3'!B177</f>
        <v>0451</v>
      </c>
      <c r="D32" s="46" t="str">
        <f>'дод 3'!C177</f>
        <v>Регулювання цін на послуги місцевого автотранспорту</v>
      </c>
      <c r="E32" s="115">
        <v>10102369.4</v>
      </c>
      <c r="F32" s="115"/>
      <c r="G32" s="115"/>
      <c r="H32" s="115">
        <v>9313614</v>
      </c>
      <c r="I32" s="115"/>
      <c r="J32" s="115"/>
      <c r="K32" s="164">
        <f t="shared" si="3"/>
        <v>92.192372217155309</v>
      </c>
      <c r="L32" s="115">
        <f t="shared" si="6"/>
        <v>0</v>
      </c>
      <c r="M32" s="115"/>
      <c r="N32" s="115"/>
      <c r="O32" s="115"/>
      <c r="P32" s="115"/>
      <c r="Q32" s="115"/>
      <c r="R32" s="115">
        <f t="shared" si="7"/>
        <v>0</v>
      </c>
      <c r="S32" s="115"/>
      <c r="T32" s="115"/>
      <c r="U32" s="115"/>
      <c r="V32" s="115"/>
      <c r="W32" s="115"/>
      <c r="X32" s="149"/>
      <c r="Y32" s="115">
        <f t="shared" si="8"/>
        <v>9313614</v>
      </c>
      <c r="Z32" s="189"/>
      <c r="AA32" s="53"/>
      <c r="AB32" s="53"/>
      <c r="AC32" s="53"/>
      <c r="AD32" s="53"/>
      <c r="AE32" s="79"/>
      <c r="AF32" s="79"/>
      <c r="AG32" s="79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  <c r="TA32" s="53"/>
      <c r="TB32" s="53"/>
      <c r="TC32" s="53"/>
      <c r="TD32" s="53"/>
      <c r="TE32" s="53"/>
      <c r="TF32" s="53"/>
      <c r="TG32" s="53"/>
      <c r="TH32" s="53"/>
      <c r="TI32" s="53"/>
      <c r="TJ32" s="53"/>
      <c r="TK32" s="53"/>
      <c r="TL32" s="53"/>
      <c r="TM32" s="53"/>
      <c r="TN32" s="53"/>
      <c r="TO32" s="53"/>
      <c r="TP32" s="53"/>
      <c r="TQ32" s="53"/>
      <c r="TR32" s="53"/>
      <c r="TS32" s="53"/>
      <c r="TT32" s="53"/>
      <c r="TU32" s="53"/>
      <c r="TV32" s="53"/>
      <c r="TW32" s="53"/>
      <c r="TX32" s="53"/>
      <c r="TY32" s="53"/>
      <c r="TZ32" s="53"/>
      <c r="UA32" s="53"/>
      <c r="UB32" s="53"/>
      <c r="UC32" s="53"/>
      <c r="UD32" s="53"/>
      <c r="UE32" s="53"/>
      <c r="UF32" s="53"/>
      <c r="UG32" s="53"/>
      <c r="UH32" s="53"/>
      <c r="UI32" s="53"/>
      <c r="UJ32" s="53"/>
      <c r="UK32" s="53"/>
      <c r="UL32" s="53"/>
      <c r="UM32" s="53"/>
      <c r="UN32" s="53"/>
      <c r="UO32" s="53"/>
      <c r="UP32" s="53"/>
      <c r="UQ32" s="53"/>
      <c r="UR32" s="53"/>
      <c r="US32" s="53"/>
      <c r="UT32" s="53"/>
      <c r="UU32" s="53"/>
      <c r="UV32" s="53"/>
      <c r="UW32" s="53"/>
      <c r="UX32" s="53"/>
      <c r="UY32" s="53"/>
      <c r="UZ32" s="53"/>
      <c r="VA32" s="53"/>
      <c r="VB32" s="53"/>
      <c r="VC32" s="53"/>
      <c r="VD32" s="53"/>
      <c r="VE32" s="53"/>
      <c r="VF32" s="53"/>
      <c r="VG32" s="53"/>
      <c r="VH32" s="53"/>
      <c r="VI32" s="53"/>
      <c r="VJ32" s="53"/>
      <c r="VK32" s="53"/>
      <c r="VL32" s="53"/>
    </row>
    <row r="33" spans="1:584" s="47" customFormat="1" ht="30" x14ac:dyDescent="0.25">
      <c r="A33" s="49" t="s">
        <v>215</v>
      </c>
      <c r="B33" s="93" t="str">
        <f>'дод 3'!A178</f>
        <v>7422</v>
      </c>
      <c r="C33" s="93" t="str">
        <f>'дод 3'!B178</f>
        <v>0453</v>
      </c>
      <c r="D33" s="46" t="str">
        <f>'дод 3'!C178</f>
        <v>Регулювання цін на послуги місцевого наземного електротранспорту</v>
      </c>
      <c r="E33" s="115">
        <v>897630.59999999963</v>
      </c>
      <c r="F33" s="115"/>
      <c r="G33" s="115"/>
      <c r="H33" s="115">
        <v>897630.6</v>
      </c>
      <c r="I33" s="115"/>
      <c r="J33" s="115"/>
      <c r="K33" s="164">
        <f t="shared" si="3"/>
        <v>100.00000000000004</v>
      </c>
      <c r="L33" s="115">
        <f t="shared" si="6"/>
        <v>0</v>
      </c>
      <c r="M33" s="115"/>
      <c r="N33" s="115"/>
      <c r="O33" s="115"/>
      <c r="P33" s="115"/>
      <c r="Q33" s="115"/>
      <c r="R33" s="115">
        <f t="shared" si="7"/>
        <v>0</v>
      </c>
      <c r="S33" s="115"/>
      <c r="T33" s="115"/>
      <c r="U33" s="115"/>
      <c r="V33" s="115"/>
      <c r="W33" s="115"/>
      <c r="X33" s="149"/>
      <c r="Y33" s="115">
        <f t="shared" si="8"/>
        <v>897630.6</v>
      </c>
      <c r="Z33" s="189"/>
      <c r="AA33" s="53"/>
      <c r="AB33" s="53"/>
      <c r="AC33" s="53"/>
      <c r="AD33" s="53"/>
      <c r="AE33" s="79"/>
      <c r="AF33" s="79"/>
      <c r="AG33" s="79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</row>
    <row r="34" spans="1:584" s="47" customFormat="1" ht="21.75" hidden="1" customHeight="1" x14ac:dyDescent="0.25">
      <c r="A34" s="49" t="s">
        <v>304</v>
      </c>
      <c r="B34" s="93" t="str">
        <f>'дод 3'!A179</f>
        <v>7426</v>
      </c>
      <c r="C34" s="93" t="str">
        <f>'дод 3'!B179</f>
        <v>0453</v>
      </c>
      <c r="D34" s="46" t="str">
        <f>'дод 3'!C179</f>
        <v>Інші заходи у сфері електротранспорту</v>
      </c>
      <c r="E34" s="115">
        <v>0</v>
      </c>
      <c r="F34" s="115"/>
      <c r="G34" s="115"/>
      <c r="H34" s="115"/>
      <c r="I34" s="115"/>
      <c r="J34" s="115"/>
      <c r="K34" s="164" t="e">
        <f t="shared" si="3"/>
        <v>#DIV/0!</v>
      </c>
      <c r="L34" s="115">
        <f t="shared" si="6"/>
        <v>0</v>
      </c>
      <c r="M34" s="115"/>
      <c r="N34" s="115"/>
      <c r="O34" s="115"/>
      <c r="P34" s="115"/>
      <c r="Q34" s="115">
        <f>810000+680000-1490000</f>
        <v>0</v>
      </c>
      <c r="R34" s="115">
        <f t="shared" si="7"/>
        <v>0</v>
      </c>
      <c r="S34" s="115"/>
      <c r="T34" s="115"/>
      <c r="U34" s="115"/>
      <c r="V34" s="115"/>
      <c r="W34" s="115"/>
      <c r="X34" s="149" t="e">
        <f t="shared" si="5"/>
        <v>#DIV/0!</v>
      </c>
      <c r="Y34" s="115">
        <f t="shared" si="8"/>
        <v>0</v>
      </c>
      <c r="Z34" s="189"/>
      <c r="AA34" s="53"/>
      <c r="AB34" s="53"/>
      <c r="AC34" s="53"/>
      <c r="AD34" s="53"/>
      <c r="AE34" s="79"/>
      <c r="AF34" s="79"/>
      <c r="AG34" s="79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</row>
    <row r="35" spans="1:584" s="47" customFormat="1" ht="21.75" hidden="1" customHeight="1" x14ac:dyDescent="0.25">
      <c r="A35" s="49" t="s">
        <v>406</v>
      </c>
      <c r="B35" s="93" t="str">
        <f>'дод 3'!A181</f>
        <v>7450</v>
      </c>
      <c r="C35" s="93" t="str">
        <f>'дод 3'!B181</f>
        <v>0456</v>
      </c>
      <c r="D35" s="46" t="str">
        <f>'дод 3'!C181</f>
        <v xml:space="preserve">Інша діяльність у сфері транспорту </v>
      </c>
      <c r="E35" s="115">
        <v>0</v>
      </c>
      <c r="F35" s="115"/>
      <c r="G35" s="115"/>
      <c r="H35" s="115"/>
      <c r="I35" s="115"/>
      <c r="J35" s="115"/>
      <c r="K35" s="164" t="e">
        <f t="shared" si="3"/>
        <v>#DIV/0!</v>
      </c>
      <c r="L35" s="115">
        <f t="shared" si="6"/>
        <v>0</v>
      </c>
      <c r="M35" s="115"/>
      <c r="N35" s="115"/>
      <c r="O35" s="115"/>
      <c r="P35" s="115"/>
      <c r="Q35" s="115"/>
      <c r="R35" s="115">
        <f t="shared" si="7"/>
        <v>0</v>
      </c>
      <c r="S35" s="115"/>
      <c r="T35" s="115"/>
      <c r="U35" s="115"/>
      <c r="V35" s="115"/>
      <c r="W35" s="115"/>
      <c r="X35" s="149" t="e">
        <f t="shared" si="5"/>
        <v>#DIV/0!</v>
      </c>
      <c r="Y35" s="115">
        <f t="shared" si="8"/>
        <v>0</v>
      </c>
      <c r="Z35" s="189"/>
      <c r="AA35" s="53"/>
      <c r="AB35" s="53"/>
      <c r="AC35" s="53"/>
      <c r="AD35" s="53"/>
      <c r="AE35" s="79"/>
      <c r="AF35" s="79"/>
      <c r="AG35" s="79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  <c r="SB35" s="53"/>
      <c r="SC35" s="53"/>
      <c r="SD35" s="53"/>
      <c r="SE35" s="53"/>
      <c r="SF35" s="53"/>
      <c r="SG35" s="53"/>
      <c r="SH35" s="53"/>
      <c r="SI35" s="53"/>
      <c r="SJ35" s="53"/>
      <c r="SK35" s="53"/>
      <c r="SL35" s="53"/>
      <c r="SM35" s="53"/>
      <c r="SN35" s="53"/>
      <c r="SO35" s="53"/>
      <c r="SP35" s="53"/>
      <c r="SQ35" s="53"/>
      <c r="SR35" s="53"/>
      <c r="SS35" s="53"/>
      <c r="ST35" s="53"/>
      <c r="SU35" s="53"/>
      <c r="SV35" s="53"/>
      <c r="SW35" s="53"/>
      <c r="SX35" s="53"/>
      <c r="SY35" s="53"/>
      <c r="SZ35" s="53"/>
      <c r="TA35" s="53"/>
      <c r="TB35" s="53"/>
      <c r="TC35" s="53"/>
      <c r="TD35" s="53"/>
      <c r="TE35" s="53"/>
      <c r="TF35" s="53"/>
      <c r="TG35" s="53"/>
      <c r="TH35" s="53"/>
      <c r="TI35" s="53"/>
      <c r="TJ35" s="53"/>
      <c r="TK35" s="53"/>
      <c r="TL35" s="53"/>
      <c r="TM35" s="53"/>
      <c r="TN35" s="53"/>
      <c r="TO35" s="53"/>
      <c r="TP35" s="53"/>
      <c r="TQ35" s="53"/>
      <c r="TR35" s="53"/>
      <c r="TS35" s="53"/>
      <c r="TT35" s="53"/>
      <c r="TU35" s="53"/>
      <c r="TV35" s="53"/>
      <c r="TW35" s="53"/>
      <c r="TX35" s="53"/>
      <c r="TY35" s="53"/>
      <c r="TZ35" s="53"/>
      <c r="UA35" s="53"/>
      <c r="UB35" s="53"/>
      <c r="UC35" s="53"/>
      <c r="UD35" s="53"/>
      <c r="UE35" s="53"/>
      <c r="UF35" s="53"/>
      <c r="UG35" s="53"/>
      <c r="UH35" s="53"/>
      <c r="UI35" s="53"/>
      <c r="UJ35" s="53"/>
      <c r="UK35" s="53"/>
      <c r="UL35" s="53"/>
      <c r="UM35" s="53"/>
      <c r="UN35" s="53"/>
      <c r="UO35" s="53"/>
      <c r="UP35" s="53"/>
      <c r="UQ35" s="53"/>
      <c r="UR35" s="53"/>
      <c r="US35" s="53"/>
      <c r="UT35" s="53"/>
      <c r="UU35" s="53"/>
      <c r="UV35" s="53"/>
      <c r="UW35" s="53"/>
      <c r="UX35" s="53"/>
      <c r="UY35" s="53"/>
      <c r="UZ35" s="53"/>
      <c r="VA35" s="53"/>
      <c r="VB35" s="53"/>
      <c r="VC35" s="53"/>
      <c r="VD35" s="53"/>
      <c r="VE35" s="53"/>
      <c r="VF35" s="53"/>
      <c r="VG35" s="53"/>
      <c r="VH35" s="53"/>
      <c r="VI35" s="53"/>
      <c r="VJ35" s="53"/>
      <c r="VK35" s="53"/>
      <c r="VL35" s="53"/>
    </row>
    <row r="36" spans="1:584" s="47" customFormat="1" ht="27" customHeight="1" x14ac:dyDescent="0.25">
      <c r="A36" s="49" t="s">
        <v>305</v>
      </c>
      <c r="B36" s="93" t="str">
        <f>'дод 3'!A186</f>
        <v>7530</v>
      </c>
      <c r="C36" s="93" t="str">
        <f>'дод 3'!B186</f>
        <v>0460</v>
      </c>
      <c r="D36" s="46" t="str">
        <f>'дод 3'!C186</f>
        <v>Інші заходи у сфері зв'язку, телекомунікації та інформатики</v>
      </c>
      <c r="E36" s="115">
        <v>9573860</v>
      </c>
      <c r="F36" s="115"/>
      <c r="G36" s="115"/>
      <c r="H36" s="115">
        <v>7715174.96</v>
      </c>
      <c r="I36" s="115"/>
      <c r="J36" s="115"/>
      <c r="K36" s="164">
        <f t="shared" si="3"/>
        <v>80.585834344767932</v>
      </c>
      <c r="L36" s="115">
        <f t="shared" si="6"/>
        <v>4927500</v>
      </c>
      <c r="M36" s="115">
        <f>3197500+590000+550000+590000</f>
        <v>4927500</v>
      </c>
      <c r="N36" s="115"/>
      <c r="O36" s="115"/>
      <c r="P36" s="115"/>
      <c r="Q36" s="115">
        <f>3197500+590000+550000+590000</f>
        <v>4927500</v>
      </c>
      <c r="R36" s="115">
        <f t="shared" si="7"/>
        <v>3972805.95</v>
      </c>
      <c r="S36" s="115">
        <v>3972805.95</v>
      </c>
      <c r="T36" s="115"/>
      <c r="U36" s="115"/>
      <c r="V36" s="115"/>
      <c r="W36" s="115">
        <v>3972805.95</v>
      </c>
      <c r="X36" s="166">
        <f t="shared" si="5"/>
        <v>80.62518417047184</v>
      </c>
      <c r="Y36" s="115">
        <f t="shared" si="8"/>
        <v>11687980.91</v>
      </c>
      <c r="Z36" s="189"/>
      <c r="AA36" s="53"/>
      <c r="AB36" s="53"/>
      <c r="AC36" s="53"/>
      <c r="AD36" s="53"/>
      <c r="AE36" s="79"/>
      <c r="AF36" s="79"/>
      <c r="AG36" s="79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53"/>
      <c r="QG36" s="53"/>
      <c r="QH36" s="53"/>
      <c r="QI36" s="53"/>
      <c r="QJ36" s="53"/>
      <c r="QK36" s="53"/>
      <c r="QL36" s="53"/>
      <c r="QM36" s="53"/>
      <c r="QN36" s="53"/>
      <c r="QO36" s="53"/>
      <c r="QP36" s="53"/>
      <c r="QQ36" s="53"/>
      <c r="QR36" s="53"/>
      <c r="QS36" s="53"/>
      <c r="QT36" s="53"/>
      <c r="QU36" s="53"/>
      <c r="QV36" s="53"/>
      <c r="QW36" s="53"/>
      <c r="QX36" s="53"/>
      <c r="QY36" s="53"/>
      <c r="QZ36" s="53"/>
      <c r="RA36" s="53"/>
      <c r="RB36" s="53"/>
      <c r="RC36" s="53"/>
      <c r="RD36" s="53"/>
      <c r="RE36" s="53"/>
      <c r="RF36" s="53"/>
      <c r="RG36" s="53"/>
      <c r="RH36" s="53"/>
      <c r="RI36" s="53"/>
      <c r="RJ36" s="53"/>
      <c r="RK36" s="53"/>
      <c r="RL36" s="53"/>
      <c r="RM36" s="53"/>
      <c r="RN36" s="53"/>
      <c r="RO36" s="53"/>
      <c r="RP36" s="53"/>
      <c r="RQ36" s="53"/>
      <c r="RR36" s="53"/>
      <c r="RS36" s="53"/>
      <c r="RT36" s="53"/>
      <c r="RU36" s="53"/>
      <c r="RV36" s="53"/>
      <c r="RW36" s="53"/>
      <c r="RX36" s="53"/>
      <c r="RY36" s="53"/>
      <c r="RZ36" s="53"/>
      <c r="SA36" s="53"/>
      <c r="SB36" s="53"/>
      <c r="SC36" s="53"/>
      <c r="SD36" s="53"/>
      <c r="SE36" s="53"/>
      <c r="SF36" s="53"/>
      <c r="SG36" s="53"/>
      <c r="SH36" s="53"/>
      <c r="SI36" s="53"/>
      <c r="SJ36" s="53"/>
      <c r="SK36" s="53"/>
      <c r="SL36" s="53"/>
      <c r="SM36" s="53"/>
      <c r="SN36" s="53"/>
      <c r="SO36" s="53"/>
      <c r="SP36" s="53"/>
      <c r="SQ36" s="53"/>
      <c r="SR36" s="53"/>
      <c r="SS36" s="53"/>
      <c r="ST36" s="53"/>
      <c r="SU36" s="53"/>
      <c r="SV36" s="53"/>
      <c r="SW36" s="53"/>
      <c r="SX36" s="53"/>
      <c r="SY36" s="53"/>
      <c r="SZ36" s="53"/>
      <c r="TA36" s="53"/>
      <c r="TB36" s="53"/>
      <c r="TC36" s="53"/>
      <c r="TD36" s="53"/>
      <c r="TE36" s="53"/>
      <c r="TF36" s="53"/>
      <c r="TG36" s="53"/>
      <c r="TH36" s="53"/>
      <c r="TI36" s="53"/>
      <c r="TJ36" s="53"/>
      <c r="TK36" s="53"/>
      <c r="TL36" s="53"/>
      <c r="TM36" s="53"/>
      <c r="TN36" s="53"/>
      <c r="TO36" s="53"/>
      <c r="TP36" s="53"/>
      <c r="TQ36" s="53"/>
      <c r="TR36" s="53"/>
      <c r="TS36" s="53"/>
      <c r="TT36" s="53"/>
      <c r="TU36" s="53"/>
      <c r="TV36" s="53"/>
      <c r="TW36" s="53"/>
      <c r="TX36" s="53"/>
      <c r="TY36" s="53"/>
      <c r="TZ36" s="53"/>
      <c r="UA36" s="53"/>
      <c r="UB36" s="53"/>
      <c r="UC36" s="53"/>
      <c r="UD36" s="53"/>
      <c r="UE36" s="53"/>
      <c r="UF36" s="53"/>
      <c r="UG36" s="53"/>
      <c r="UH36" s="53"/>
      <c r="UI36" s="53"/>
      <c r="UJ36" s="53"/>
      <c r="UK36" s="53"/>
      <c r="UL36" s="53"/>
      <c r="UM36" s="53"/>
      <c r="UN36" s="53"/>
      <c r="UO36" s="53"/>
      <c r="UP36" s="53"/>
      <c r="UQ36" s="53"/>
      <c r="UR36" s="53"/>
      <c r="US36" s="53"/>
      <c r="UT36" s="53"/>
      <c r="UU36" s="53"/>
      <c r="UV36" s="53"/>
      <c r="UW36" s="53"/>
      <c r="UX36" s="53"/>
      <c r="UY36" s="53"/>
      <c r="UZ36" s="53"/>
      <c r="VA36" s="53"/>
      <c r="VB36" s="53"/>
      <c r="VC36" s="53"/>
      <c r="VD36" s="53"/>
      <c r="VE36" s="53"/>
      <c r="VF36" s="53"/>
      <c r="VG36" s="53"/>
      <c r="VH36" s="53"/>
      <c r="VI36" s="53"/>
      <c r="VJ36" s="53"/>
      <c r="VK36" s="53"/>
      <c r="VL36" s="53"/>
    </row>
    <row r="37" spans="1:584" s="47" customFormat="1" ht="25.5" customHeight="1" x14ac:dyDescent="0.25">
      <c r="A37" s="49" t="s">
        <v>216</v>
      </c>
      <c r="B37" s="93" t="str">
        <f>'дод 3'!A188</f>
        <v>7610</v>
      </c>
      <c r="C37" s="93" t="str">
        <f>'дод 3'!B188</f>
        <v>0411</v>
      </c>
      <c r="D37" s="46" t="str">
        <f>'дод 3'!C188</f>
        <v>Сприяння розвитку малого та середнього підприємництва</v>
      </c>
      <c r="E37" s="115">
        <v>142000</v>
      </c>
      <c r="F37" s="115"/>
      <c r="G37" s="115"/>
      <c r="H37" s="115">
        <v>141999.94</v>
      </c>
      <c r="I37" s="115"/>
      <c r="J37" s="115"/>
      <c r="K37" s="164">
        <f t="shared" si="3"/>
        <v>99.99995774647887</v>
      </c>
      <c r="L37" s="115">
        <f t="shared" si="6"/>
        <v>0</v>
      </c>
      <c r="M37" s="115"/>
      <c r="N37" s="115"/>
      <c r="O37" s="115"/>
      <c r="P37" s="115"/>
      <c r="Q37" s="115"/>
      <c r="R37" s="115">
        <f t="shared" si="7"/>
        <v>0</v>
      </c>
      <c r="S37" s="115"/>
      <c r="T37" s="115"/>
      <c r="U37" s="115"/>
      <c r="V37" s="115"/>
      <c r="W37" s="115"/>
      <c r="X37" s="166"/>
      <c r="Y37" s="115">
        <f t="shared" si="8"/>
        <v>141999.94</v>
      </c>
      <c r="Z37" s="189"/>
      <c r="AA37" s="53"/>
      <c r="AB37" s="53"/>
      <c r="AC37" s="53"/>
      <c r="AD37" s="53"/>
      <c r="AE37" s="79"/>
      <c r="AF37" s="79"/>
      <c r="AG37" s="79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  <c r="SB37" s="53"/>
      <c r="SC37" s="53"/>
      <c r="SD37" s="53"/>
      <c r="SE37" s="53"/>
      <c r="SF37" s="53"/>
      <c r="SG37" s="53"/>
      <c r="SH37" s="53"/>
      <c r="SI37" s="53"/>
      <c r="SJ37" s="53"/>
      <c r="SK37" s="53"/>
      <c r="SL37" s="53"/>
      <c r="SM37" s="53"/>
      <c r="SN37" s="53"/>
      <c r="SO37" s="53"/>
      <c r="SP37" s="53"/>
      <c r="SQ37" s="53"/>
      <c r="SR37" s="53"/>
      <c r="SS37" s="53"/>
      <c r="ST37" s="53"/>
      <c r="SU37" s="53"/>
      <c r="SV37" s="53"/>
      <c r="SW37" s="53"/>
      <c r="SX37" s="53"/>
      <c r="SY37" s="53"/>
      <c r="SZ37" s="53"/>
      <c r="TA37" s="53"/>
      <c r="TB37" s="53"/>
      <c r="TC37" s="53"/>
      <c r="TD37" s="53"/>
      <c r="TE37" s="53"/>
      <c r="TF37" s="53"/>
      <c r="TG37" s="53"/>
      <c r="TH37" s="53"/>
      <c r="TI37" s="53"/>
      <c r="TJ37" s="53"/>
      <c r="TK37" s="53"/>
      <c r="TL37" s="53"/>
      <c r="TM37" s="53"/>
      <c r="TN37" s="53"/>
      <c r="TO37" s="53"/>
      <c r="TP37" s="53"/>
      <c r="TQ37" s="53"/>
      <c r="TR37" s="53"/>
      <c r="TS37" s="53"/>
      <c r="TT37" s="53"/>
      <c r="TU37" s="53"/>
      <c r="TV37" s="53"/>
      <c r="TW37" s="53"/>
      <c r="TX37" s="53"/>
      <c r="TY37" s="53"/>
      <c r="TZ37" s="53"/>
      <c r="UA37" s="53"/>
      <c r="UB37" s="53"/>
      <c r="UC37" s="53"/>
      <c r="UD37" s="53"/>
      <c r="UE37" s="53"/>
      <c r="UF37" s="53"/>
      <c r="UG37" s="53"/>
      <c r="UH37" s="53"/>
      <c r="UI37" s="53"/>
      <c r="UJ37" s="53"/>
      <c r="UK37" s="53"/>
      <c r="UL37" s="53"/>
      <c r="UM37" s="53"/>
      <c r="UN37" s="53"/>
      <c r="UO37" s="53"/>
      <c r="UP37" s="53"/>
      <c r="UQ37" s="53"/>
      <c r="UR37" s="53"/>
      <c r="US37" s="53"/>
      <c r="UT37" s="53"/>
      <c r="UU37" s="53"/>
      <c r="UV37" s="53"/>
      <c r="UW37" s="53"/>
      <c r="UX37" s="53"/>
      <c r="UY37" s="53"/>
      <c r="UZ37" s="53"/>
      <c r="VA37" s="53"/>
      <c r="VB37" s="53"/>
      <c r="VC37" s="53"/>
      <c r="VD37" s="53"/>
      <c r="VE37" s="53"/>
      <c r="VF37" s="53"/>
      <c r="VG37" s="53"/>
      <c r="VH37" s="53"/>
      <c r="VI37" s="53"/>
      <c r="VJ37" s="53"/>
      <c r="VK37" s="53"/>
      <c r="VL37" s="53"/>
    </row>
    <row r="38" spans="1:584" s="47" customFormat="1" ht="18.75" hidden="1" customHeight="1" x14ac:dyDescent="0.25">
      <c r="A38" s="49" t="s">
        <v>330</v>
      </c>
      <c r="B38" s="93" t="str">
        <f>'дод 3'!A189</f>
        <v>7640</v>
      </c>
      <c r="C38" s="93" t="str">
        <f>'дод 3'!B189</f>
        <v>0470</v>
      </c>
      <c r="D38" s="46" t="str">
        <f>'дод 3'!C189</f>
        <v>Заходи з енергозбереження</v>
      </c>
      <c r="E38" s="115">
        <v>0</v>
      </c>
      <c r="F38" s="115"/>
      <c r="G38" s="115"/>
      <c r="H38" s="115"/>
      <c r="I38" s="115"/>
      <c r="J38" s="115"/>
      <c r="K38" s="135" t="e">
        <f t="shared" si="3"/>
        <v>#DIV/0!</v>
      </c>
      <c r="L38" s="115">
        <f t="shared" si="6"/>
        <v>0</v>
      </c>
      <c r="M38" s="115"/>
      <c r="N38" s="115"/>
      <c r="O38" s="115"/>
      <c r="P38" s="115"/>
      <c r="Q38" s="115"/>
      <c r="R38" s="115">
        <f t="shared" si="7"/>
        <v>0</v>
      </c>
      <c r="S38" s="115"/>
      <c r="T38" s="115"/>
      <c r="U38" s="115"/>
      <c r="V38" s="115"/>
      <c r="W38" s="115"/>
      <c r="X38" s="166" t="e">
        <f t="shared" si="5"/>
        <v>#DIV/0!</v>
      </c>
      <c r="Y38" s="115">
        <f t="shared" si="8"/>
        <v>0</v>
      </c>
      <c r="Z38" s="189"/>
      <c r="AA38" s="53"/>
      <c r="AB38" s="53"/>
      <c r="AC38" s="53"/>
      <c r="AD38" s="53"/>
      <c r="AE38" s="79"/>
      <c r="AF38" s="79"/>
      <c r="AG38" s="79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/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/>
      <c r="NJ38" s="53"/>
      <c r="NK38" s="53"/>
      <c r="NL38" s="53"/>
      <c r="NM38" s="53"/>
      <c r="NN38" s="53"/>
      <c r="NO38" s="53"/>
      <c r="NP38" s="53"/>
      <c r="NQ38" s="53"/>
      <c r="NR38" s="53"/>
      <c r="NS38" s="53"/>
      <c r="NT38" s="53"/>
      <c r="NU38" s="53"/>
      <c r="NV38" s="53"/>
      <c r="NW38" s="53"/>
      <c r="NX38" s="53"/>
      <c r="NY38" s="53"/>
      <c r="NZ38" s="53"/>
      <c r="OA38" s="53"/>
      <c r="OB38" s="53"/>
      <c r="OC38" s="53"/>
      <c r="OD38" s="53"/>
      <c r="OE38" s="53"/>
      <c r="OF38" s="53"/>
      <c r="OG38" s="53"/>
      <c r="OH38" s="53"/>
      <c r="OI38" s="53"/>
      <c r="OJ38" s="53"/>
      <c r="OK38" s="53"/>
      <c r="OL38" s="53"/>
      <c r="OM38" s="53"/>
      <c r="ON38" s="53"/>
      <c r="OO38" s="53"/>
      <c r="OP38" s="53"/>
      <c r="OQ38" s="53"/>
      <c r="OR38" s="53"/>
      <c r="OS38" s="53"/>
      <c r="OT38" s="53"/>
      <c r="OU38" s="53"/>
      <c r="OV38" s="53"/>
      <c r="OW38" s="53"/>
      <c r="OX38" s="53"/>
      <c r="OY38" s="53"/>
      <c r="OZ38" s="53"/>
      <c r="PA38" s="53"/>
      <c r="PB38" s="53"/>
      <c r="PC38" s="53"/>
      <c r="PD38" s="53"/>
      <c r="PE38" s="53"/>
      <c r="PF38" s="53"/>
      <c r="PG38" s="53"/>
      <c r="PH38" s="53"/>
      <c r="PI38" s="53"/>
      <c r="PJ38" s="53"/>
      <c r="PK38" s="53"/>
      <c r="PL38" s="53"/>
      <c r="PM38" s="53"/>
      <c r="PN38" s="53"/>
      <c r="PO38" s="53"/>
      <c r="PP38" s="53"/>
      <c r="PQ38" s="53"/>
      <c r="PR38" s="53"/>
      <c r="PS38" s="53"/>
      <c r="PT38" s="53"/>
      <c r="PU38" s="53"/>
      <c r="PV38" s="53"/>
      <c r="PW38" s="53"/>
      <c r="PX38" s="53"/>
      <c r="PY38" s="53"/>
      <c r="PZ38" s="53"/>
      <c r="QA38" s="53"/>
      <c r="QB38" s="53"/>
      <c r="QC38" s="53"/>
      <c r="QD38" s="53"/>
      <c r="QE38" s="53"/>
      <c r="QF38" s="53"/>
      <c r="QG38" s="53"/>
      <c r="QH38" s="53"/>
      <c r="QI38" s="53"/>
      <c r="QJ38" s="53"/>
      <c r="QK38" s="53"/>
      <c r="QL38" s="53"/>
      <c r="QM38" s="53"/>
      <c r="QN38" s="53"/>
      <c r="QO38" s="53"/>
      <c r="QP38" s="53"/>
      <c r="QQ38" s="53"/>
      <c r="QR38" s="53"/>
      <c r="QS38" s="53"/>
      <c r="QT38" s="53"/>
      <c r="QU38" s="53"/>
      <c r="QV38" s="53"/>
      <c r="QW38" s="53"/>
      <c r="QX38" s="53"/>
      <c r="QY38" s="53"/>
      <c r="QZ38" s="53"/>
      <c r="RA38" s="53"/>
      <c r="RB38" s="53"/>
      <c r="RC38" s="53"/>
      <c r="RD38" s="53"/>
      <c r="RE38" s="53"/>
      <c r="RF38" s="53"/>
      <c r="RG38" s="53"/>
      <c r="RH38" s="53"/>
      <c r="RI38" s="53"/>
      <c r="RJ38" s="53"/>
      <c r="RK38" s="53"/>
      <c r="RL38" s="53"/>
      <c r="RM38" s="53"/>
      <c r="RN38" s="53"/>
      <c r="RO38" s="53"/>
      <c r="RP38" s="53"/>
      <c r="RQ38" s="53"/>
      <c r="RR38" s="53"/>
      <c r="RS38" s="53"/>
      <c r="RT38" s="53"/>
      <c r="RU38" s="53"/>
      <c r="RV38" s="53"/>
      <c r="RW38" s="53"/>
      <c r="RX38" s="53"/>
      <c r="RY38" s="53"/>
      <c r="RZ38" s="53"/>
      <c r="SA38" s="53"/>
      <c r="SB38" s="53"/>
      <c r="SC38" s="53"/>
      <c r="SD38" s="53"/>
      <c r="SE38" s="53"/>
      <c r="SF38" s="53"/>
      <c r="SG38" s="53"/>
      <c r="SH38" s="53"/>
      <c r="SI38" s="53"/>
      <c r="SJ38" s="53"/>
      <c r="SK38" s="53"/>
      <c r="SL38" s="53"/>
      <c r="SM38" s="53"/>
      <c r="SN38" s="53"/>
      <c r="SO38" s="53"/>
      <c r="SP38" s="53"/>
      <c r="SQ38" s="53"/>
      <c r="SR38" s="53"/>
      <c r="SS38" s="53"/>
      <c r="ST38" s="53"/>
      <c r="SU38" s="53"/>
      <c r="SV38" s="53"/>
      <c r="SW38" s="53"/>
      <c r="SX38" s="53"/>
      <c r="SY38" s="53"/>
      <c r="SZ38" s="53"/>
      <c r="TA38" s="53"/>
      <c r="TB38" s="53"/>
      <c r="TC38" s="53"/>
      <c r="TD38" s="53"/>
      <c r="TE38" s="53"/>
      <c r="TF38" s="53"/>
      <c r="TG38" s="53"/>
      <c r="TH38" s="53"/>
      <c r="TI38" s="53"/>
      <c r="TJ38" s="53"/>
      <c r="TK38" s="53"/>
      <c r="TL38" s="53"/>
      <c r="TM38" s="53"/>
      <c r="TN38" s="53"/>
      <c r="TO38" s="53"/>
      <c r="TP38" s="53"/>
      <c r="TQ38" s="53"/>
      <c r="TR38" s="53"/>
      <c r="TS38" s="53"/>
      <c r="TT38" s="53"/>
      <c r="TU38" s="53"/>
      <c r="TV38" s="53"/>
      <c r="TW38" s="53"/>
      <c r="TX38" s="53"/>
      <c r="TY38" s="53"/>
      <c r="TZ38" s="53"/>
      <c r="UA38" s="53"/>
      <c r="UB38" s="53"/>
      <c r="UC38" s="53"/>
      <c r="UD38" s="53"/>
      <c r="UE38" s="53"/>
      <c r="UF38" s="53"/>
      <c r="UG38" s="53"/>
      <c r="UH38" s="53"/>
      <c r="UI38" s="53"/>
      <c r="UJ38" s="53"/>
      <c r="UK38" s="53"/>
      <c r="UL38" s="53"/>
      <c r="UM38" s="53"/>
      <c r="UN38" s="53"/>
      <c r="UO38" s="53"/>
      <c r="UP38" s="53"/>
      <c r="UQ38" s="53"/>
      <c r="UR38" s="53"/>
      <c r="US38" s="53"/>
      <c r="UT38" s="53"/>
      <c r="UU38" s="53"/>
      <c r="UV38" s="53"/>
      <c r="UW38" s="53"/>
      <c r="UX38" s="53"/>
      <c r="UY38" s="53"/>
      <c r="UZ38" s="53"/>
      <c r="VA38" s="53"/>
      <c r="VB38" s="53"/>
      <c r="VC38" s="53"/>
      <c r="VD38" s="53"/>
      <c r="VE38" s="53"/>
      <c r="VF38" s="53"/>
      <c r="VG38" s="53"/>
      <c r="VH38" s="53"/>
      <c r="VI38" s="53"/>
      <c r="VJ38" s="53"/>
      <c r="VK38" s="53"/>
      <c r="VL38" s="53"/>
    </row>
    <row r="39" spans="1:584" s="47" customFormat="1" ht="27" customHeight="1" x14ac:dyDescent="0.25">
      <c r="A39" s="49" t="s">
        <v>217</v>
      </c>
      <c r="B39" s="93" t="str">
        <f>'дод 3'!A192</f>
        <v>7670</v>
      </c>
      <c r="C39" s="93" t="str">
        <f>'дод 3'!B192</f>
        <v>0490</v>
      </c>
      <c r="D39" s="46" t="str">
        <f>'дод 3'!C192</f>
        <v>Внески до статутного капіталу суб’єктів господарювання</v>
      </c>
      <c r="E39" s="115">
        <v>0</v>
      </c>
      <c r="F39" s="115"/>
      <c r="G39" s="115"/>
      <c r="H39" s="115">
        <v>0</v>
      </c>
      <c r="I39" s="115"/>
      <c r="J39" s="115"/>
      <c r="K39" s="135"/>
      <c r="L39" s="115">
        <f t="shared" si="6"/>
        <v>25595199</v>
      </c>
      <c r="M39" s="115">
        <f>36900000+25089300-9000000-7680000-500000-999000-6400000-297500-135000-40000-3896761-2483239-224081-4738520</f>
        <v>25595199</v>
      </c>
      <c r="N39" s="115"/>
      <c r="O39" s="115"/>
      <c r="P39" s="115"/>
      <c r="Q39" s="115">
        <f>36900000+25089300-9000000-7680000-500000-999000-6400000-297500-135000-40000-3896761-2483239-224081-4738520</f>
        <v>25595199</v>
      </c>
      <c r="R39" s="115">
        <f t="shared" si="7"/>
        <v>22472000</v>
      </c>
      <c r="S39" s="115">
        <v>22472000</v>
      </c>
      <c r="T39" s="115"/>
      <c r="U39" s="115"/>
      <c r="V39" s="115"/>
      <c r="W39" s="115">
        <v>22472000</v>
      </c>
      <c r="X39" s="166">
        <f t="shared" si="5"/>
        <v>87.797715501254743</v>
      </c>
      <c r="Y39" s="115">
        <f t="shared" si="8"/>
        <v>22472000</v>
      </c>
      <c r="Z39" s="189"/>
      <c r="AA39" s="53"/>
      <c r="AB39" s="53"/>
      <c r="AC39" s="53"/>
      <c r="AD39" s="53"/>
      <c r="AE39" s="79"/>
      <c r="AF39" s="79"/>
      <c r="AG39" s="79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  <c r="TA39" s="53"/>
      <c r="TB39" s="53"/>
      <c r="TC39" s="53"/>
      <c r="TD39" s="53"/>
      <c r="TE39" s="53"/>
      <c r="TF39" s="53"/>
      <c r="TG39" s="53"/>
      <c r="TH39" s="53"/>
      <c r="TI39" s="53"/>
      <c r="TJ39" s="53"/>
      <c r="TK39" s="53"/>
      <c r="TL39" s="53"/>
      <c r="TM39" s="53"/>
      <c r="TN39" s="53"/>
      <c r="TO39" s="53"/>
      <c r="TP39" s="53"/>
      <c r="TQ39" s="53"/>
      <c r="TR39" s="53"/>
      <c r="TS39" s="53"/>
      <c r="TT39" s="53"/>
      <c r="TU39" s="53"/>
      <c r="TV39" s="53"/>
      <c r="TW39" s="53"/>
      <c r="TX39" s="53"/>
      <c r="TY39" s="53"/>
      <c r="TZ39" s="53"/>
      <c r="UA39" s="53"/>
      <c r="UB39" s="53"/>
      <c r="UC39" s="53"/>
      <c r="UD39" s="53"/>
      <c r="UE39" s="53"/>
      <c r="UF39" s="53"/>
      <c r="UG39" s="53"/>
      <c r="UH39" s="53"/>
      <c r="UI39" s="53"/>
      <c r="UJ39" s="53"/>
      <c r="UK39" s="53"/>
      <c r="UL39" s="53"/>
      <c r="UM39" s="53"/>
      <c r="UN39" s="53"/>
      <c r="UO39" s="53"/>
      <c r="UP39" s="53"/>
      <c r="UQ39" s="53"/>
      <c r="UR39" s="53"/>
      <c r="US39" s="53"/>
      <c r="UT39" s="53"/>
      <c r="UU39" s="53"/>
      <c r="UV39" s="53"/>
      <c r="UW39" s="53"/>
      <c r="UX39" s="53"/>
      <c r="UY39" s="53"/>
      <c r="UZ39" s="53"/>
      <c r="VA39" s="53"/>
      <c r="VB39" s="53"/>
      <c r="VC39" s="53"/>
      <c r="VD39" s="53"/>
      <c r="VE39" s="53"/>
      <c r="VF39" s="53"/>
      <c r="VG39" s="53"/>
      <c r="VH39" s="53"/>
      <c r="VI39" s="53"/>
      <c r="VJ39" s="53"/>
      <c r="VK39" s="53"/>
      <c r="VL39" s="53"/>
    </row>
    <row r="40" spans="1:584" s="47" customFormat="1" ht="36.75" customHeight="1" x14ac:dyDescent="0.25">
      <c r="A40" s="49" t="s">
        <v>319</v>
      </c>
      <c r="B40" s="93" t="str">
        <f>'дод 3'!A193</f>
        <v>7680</v>
      </c>
      <c r="C40" s="93" t="str">
        <f>'дод 3'!B193</f>
        <v>0490</v>
      </c>
      <c r="D40" s="46" t="str">
        <f>'дод 3'!C193</f>
        <v>Членські внески до асоціацій органів місцевого самоврядування</v>
      </c>
      <c r="E40" s="115">
        <v>243690</v>
      </c>
      <c r="F40" s="115"/>
      <c r="G40" s="115"/>
      <c r="H40" s="115">
        <v>240373</v>
      </c>
      <c r="I40" s="115"/>
      <c r="J40" s="115"/>
      <c r="K40" s="164">
        <f t="shared" si="3"/>
        <v>98.638844433501589</v>
      </c>
      <c r="L40" s="115">
        <f t="shared" si="6"/>
        <v>0</v>
      </c>
      <c r="M40" s="115"/>
      <c r="N40" s="115"/>
      <c r="O40" s="115"/>
      <c r="P40" s="115"/>
      <c r="Q40" s="115"/>
      <c r="R40" s="115">
        <f t="shared" si="7"/>
        <v>0</v>
      </c>
      <c r="S40" s="115"/>
      <c r="T40" s="115"/>
      <c r="U40" s="115"/>
      <c r="V40" s="115"/>
      <c r="W40" s="115"/>
      <c r="X40" s="166"/>
      <c r="Y40" s="115">
        <f t="shared" si="8"/>
        <v>240373</v>
      </c>
      <c r="Z40" s="189"/>
      <c r="AA40" s="53"/>
      <c r="AB40" s="53"/>
      <c r="AC40" s="53"/>
      <c r="AD40" s="53"/>
      <c r="AE40" s="79"/>
      <c r="AF40" s="79"/>
      <c r="AG40" s="79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  <c r="RZ40" s="53"/>
      <c r="SA40" s="53"/>
      <c r="SB40" s="53"/>
      <c r="SC40" s="53"/>
      <c r="SD40" s="53"/>
      <c r="SE40" s="53"/>
      <c r="SF40" s="53"/>
      <c r="SG40" s="53"/>
      <c r="SH40" s="53"/>
      <c r="SI40" s="53"/>
      <c r="SJ40" s="53"/>
      <c r="SK40" s="53"/>
      <c r="SL40" s="53"/>
      <c r="SM40" s="53"/>
      <c r="SN40" s="53"/>
      <c r="SO40" s="53"/>
      <c r="SP40" s="53"/>
      <c r="SQ40" s="53"/>
      <c r="SR40" s="53"/>
      <c r="SS40" s="53"/>
      <c r="ST40" s="53"/>
      <c r="SU40" s="53"/>
      <c r="SV40" s="53"/>
      <c r="SW40" s="53"/>
      <c r="SX40" s="53"/>
      <c r="SY40" s="53"/>
      <c r="SZ40" s="53"/>
      <c r="TA40" s="53"/>
      <c r="TB40" s="53"/>
      <c r="TC40" s="53"/>
      <c r="TD40" s="53"/>
      <c r="TE40" s="53"/>
      <c r="TF40" s="53"/>
      <c r="TG40" s="53"/>
      <c r="TH40" s="53"/>
      <c r="TI40" s="53"/>
      <c r="TJ40" s="53"/>
      <c r="TK40" s="53"/>
      <c r="TL40" s="53"/>
      <c r="TM40" s="53"/>
      <c r="TN40" s="53"/>
      <c r="TO40" s="53"/>
      <c r="TP40" s="53"/>
      <c r="TQ40" s="53"/>
      <c r="TR40" s="53"/>
      <c r="TS40" s="53"/>
      <c r="TT40" s="53"/>
      <c r="TU40" s="53"/>
      <c r="TV40" s="53"/>
      <c r="TW40" s="53"/>
      <c r="TX40" s="53"/>
      <c r="TY40" s="53"/>
      <c r="TZ40" s="53"/>
      <c r="UA40" s="53"/>
      <c r="UB40" s="53"/>
      <c r="UC40" s="53"/>
      <c r="UD40" s="53"/>
      <c r="UE40" s="53"/>
      <c r="UF40" s="53"/>
      <c r="UG40" s="53"/>
      <c r="UH40" s="53"/>
      <c r="UI40" s="53"/>
      <c r="UJ40" s="53"/>
      <c r="UK40" s="53"/>
      <c r="UL40" s="53"/>
      <c r="UM40" s="53"/>
      <c r="UN40" s="53"/>
      <c r="UO40" s="53"/>
      <c r="UP40" s="53"/>
      <c r="UQ40" s="53"/>
      <c r="UR40" s="53"/>
      <c r="US40" s="53"/>
      <c r="UT40" s="53"/>
      <c r="UU40" s="53"/>
      <c r="UV40" s="53"/>
      <c r="UW40" s="53"/>
      <c r="UX40" s="53"/>
      <c r="UY40" s="53"/>
      <c r="UZ40" s="53"/>
      <c r="VA40" s="53"/>
      <c r="VB40" s="53"/>
      <c r="VC40" s="53"/>
      <c r="VD40" s="53"/>
      <c r="VE40" s="53"/>
      <c r="VF40" s="53"/>
      <c r="VG40" s="53"/>
      <c r="VH40" s="53"/>
      <c r="VI40" s="53"/>
      <c r="VJ40" s="53"/>
      <c r="VK40" s="53"/>
      <c r="VL40" s="53"/>
    </row>
    <row r="41" spans="1:584" s="47" customFormat="1" ht="93.75" customHeight="1" x14ac:dyDescent="0.25">
      <c r="A41" s="49" t="s">
        <v>391</v>
      </c>
      <c r="B41" s="93" t="str">
        <f>'дод 3'!A194</f>
        <v>7691</v>
      </c>
      <c r="C41" s="93" t="str">
        <f>'дод 3'!B194</f>
        <v>0490</v>
      </c>
      <c r="D41" s="46" t="s">
        <v>413</v>
      </c>
      <c r="E41" s="115">
        <v>0</v>
      </c>
      <c r="F41" s="115"/>
      <c r="G41" s="115"/>
      <c r="H41" s="115"/>
      <c r="I41" s="115"/>
      <c r="J41" s="115"/>
      <c r="K41" s="135"/>
      <c r="L41" s="115">
        <f t="shared" si="6"/>
        <v>85501.16</v>
      </c>
      <c r="M41" s="115"/>
      <c r="N41" s="115">
        <f>59464+8701.16+15336+2000</f>
        <v>85501.16</v>
      </c>
      <c r="O41" s="115"/>
      <c r="P41" s="115"/>
      <c r="Q41" s="115"/>
      <c r="R41" s="115">
        <f t="shared" si="7"/>
        <v>83596.41</v>
      </c>
      <c r="S41" s="115"/>
      <c r="T41" s="115">
        <v>83596.41</v>
      </c>
      <c r="U41" s="115"/>
      <c r="V41" s="115"/>
      <c r="W41" s="115"/>
      <c r="X41" s="166">
        <f t="shared" si="5"/>
        <v>97.772252446633473</v>
      </c>
      <c r="Y41" s="115">
        <f t="shared" si="8"/>
        <v>83596.41</v>
      </c>
      <c r="Z41" s="189"/>
      <c r="AA41" s="53"/>
      <c r="AB41" s="53"/>
      <c r="AC41" s="53"/>
      <c r="AD41" s="53"/>
      <c r="AE41" s="79"/>
      <c r="AF41" s="79"/>
      <c r="AG41" s="79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</row>
    <row r="42" spans="1:584" s="47" customFormat="1" ht="23.25" customHeight="1" x14ac:dyDescent="0.25">
      <c r="A42" s="49" t="s">
        <v>312</v>
      </c>
      <c r="B42" s="93" t="str">
        <f>'дод 3'!A195</f>
        <v>7693</v>
      </c>
      <c r="C42" s="93" t="str">
        <f>'дод 3'!B195</f>
        <v>0490</v>
      </c>
      <c r="D42" s="46" t="str">
        <f>'дод 3'!C195</f>
        <v>Інші заходи, пов'язані з економічною діяльністю</v>
      </c>
      <c r="E42" s="115">
        <v>2132582</v>
      </c>
      <c r="F42" s="115">
        <f>37557-37557</f>
        <v>0</v>
      </c>
      <c r="G42" s="115"/>
      <c r="H42" s="115">
        <v>1954449.62</v>
      </c>
      <c r="I42" s="115"/>
      <c r="J42" s="115"/>
      <c r="K42" s="164">
        <f t="shared" si="3"/>
        <v>91.64710290155314</v>
      </c>
      <c r="L42" s="115">
        <f t="shared" si="6"/>
        <v>0</v>
      </c>
      <c r="M42" s="115">
        <f>25900-25900</f>
        <v>0</v>
      </c>
      <c r="N42" s="115"/>
      <c r="O42" s="115"/>
      <c r="P42" s="115"/>
      <c r="Q42" s="115">
        <f>25900-25900</f>
        <v>0</v>
      </c>
      <c r="R42" s="115">
        <f t="shared" si="7"/>
        <v>0</v>
      </c>
      <c r="S42" s="115"/>
      <c r="T42" s="115"/>
      <c r="U42" s="115"/>
      <c r="V42" s="115"/>
      <c r="W42" s="115"/>
      <c r="X42" s="166"/>
      <c r="Y42" s="115">
        <f t="shared" si="8"/>
        <v>1954449.62</v>
      </c>
      <c r="Z42" s="189"/>
      <c r="AA42" s="53"/>
      <c r="AB42" s="53"/>
      <c r="AC42" s="53"/>
      <c r="AD42" s="53"/>
      <c r="AE42" s="79"/>
      <c r="AF42" s="79"/>
      <c r="AG42" s="79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</row>
    <row r="43" spans="1:584" s="47" customFormat="1" ht="34.5" customHeight="1" x14ac:dyDescent="0.25">
      <c r="A43" s="49" t="s">
        <v>218</v>
      </c>
      <c r="B43" s="93" t="str">
        <f>'дод 3'!A201</f>
        <v>8110</v>
      </c>
      <c r="C43" s="93" t="str">
        <f>'дод 3'!B201</f>
        <v>0320</v>
      </c>
      <c r="D43" s="46" t="str">
        <f>'дод 3'!C201</f>
        <v>Заходи із запобігання та ліквідації надзвичайних ситуацій та наслідків стихійного лиха</v>
      </c>
      <c r="E43" s="115">
        <v>450600</v>
      </c>
      <c r="F43" s="115"/>
      <c r="G43" s="115">
        <v>6500</v>
      </c>
      <c r="H43" s="115">
        <v>415647.15</v>
      </c>
      <c r="I43" s="115"/>
      <c r="J43" s="115">
        <v>2101.0300000000002</v>
      </c>
      <c r="K43" s="164">
        <f t="shared" si="3"/>
        <v>92.243042609853532</v>
      </c>
      <c r="L43" s="115">
        <f t="shared" si="6"/>
        <v>2007200</v>
      </c>
      <c r="M43" s="115">
        <v>2007200</v>
      </c>
      <c r="N43" s="115"/>
      <c r="O43" s="115"/>
      <c r="P43" s="115"/>
      <c r="Q43" s="115">
        <v>2007200</v>
      </c>
      <c r="R43" s="115">
        <f t="shared" si="7"/>
        <v>1963759.01</v>
      </c>
      <c r="S43" s="115">
        <v>1963759.01</v>
      </c>
      <c r="T43" s="115"/>
      <c r="U43" s="115"/>
      <c r="V43" s="115"/>
      <c r="W43" s="115">
        <v>1963759.01</v>
      </c>
      <c r="X43" s="166">
        <f t="shared" si="5"/>
        <v>97.835741829414118</v>
      </c>
      <c r="Y43" s="115">
        <f t="shared" si="8"/>
        <v>2379406.16</v>
      </c>
      <c r="Z43" s="189"/>
      <c r="AA43" s="53"/>
      <c r="AB43" s="53"/>
      <c r="AC43" s="53"/>
      <c r="AD43" s="53"/>
      <c r="AE43" s="79"/>
      <c r="AF43" s="79"/>
      <c r="AG43" s="79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53"/>
      <c r="PC43" s="53"/>
      <c r="PD43" s="53"/>
      <c r="PE43" s="53"/>
      <c r="PF43" s="53"/>
      <c r="PG43" s="53"/>
      <c r="PH43" s="53"/>
      <c r="PI43" s="53"/>
      <c r="PJ43" s="53"/>
      <c r="PK43" s="53"/>
      <c r="PL43" s="53"/>
      <c r="PM43" s="53"/>
      <c r="PN43" s="53"/>
      <c r="PO43" s="53"/>
      <c r="PP43" s="53"/>
      <c r="PQ43" s="53"/>
      <c r="PR43" s="53"/>
      <c r="PS43" s="53"/>
      <c r="PT43" s="53"/>
      <c r="PU43" s="53"/>
      <c r="PV43" s="53"/>
      <c r="PW43" s="53"/>
      <c r="PX43" s="53"/>
      <c r="PY43" s="53"/>
      <c r="PZ43" s="53"/>
      <c r="QA43" s="53"/>
      <c r="QB43" s="53"/>
      <c r="QC43" s="53"/>
      <c r="QD43" s="53"/>
      <c r="QE43" s="53"/>
      <c r="QF43" s="53"/>
      <c r="QG43" s="53"/>
      <c r="QH43" s="53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53"/>
      <c r="QT43" s="53"/>
      <c r="QU43" s="53"/>
      <c r="QV43" s="53"/>
      <c r="QW43" s="53"/>
      <c r="QX43" s="53"/>
      <c r="QY43" s="53"/>
      <c r="QZ43" s="53"/>
      <c r="RA43" s="53"/>
      <c r="RB43" s="53"/>
      <c r="RC43" s="53"/>
      <c r="RD43" s="53"/>
      <c r="RE43" s="53"/>
      <c r="RF43" s="53"/>
      <c r="RG43" s="53"/>
      <c r="RH43" s="53"/>
      <c r="RI43" s="53"/>
      <c r="RJ43" s="53"/>
      <c r="RK43" s="53"/>
      <c r="RL43" s="53"/>
      <c r="RM43" s="53"/>
      <c r="RN43" s="53"/>
      <c r="RO43" s="53"/>
      <c r="RP43" s="53"/>
      <c r="RQ43" s="53"/>
      <c r="RR43" s="53"/>
      <c r="RS43" s="53"/>
      <c r="RT43" s="53"/>
      <c r="RU43" s="53"/>
      <c r="RV43" s="53"/>
      <c r="RW43" s="53"/>
      <c r="RX43" s="53"/>
      <c r="RY43" s="53"/>
      <c r="RZ43" s="53"/>
      <c r="SA43" s="53"/>
      <c r="SB43" s="53"/>
      <c r="SC43" s="53"/>
      <c r="SD43" s="53"/>
      <c r="SE43" s="53"/>
      <c r="SF43" s="53"/>
      <c r="SG43" s="53"/>
      <c r="SH43" s="53"/>
      <c r="SI43" s="53"/>
      <c r="SJ43" s="53"/>
      <c r="SK43" s="53"/>
      <c r="SL43" s="53"/>
      <c r="SM43" s="53"/>
      <c r="SN43" s="53"/>
      <c r="SO43" s="53"/>
      <c r="SP43" s="53"/>
      <c r="SQ43" s="53"/>
      <c r="SR43" s="53"/>
      <c r="SS43" s="53"/>
      <c r="ST43" s="53"/>
      <c r="SU43" s="53"/>
      <c r="SV43" s="53"/>
      <c r="SW43" s="53"/>
      <c r="SX43" s="53"/>
      <c r="SY43" s="53"/>
      <c r="SZ43" s="53"/>
      <c r="TA43" s="53"/>
      <c r="TB43" s="53"/>
      <c r="TC43" s="53"/>
      <c r="TD43" s="53"/>
      <c r="TE43" s="53"/>
      <c r="TF43" s="53"/>
      <c r="TG43" s="53"/>
      <c r="TH43" s="53"/>
      <c r="TI43" s="53"/>
      <c r="TJ43" s="53"/>
      <c r="TK43" s="53"/>
      <c r="TL43" s="53"/>
      <c r="TM43" s="53"/>
      <c r="TN43" s="53"/>
      <c r="TO43" s="53"/>
      <c r="TP43" s="53"/>
      <c r="TQ43" s="53"/>
      <c r="TR43" s="53"/>
      <c r="TS43" s="53"/>
      <c r="TT43" s="53"/>
      <c r="TU43" s="53"/>
      <c r="TV43" s="53"/>
      <c r="TW43" s="53"/>
      <c r="TX43" s="53"/>
      <c r="TY43" s="53"/>
      <c r="TZ43" s="53"/>
      <c r="UA43" s="53"/>
      <c r="UB43" s="53"/>
      <c r="UC43" s="53"/>
      <c r="UD43" s="53"/>
      <c r="UE43" s="53"/>
      <c r="UF43" s="53"/>
      <c r="UG43" s="53"/>
      <c r="UH43" s="53"/>
      <c r="UI43" s="53"/>
      <c r="UJ43" s="53"/>
      <c r="UK43" s="53"/>
      <c r="UL43" s="53"/>
      <c r="UM43" s="53"/>
      <c r="UN43" s="53"/>
      <c r="UO43" s="53"/>
      <c r="UP43" s="53"/>
      <c r="UQ43" s="53"/>
      <c r="UR43" s="53"/>
      <c r="US43" s="53"/>
      <c r="UT43" s="53"/>
      <c r="UU43" s="53"/>
      <c r="UV43" s="53"/>
      <c r="UW43" s="53"/>
      <c r="UX43" s="53"/>
      <c r="UY43" s="53"/>
      <c r="UZ43" s="53"/>
      <c r="VA43" s="53"/>
      <c r="VB43" s="53"/>
      <c r="VC43" s="53"/>
      <c r="VD43" s="53"/>
      <c r="VE43" s="53"/>
      <c r="VF43" s="53"/>
      <c r="VG43" s="53"/>
      <c r="VH43" s="53"/>
      <c r="VI43" s="53"/>
      <c r="VJ43" s="53"/>
      <c r="VK43" s="53"/>
      <c r="VL43" s="53"/>
    </row>
    <row r="44" spans="1:584" s="47" customFormat="1" ht="19.5" customHeight="1" x14ac:dyDescent="0.25">
      <c r="A44" s="49" t="s">
        <v>294</v>
      </c>
      <c r="B44" s="93" t="str">
        <f>'дод 3'!A202</f>
        <v>8120</v>
      </c>
      <c r="C44" s="93" t="str">
        <f>'дод 3'!B202</f>
        <v>0320</v>
      </c>
      <c r="D44" s="46" t="str">
        <f>'дод 3'!C202</f>
        <v>Заходи з організації рятування на водах</v>
      </c>
      <c r="E44" s="115">
        <v>1751330</v>
      </c>
      <c r="F44" s="115">
        <f>1264118+20492+23057</f>
        <v>1307667</v>
      </c>
      <c r="G44" s="115">
        <v>86593</v>
      </c>
      <c r="H44" s="115">
        <v>1736834.33</v>
      </c>
      <c r="I44" s="115">
        <v>1307657.33</v>
      </c>
      <c r="J44" s="115">
        <v>80495.320000000007</v>
      </c>
      <c r="K44" s="164">
        <f t="shared" si="3"/>
        <v>99.172305048163395</v>
      </c>
      <c r="L44" s="115">
        <f t="shared" si="6"/>
        <v>5300</v>
      </c>
      <c r="M44" s="115"/>
      <c r="N44" s="115">
        <v>5300</v>
      </c>
      <c r="O44" s="115"/>
      <c r="P44" s="115">
        <v>1400</v>
      </c>
      <c r="Q44" s="115"/>
      <c r="R44" s="115">
        <f t="shared" si="7"/>
        <v>38185.43</v>
      </c>
      <c r="S44" s="115"/>
      <c r="T44" s="115">
        <v>28385.43</v>
      </c>
      <c r="U44" s="115"/>
      <c r="V44" s="115">
        <v>1144</v>
      </c>
      <c r="W44" s="115">
        <v>9800</v>
      </c>
      <c r="X44" s="166">
        <f t="shared" si="5"/>
        <v>720.47981132075472</v>
      </c>
      <c r="Y44" s="115">
        <f t="shared" si="8"/>
        <v>1775019.76</v>
      </c>
      <c r="Z44" s="189"/>
      <c r="AA44" s="53"/>
      <c r="AB44" s="53"/>
      <c r="AC44" s="53"/>
      <c r="AD44" s="53"/>
      <c r="AE44" s="79"/>
      <c r="AF44" s="79"/>
      <c r="AG44" s="79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  <c r="SB44" s="53"/>
      <c r="SC44" s="53"/>
      <c r="SD44" s="53"/>
      <c r="SE44" s="53"/>
      <c r="SF44" s="53"/>
      <c r="SG44" s="53"/>
      <c r="SH44" s="53"/>
      <c r="SI44" s="53"/>
      <c r="SJ44" s="53"/>
      <c r="SK44" s="53"/>
      <c r="SL44" s="53"/>
      <c r="SM44" s="53"/>
      <c r="SN44" s="53"/>
      <c r="SO44" s="53"/>
      <c r="SP44" s="53"/>
      <c r="SQ44" s="53"/>
      <c r="SR44" s="53"/>
      <c r="SS44" s="53"/>
      <c r="ST44" s="53"/>
      <c r="SU44" s="53"/>
      <c r="SV44" s="53"/>
      <c r="SW44" s="53"/>
      <c r="SX44" s="53"/>
      <c r="SY44" s="53"/>
      <c r="SZ44" s="53"/>
      <c r="TA44" s="53"/>
      <c r="TB44" s="53"/>
      <c r="TC44" s="53"/>
      <c r="TD44" s="53"/>
      <c r="TE44" s="53"/>
      <c r="TF44" s="53"/>
      <c r="TG44" s="53"/>
      <c r="TH44" s="53"/>
      <c r="TI44" s="53"/>
      <c r="TJ44" s="53"/>
      <c r="TK44" s="53"/>
      <c r="TL44" s="53"/>
      <c r="TM44" s="53"/>
      <c r="TN44" s="53"/>
      <c r="TO44" s="53"/>
      <c r="TP44" s="53"/>
      <c r="TQ44" s="53"/>
      <c r="TR44" s="53"/>
      <c r="TS44" s="53"/>
      <c r="TT44" s="53"/>
      <c r="TU44" s="53"/>
      <c r="TV44" s="53"/>
      <c r="TW44" s="53"/>
      <c r="TX44" s="53"/>
      <c r="TY44" s="53"/>
      <c r="TZ44" s="53"/>
      <c r="UA44" s="53"/>
      <c r="UB44" s="53"/>
      <c r="UC44" s="53"/>
      <c r="UD44" s="53"/>
      <c r="UE44" s="53"/>
      <c r="UF44" s="53"/>
      <c r="UG44" s="53"/>
      <c r="UH44" s="53"/>
      <c r="UI44" s="53"/>
      <c r="UJ44" s="53"/>
      <c r="UK44" s="53"/>
      <c r="UL44" s="53"/>
      <c r="UM44" s="53"/>
      <c r="UN44" s="53"/>
      <c r="UO44" s="53"/>
      <c r="UP44" s="53"/>
      <c r="UQ44" s="53"/>
      <c r="UR44" s="53"/>
      <c r="US44" s="53"/>
      <c r="UT44" s="53"/>
      <c r="UU44" s="53"/>
      <c r="UV44" s="53"/>
      <c r="UW44" s="53"/>
      <c r="UX44" s="53"/>
      <c r="UY44" s="53"/>
      <c r="UZ44" s="53"/>
      <c r="VA44" s="53"/>
      <c r="VB44" s="53"/>
      <c r="VC44" s="53"/>
      <c r="VD44" s="53"/>
      <c r="VE44" s="53"/>
      <c r="VF44" s="53"/>
      <c r="VG44" s="53"/>
      <c r="VH44" s="53"/>
      <c r="VI44" s="53"/>
      <c r="VJ44" s="53"/>
      <c r="VK44" s="53"/>
      <c r="VL44" s="53"/>
    </row>
    <row r="45" spans="1:584" s="47" customFormat="1" ht="21.75" customHeight="1" x14ac:dyDescent="0.25">
      <c r="A45" s="49" t="s">
        <v>315</v>
      </c>
      <c r="B45" s="93" t="str">
        <f>'дод 3'!A204</f>
        <v>8230</v>
      </c>
      <c r="C45" s="93" t="str">
        <f>'дод 3'!B204</f>
        <v>0380</v>
      </c>
      <c r="D45" s="46" t="str">
        <f>'дод 3'!C204</f>
        <v>Інші заходи громадського порядку та безпеки</v>
      </c>
      <c r="E45" s="115">
        <v>819800</v>
      </c>
      <c r="F45" s="115"/>
      <c r="G45" s="115">
        <f>269900+596</f>
        <v>270496</v>
      </c>
      <c r="H45" s="115">
        <v>763792.71</v>
      </c>
      <c r="I45" s="115"/>
      <c r="J45" s="115">
        <v>223775.29</v>
      </c>
      <c r="K45" s="164">
        <f t="shared" si="3"/>
        <v>93.168176384484013</v>
      </c>
      <c r="L45" s="115">
        <f t="shared" si="6"/>
        <v>0</v>
      </c>
      <c r="M45" s="115"/>
      <c r="N45" s="115"/>
      <c r="O45" s="115"/>
      <c r="P45" s="115"/>
      <c r="Q45" s="115"/>
      <c r="R45" s="115">
        <f t="shared" si="7"/>
        <v>0</v>
      </c>
      <c r="S45" s="115"/>
      <c r="T45" s="115"/>
      <c r="U45" s="115"/>
      <c r="V45" s="115"/>
      <c r="W45" s="115"/>
      <c r="X45" s="149"/>
      <c r="Y45" s="115">
        <f t="shared" si="8"/>
        <v>763792.71</v>
      </c>
      <c r="Z45" s="189"/>
      <c r="AA45" s="53"/>
      <c r="AB45" s="53"/>
      <c r="AC45" s="53"/>
      <c r="AD45" s="53"/>
      <c r="AE45" s="79"/>
      <c r="AF45" s="79"/>
      <c r="AG45" s="79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  <c r="KR45" s="53"/>
      <c r="KS45" s="53"/>
      <c r="KT45" s="53"/>
      <c r="KU45" s="53"/>
      <c r="KV45" s="53"/>
      <c r="KW45" s="53"/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3"/>
      <c r="LR45" s="53"/>
      <c r="LS45" s="53"/>
      <c r="LT45" s="53"/>
      <c r="LU45" s="53"/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/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/>
      <c r="NJ45" s="53"/>
      <c r="NK45" s="53"/>
      <c r="NL45" s="53"/>
      <c r="NM45" s="53"/>
      <c r="NN45" s="53"/>
      <c r="NO45" s="53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3"/>
      <c r="OB45" s="53"/>
      <c r="OC45" s="53"/>
      <c r="OD45" s="53"/>
      <c r="OE45" s="53"/>
      <c r="OF45" s="53"/>
      <c r="OG45" s="53"/>
      <c r="OH45" s="53"/>
      <c r="OI45" s="53"/>
      <c r="OJ45" s="53"/>
      <c r="OK45" s="53"/>
      <c r="OL45" s="53"/>
      <c r="OM45" s="53"/>
      <c r="ON45" s="53"/>
      <c r="OO45" s="53"/>
      <c r="OP45" s="53"/>
      <c r="OQ45" s="53"/>
      <c r="OR45" s="53"/>
      <c r="OS45" s="53"/>
      <c r="OT45" s="53"/>
      <c r="OU45" s="53"/>
      <c r="OV45" s="53"/>
      <c r="OW45" s="53"/>
      <c r="OX45" s="53"/>
      <c r="OY45" s="53"/>
      <c r="OZ45" s="53"/>
      <c r="PA45" s="53"/>
      <c r="PB45" s="53"/>
      <c r="PC45" s="53"/>
      <c r="PD45" s="53"/>
      <c r="PE45" s="53"/>
      <c r="PF45" s="53"/>
      <c r="PG45" s="53"/>
      <c r="PH45" s="53"/>
      <c r="PI45" s="53"/>
      <c r="PJ45" s="53"/>
      <c r="PK45" s="53"/>
      <c r="PL45" s="53"/>
      <c r="PM45" s="53"/>
      <c r="PN45" s="53"/>
      <c r="PO45" s="53"/>
      <c r="PP45" s="53"/>
      <c r="PQ45" s="53"/>
      <c r="PR45" s="53"/>
      <c r="PS45" s="53"/>
      <c r="PT45" s="53"/>
      <c r="PU45" s="53"/>
      <c r="PV45" s="53"/>
      <c r="PW45" s="53"/>
      <c r="PX45" s="53"/>
      <c r="PY45" s="53"/>
      <c r="PZ45" s="53"/>
      <c r="QA45" s="53"/>
      <c r="QB45" s="53"/>
      <c r="QC45" s="53"/>
      <c r="QD45" s="53"/>
      <c r="QE45" s="53"/>
      <c r="QF45" s="53"/>
      <c r="QG45" s="53"/>
      <c r="QH45" s="53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3"/>
      <c r="QU45" s="53"/>
      <c r="QV45" s="53"/>
      <c r="QW45" s="53"/>
      <c r="QX45" s="53"/>
      <c r="QY45" s="53"/>
      <c r="QZ45" s="53"/>
      <c r="RA45" s="53"/>
      <c r="RB45" s="53"/>
      <c r="RC45" s="53"/>
      <c r="RD45" s="53"/>
      <c r="RE45" s="53"/>
      <c r="RF45" s="53"/>
      <c r="RG45" s="53"/>
      <c r="RH45" s="53"/>
      <c r="RI45" s="53"/>
      <c r="RJ45" s="53"/>
      <c r="RK45" s="53"/>
      <c r="RL45" s="53"/>
      <c r="RM45" s="53"/>
      <c r="RN45" s="53"/>
      <c r="RO45" s="53"/>
      <c r="RP45" s="53"/>
      <c r="RQ45" s="53"/>
      <c r="RR45" s="53"/>
      <c r="RS45" s="53"/>
      <c r="RT45" s="53"/>
      <c r="RU45" s="53"/>
      <c r="RV45" s="53"/>
      <c r="RW45" s="53"/>
      <c r="RX45" s="53"/>
      <c r="RY45" s="53"/>
      <c r="RZ45" s="53"/>
      <c r="SA45" s="53"/>
      <c r="SB45" s="53"/>
      <c r="SC45" s="53"/>
      <c r="SD45" s="53"/>
      <c r="SE45" s="53"/>
      <c r="SF45" s="53"/>
      <c r="SG45" s="53"/>
      <c r="SH45" s="53"/>
      <c r="SI45" s="53"/>
      <c r="SJ45" s="53"/>
      <c r="SK45" s="53"/>
      <c r="SL45" s="53"/>
      <c r="SM45" s="53"/>
      <c r="SN45" s="53"/>
      <c r="SO45" s="53"/>
      <c r="SP45" s="53"/>
      <c r="SQ45" s="53"/>
      <c r="SR45" s="53"/>
      <c r="SS45" s="53"/>
      <c r="ST45" s="53"/>
      <c r="SU45" s="53"/>
      <c r="SV45" s="53"/>
      <c r="SW45" s="53"/>
      <c r="SX45" s="53"/>
      <c r="SY45" s="53"/>
      <c r="SZ45" s="53"/>
      <c r="TA45" s="53"/>
      <c r="TB45" s="53"/>
      <c r="TC45" s="53"/>
      <c r="TD45" s="53"/>
      <c r="TE45" s="53"/>
      <c r="TF45" s="53"/>
      <c r="TG45" s="53"/>
      <c r="TH45" s="53"/>
      <c r="TI45" s="53"/>
      <c r="TJ45" s="53"/>
      <c r="TK45" s="53"/>
      <c r="TL45" s="53"/>
      <c r="TM45" s="53"/>
      <c r="TN45" s="53"/>
      <c r="TO45" s="53"/>
      <c r="TP45" s="53"/>
      <c r="TQ45" s="53"/>
      <c r="TR45" s="53"/>
      <c r="TS45" s="53"/>
      <c r="TT45" s="53"/>
      <c r="TU45" s="53"/>
      <c r="TV45" s="53"/>
      <c r="TW45" s="53"/>
      <c r="TX45" s="53"/>
      <c r="TY45" s="53"/>
      <c r="TZ45" s="53"/>
      <c r="UA45" s="53"/>
      <c r="UB45" s="53"/>
      <c r="UC45" s="53"/>
      <c r="UD45" s="53"/>
      <c r="UE45" s="53"/>
      <c r="UF45" s="53"/>
      <c r="UG45" s="53"/>
      <c r="UH45" s="53"/>
      <c r="UI45" s="53"/>
      <c r="UJ45" s="53"/>
      <c r="UK45" s="53"/>
      <c r="UL45" s="53"/>
      <c r="UM45" s="53"/>
      <c r="UN45" s="53"/>
      <c r="UO45" s="53"/>
      <c r="UP45" s="53"/>
      <c r="UQ45" s="53"/>
      <c r="UR45" s="53"/>
      <c r="US45" s="53"/>
      <c r="UT45" s="53"/>
      <c r="UU45" s="53"/>
      <c r="UV45" s="53"/>
      <c r="UW45" s="53"/>
      <c r="UX45" s="53"/>
      <c r="UY45" s="53"/>
      <c r="UZ45" s="53"/>
      <c r="VA45" s="53"/>
      <c r="VB45" s="53"/>
      <c r="VC45" s="53"/>
      <c r="VD45" s="53"/>
      <c r="VE45" s="53"/>
      <c r="VF45" s="53"/>
      <c r="VG45" s="53"/>
      <c r="VH45" s="53"/>
      <c r="VI45" s="53"/>
      <c r="VJ45" s="53"/>
      <c r="VK45" s="53"/>
      <c r="VL45" s="53"/>
    </row>
    <row r="46" spans="1:584" s="47" customFormat="1" ht="23.25" customHeight="1" x14ac:dyDescent="0.25">
      <c r="A46" s="45" t="s">
        <v>219</v>
      </c>
      <c r="B46" s="91" t="str">
        <f>'дод 3'!A207</f>
        <v>8340</v>
      </c>
      <c r="C46" s="91" t="str">
        <f>'дод 3'!B207</f>
        <v>0540</v>
      </c>
      <c r="D46" s="48" t="str">
        <f>'дод 3'!C207</f>
        <v>Природоохоронні заходи за рахунок цільових фондів</v>
      </c>
      <c r="E46" s="115">
        <v>0</v>
      </c>
      <c r="F46" s="115"/>
      <c r="G46" s="115"/>
      <c r="H46" s="115"/>
      <c r="I46" s="115"/>
      <c r="J46" s="115"/>
      <c r="K46" s="164"/>
      <c r="L46" s="115">
        <f t="shared" si="6"/>
        <v>310000</v>
      </c>
      <c r="M46" s="115"/>
      <c r="N46" s="115">
        <f>260000+50000</f>
        <v>310000</v>
      </c>
      <c r="O46" s="115"/>
      <c r="P46" s="115"/>
      <c r="Q46" s="115"/>
      <c r="R46" s="115">
        <f t="shared" si="7"/>
        <v>305728.03000000003</v>
      </c>
      <c r="S46" s="115"/>
      <c r="T46" s="115">
        <v>305728.03000000003</v>
      </c>
      <c r="U46" s="115"/>
      <c r="V46" s="115"/>
      <c r="W46" s="115"/>
      <c r="X46" s="166">
        <f t="shared" si="5"/>
        <v>98.621945161290341</v>
      </c>
      <c r="Y46" s="115">
        <f t="shared" si="8"/>
        <v>305728.03000000003</v>
      </c>
      <c r="Z46" s="189"/>
      <c r="AA46" s="53"/>
      <c r="AB46" s="53"/>
      <c r="AC46" s="53"/>
      <c r="AD46" s="53"/>
      <c r="AE46" s="79"/>
      <c r="AF46" s="79"/>
      <c r="AG46" s="79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</row>
    <row r="47" spans="1:584" s="47" customFormat="1" ht="26.25" customHeight="1" x14ac:dyDescent="0.25">
      <c r="A47" s="49" t="s">
        <v>326</v>
      </c>
      <c r="B47" s="93" t="str">
        <f>'дод 3'!A209</f>
        <v>8420</v>
      </c>
      <c r="C47" s="93" t="str">
        <f>'дод 3'!B209</f>
        <v>0830</v>
      </c>
      <c r="D47" s="46" t="str">
        <f>'дод 3'!C209</f>
        <v>Інші заходи у сфері засобів масової інформації</v>
      </c>
      <c r="E47" s="115">
        <v>198000</v>
      </c>
      <c r="F47" s="115"/>
      <c r="G47" s="115"/>
      <c r="H47" s="115">
        <v>197794.88</v>
      </c>
      <c r="I47" s="115"/>
      <c r="J47" s="115"/>
      <c r="K47" s="164">
        <f t="shared" si="3"/>
        <v>99.896404040404036</v>
      </c>
      <c r="L47" s="115">
        <f t="shared" si="6"/>
        <v>0</v>
      </c>
      <c r="M47" s="115"/>
      <c r="N47" s="115"/>
      <c r="O47" s="115"/>
      <c r="P47" s="115"/>
      <c r="Q47" s="115"/>
      <c r="R47" s="115">
        <f t="shared" si="7"/>
        <v>0</v>
      </c>
      <c r="S47" s="115"/>
      <c r="T47" s="115"/>
      <c r="U47" s="115"/>
      <c r="V47" s="115"/>
      <c r="W47" s="115"/>
      <c r="X47" s="166"/>
      <c r="Y47" s="115">
        <f t="shared" si="8"/>
        <v>197794.88</v>
      </c>
      <c r="Z47" s="187">
        <v>11</v>
      </c>
      <c r="AA47" s="53"/>
      <c r="AB47" s="53"/>
      <c r="AC47" s="53"/>
      <c r="AD47" s="53"/>
      <c r="AE47" s="79"/>
      <c r="AF47" s="79"/>
      <c r="AG47" s="79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  <c r="KL47" s="53"/>
      <c r="KM47" s="53"/>
      <c r="KN47" s="53"/>
      <c r="KO47" s="53"/>
      <c r="KP47" s="53"/>
      <c r="KQ47" s="53"/>
      <c r="KR47" s="53"/>
      <c r="KS47" s="53"/>
      <c r="KT47" s="53"/>
      <c r="KU47" s="53"/>
      <c r="KV47" s="53"/>
      <c r="KW47" s="53"/>
      <c r="KX47" s="53"/>
      <c r="KY47" s="53"/>
      <c r="KZ47" s="53"/>
      <c r="LA47" s="53"/>
      <c r="LB47" s="53"/>
      <c r="LC47" s="53"/>
      <c r="LD47" s="53"/>
      <c r="LE47" s="53"/>
      <c r="LF47" s="53"/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3"/>
      <c r="LR47" s="53"/>
      <c r="LS47" s="53"/>
      <c r="LT47" s="53"/>
      <c r="LU47" s="53"/>
      <c r="LV47" s="53"/>
      <c r="LW47" s="53"/>
      <c r="LX47" s="53"/>
      <c r="LY47" s="53"/>
      <c r="LZ47" s="53"/>
      <c r="MA47" s="53"/>
      <c r="MB47" s="53"/>
      <c r="MC47" s="53"/>
      <c r="MD47" s="53"/>
      <c r="ME47" s="53"/>
      <c r="MF47" s="53"/>
      <c r="MG47" s="53"/>
      <c r="MH47" s="53"/>
      <c r="MI47" s="53"/>
      <c r="MJ47" s="53"/>
      <c r="MK47" s="53"/>
      <c r="ML47" s="53"/>
      <c r="MM47" s="53"/>
      <c r="MN47" s="53"/>
      <c r="MO47" s="53"/>
      <c r="MP47" s="53"/>
      <c r="MQ47" s="53"/>
      <c r="MR47" s="53"/>
      <c r="MS47" s="53"/>
      <c r="MT47" s="53"/>
      <c r="MU47" s="53"/>
      <c r="MV47" s="53"/>
      <c r="MW47" s="53"/>
      <c r="MX47" s="53"/>
      <c r="MY47" s="53"/>
      <c r="MZ47" s="53"/>
      <c r="NA47" s="53"/>
      <c r="NB47" s="53"/>
      <c r="NC47" s="53"/>
      <c r="ND47" s="53"/>
      <c r="NE47" s="53"/>
      <c r="NF47" s="53"/>
      <c r="NG47" s="53"/>
      <c r="NH47" s="53"/>
      <c r="NI47" s="53"/>
      <c r="NJ47" s="53"/>
      <c r="NK47" s="53"/>
      <c r="NL47" s="53"/>
      <c r="NM47" s="53"/>
      <c r="NN47" s="53"/>
      <c r="NO47" s="53"/>
      <c r="NP47" s="53"/>
      <c r="NQ47" s="53"/>
      <c r="NR47" s="53"/>
      <c r="NS47" s="53"/>
      <c r="NT47" s="53"/>
      <c r="NU47" s="53"/>
      <c r="NV47" s="53"/>
      <c r="NW47" s="53"/>
      <c r="NX47" s="53"/>
      <c r="NY47" s="53"/>
      <c r="NZ47" s="53"/>
      <c r="OA47" s="53"/>
      <c r="OB47" s="53"/>
      <c r="OC47" s="53"/>
      <c r="OD47" s="53"/>
      <c r="OE47" s="53"/>
      <c r="OF47" s="53"/>
      <c r="OG47" s="53"/>
      <c r="OH47" s="53"/>
      <c r="OI47" s="53"/>
      <c r="OJ47" s="53"/>
      <c r="OK47" s="53"/>
      <c r="OL47" s="53"/>
      <c r="OM47" s="53"/>
      <c r="ON47" s="53"/>
      <c r="OO47" s="53"/>
      <c r="OP47" s="53"/>
      <c r="OQ47" s="53"/>
      <c r="OR47" s="53"/>
      <c r="OS47" s="53"/>
      <c r="OT47" s="53"/>
      <c r="OU47" s="53"/>
      <c r="OV47" s="53"/>
      <c r="OW47" s="53"/>
      <c r="OX47" s="53"/>
      <c r="OY47" s="53"/>
      <c r="OZ47" s="53"/>
      <c r="PA47" s="53"/>
      <c r="PB47" s="53"/>
      <c r="PC47" s="53"/>
      <c r="PD47" s="53"/>
      <c r="PE47" s="53"/>
      <c r="PF47" s="53"/>
      <c r="PG47" s="53"/>
      <c r="PH47" s="53"/>
      <c r="PI47" s="53"/>
      <c r="PJ47" s="53"/>
      <c r="PK47" s="53"/>
      <c r="PL47" s="53"/>
      <c r="PM47" s="53"/>
      <c r="PN47" s="53"/>
      <c r="PO47" s="53"/>
      <c r="PP47" s="53"/>
      <c r="PQ47" s="53"/>
      <c r="PR47" s="53"/>
      <c r="PS47" s="53"/>
      <c r="PT47" s="53"/>
      <c r="PU47" s="53"/>
      <c r="PV47" s="53"/>
      <c r="PW47" s="53"/>
      <c r="PX47" s="53"/>
      <c r="PY47" s="53"/>
      <c r="PZ47" s="53"/>
      <c r="QA47" s="53"/>
      <c r="QB47" s="53"/>
      <c r="QC47" s="53"/>
      <c r="QD47" s="53"/>
      <c r="QE47" s="53"/>
      <c r="QF47" s="53"/>
      <c r="QG47" s="53"/>
      <c r="QH47" s="53"/>
      <c r="QI47" s="53"/>
      <c r="QJ47" s="53"/>
      <c r="QK47" s="53"/>
      <c r="QL47" s="53"/>
      <c r="QM47" s="53"/>
      <c r="QN47" s="53"/>
      <c r="QO47" s="53"/>
      <c r="QP47" s="53"/>
      <c r="QQ47" s="53"/>
      <c r="QR47" s="53"/>
      <c r="QS47" s="53"/>
      <c r="QT47" s="53"/>
      <c r="QU47" s="53"/>
      <c r="QV47" s="53"/>
      <c r="QW47" s="53"/>
      <c r="QX47" s="53"/>
      <c r="QY47" s="53"/>
      <c r="QZ47" s="53"/>
      <c r="RA47" s="53"/>
      <c r="RB47" s="53"/>
      <c r="RC47" s="53"/>
      <c r="RD47" s="53"/>
      <c r="RE47" s="53"/>
      <c r="RF47" s="53"/>
      <c r="RG47" s="53"/>
      <c r="RH47" s="53"/>
      <c r="RI47" s="53"/>
      <c r="RJ47" s="53"/>
      <c r="RK47" s="53"/>
      <c r="RL47" s="53"/>
      <c r="RM47" s="53"/>
      <c r="RN47" s="53"/>
      <c r="RO47" s="53"/>
      <c r="RP47" s="53"/>
      <c r="RQ47" s="53"/>
      <c r="RR47" s="53"/>
      <c r="RS47" s="53"/>
      <c r="RT47" s="53"/>
      <c r="RU47" s="53"/>
      <c r="RV47" s="53"/>
      <c r="RW47" s="53"/>
      <c r="RX47" s="53"/>
      <c r="RY47" s="53"/>
      <c r="RZ47" s="53"/>
      <c r="SA47" s="53"/>
      <c r="SB47" s="53"/>
      <c r="SC47" s="53"/>
      <c r="SD47" s="53"/>
      <c r="SE47" s="53"/>
      <c r="SF47" s="53"/>
      <c r="SG47" s="53"/>
      <c r="SH47" s="53"/>
      <c r="SI47" s="53"/>
      <c r="SJ47" s="53"/>
      <c r="SK47" s="53"/>
      <c r="SL47" s="53"/>
      <c r="SM47" s="53"/>
      <c r="SN47" s="53"/>
      <c r="SO47" s="53"/>
      <c r="SP47" s="53"/>
      <c r="SQ47" s="53"/>
      <c r="SR47" s="53"/>
      <c r="SS47" s="53"/>
      <c r="ST47" s="53"/>
      <c r="SU47" s="53"/>
      <c r="SV47" s="53"/>
      <c r="SW47" s="53"/>
      <c r="SX47" s="53"/>
      <c r="SY47" s="53"/>
      <c r="SZ47" s="53"/>
      <c r="TA47" s="53"/>
      <c r="TB47" s="53"/>
      <c r="TC47" s="53"/>
      <c r="TD47" s="53"/>
      <c r="TE47" s="53"/>
      <c r="TF47" s="53"/>
      <c r="TG47" s="53"/>
      <c r="TH47" s="53"/>
      <c r="TI47" s="53"/>
      <c r="TJ47" s="53"/>
      <c r="TK47" s="53"/>
      <c r="TL47" s="53"/>
      <c r="TM47" s="53"/>
      <c r="TN47" s="53"/>
      <c r="TO47" s="53"/>
      <c r="TP47" s="53"/>
      <c r="TQ47" s="53"/>
      <c r="TR47" s="53"/>
      <c r="TS47" s="53"/>
      <c r="TT47" s="53"/>
      <c r="TU47" s="53"/>
      <c r="TV47" s="53"/>
      <c r="TW47" s="53"/>
      <c r="TX47" s="53"/>
      <c r="TY47" s="53"/>
      <c r="TZ47" s="53"/>
      <c r="UA47" s="53"/>
      <c r="UB47" s="53"/>
      <c r="UC47" s="53"/>
      <c r="UD47" s="53"/>
      <c r="UE47" s="53"/>
      <c r="UF47" s="53"/>
      <c r="UG47" s="53"/>
      <c r="UH47" s="53"/>
      <c r="UI47" s="53"/>
      <c r="UJ47" s="53"/>
      <c r="UK47" s="53"/>
      <c r="UL47" s="53"/>
      <c r="UM47" s="53"/>
      <c r="UN47" s="53"/>
      <c r="UO47" s="53"/>
      <c r="UP47" s="53"/>
      <c r="UQ47" s="53"/>
      <c r="UR47" s="53"/>
      <c r="US47" s="53"/>
      <c r="UT47" s="53"/>
      <c r="UU47" s="53"/>
      <c r="UV47" s="53"/>
      <c r="UW47" s="53"/>
      <c r="UX47" s="53"/>
      <c r="UY47" s="53"/>
      <c r="UZ47" s="53"/>
      <c r="VA47" s="53"/>
      <c r="VB47" s="53"/>
      <c r="VC47" s="53"/>
      <c r="VD47" s="53"/>
      <c r="VE47" s="53"/>
      <c r="VF47" s="53"/>
      <c r="VG47" s="53"/>
      <c r="VH47" s="53"/>
      <c r="VI47" s="53"/>
      <c r="VJ47" s="53"/>
      <c r="VK47" s="53"/>
      <c r="VL47" s="53"/>
    </row>
    <row r="48" spans="1:584" s="47" customFormat="1" ht="20.25" customHeight="1" x14ac:dyDescent="0.25">
      <c r="A48" s="49" t="s">
        <v>518</v>
      </c>
      <c r="B48" s="93" t="str">
        <f>'дод 3'!A227</f>
        <v>9770</v>
      </c>
      <c r="C48" s="93" t="str">
        <f>'дод 3'!B227</f>
        <v>0180</v>
      </c>
      <c r="D48" s="50" t="str">
        <f>'дод 3'!C227</f>
        <v xml:space="preserve">Інші субвенції з місцевого бюджету </v>
      </c>
      <c r="E48" s="115">
        <v>741000</v>
      </c>
      <c r="F48" s="115"/>
      <c r="G48" s="115"/>
      <c r="H48" s="115">
        <v>729235.4</v>
      </c>
      <c r="I48" s="115"/>
      <c r="J48" s="115"/>
      <c r="K48" s="164">
        <f t="shared" si="3"/>
        <v>98.412334682861001</v>
      </c>
      <c r="L48" s="115">
        <f t="shared" si="6"/>
        <v>159000</v>
      </c>
      <c r="M48" s="115">
        <v>159000</v>
      </c>
      <c r="N48" s="115"/>
      <c r="O48" s="115"/>
      <c r="P48" s="115"/>
      <c r="Q48" s="115">
        <v>159000</v>
      </c>
      <c r="R48" s="115">
        <f t="shared" si="7"/>
        <v>109216</v>
      </c>
      <c r="S48" s="115">
        <v>109216</v>
      </c>
      <c r="T48" s="115"/>
      <c r="U48" s="115"/>
      <c r="V48" s="115"/>
      <c r="W48" s="115">
        <v>109216</v>
      </c>
      <c r="X48" s="166">
        <f t="shared" si="5"/>
        <v>68.689308176100624</v>
      </c>
      <c r="Y48" s="115">
        <f t="shared" si="8"/>
        <v>838451.4</v>
      </c>
      <c r="Z48" s="187"/>
      <c r="AA48" s="53"/>
      <c r="AB48" s="53"/>
      <c r="AC48" s="53"/>
      <c r="AD48" s="53"/>
      <c r="AE48" s="79"/>
      <c r="AF48" s="79"/>
      <c r="AG48" s="79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/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/>
      <c r="KX48" s="53"/>
      <c r="KY48" s="53"/>
      <c r="KZ48" s="53"/>
      <c r="LA48" s="53"/>
      <c r="LB48" s="53"/>
      <c r="LC48" s="53"/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3"/>
      <c r="LR48" s="53"/>
      <c r="LS48" s="53"/>
      <c r="LT48" s="53"/>
      <c r="LU48" s="53"/>
      <c r="LV48" s="53"/>
      <c r="LW48" s="53"/>
      <c r="LX48" s="53"/>
      <c r="LY48" s="53"/>
      <c r="LZ48" s="53"/>
      <c r="MA48" s="53"/>
      <c r="MB48" s="53"/>
      <c r="MC48" s="53"/>
      <c r="MD48" s="53"/>
      <c r="ME48" s="53"/>
      <c r="MF48" s="53"/>
      <c r="MG48" s="53"/>
      <c r="MH48" s="53"/>
      <c r="MI48" s="53"/>
      <c r="MJ48" s="53"/>
      <c r="MK48" s="53"/>
      <c r="ML48" s="53"/>
      <c r="MM48" s="53"/>
      <c r="MN48" s="53"/>
      <c r="MO48" s="53"/>
      <c r="MP48" s="53"/>
      <c r="MQ48" s="53"/>
      <c r="MR48" s="53"/>
      <c r="MS48" s="53"/>
      <c r="MT48" s="53"/>
      <c r="MU48" s="53"/>
      <c r="MV48" s="53"/>
      <c r="MW48" s="53"/>
      <c r="MX48" s="53"/>
      <c r="MY48" s="53"/>
      <c r="MZ48" s="53"/>
      <c r="NA48" s="53"/>
      <c r="NB48" s="53"/>
      <c r="NC48" s="53"/>
      <c r="ND48" s="53"/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3"/>
      <c r="NS48" s="53"/>
      <c r="NT48" s="53"/>
      <c r="NU48" s="53"/>
      <c r="NV48" s="53"/>
      <c r="NW48" s="53"/>
      <c r="NX48" s="53"/>
      <c r="NY48" s="53"/>
      <c r="NZ48" s="53"/>
      <c r="OA48" s="53"/>
      <c r="OB48" s="53"/>
      <c r="OC48" s="53"/>
      <c r="OD48" s="53"/>
      <c r="OE48" s="53"/>
      <c r="OF48" s="53"/>
      <c r="OG48" s="53"/>
      <c r="OH48" s="53"/>
      <c r="OI48" s="53"/>
      <c r="OJ48" s="53"/>
      <c r="OK48" s="53"/>
      <c r="OL48" s="53"/>
      <c r="OM48" s="53"/>
      <c r="ON48" s="53"/>
      <c r="OO48" s="53"/>
      <c r="OP48" s="53"/>
      <c r="OQ48" s="53"/>
      <c r="OR48" s="53"/>
      <c r="OS48" s="53"/>
      <c r="OT48" s="53"/>
      <c r="OU48" s="53"/>
      <c r="OV48" s="53"/>
      <c r="OW48" s="53"/>
      <c r="OX48" s="53"/>
      <c r="OY48" s="53"/>
      <c r="OZ48" s="53"/>
      <c r="PA48" s="53"/>
      <c r="PB48" s="53"/>
      <c r="PC48" s="53"/>
      <c r="PD48" s="53"/>
      <c r="PE48" s="53"/>
      <c r="PF48" s="53"/>
      <c r="PG48" s="53"/>
      <c r="PH48" s="53"/>
      <c r="PI48" s="53"/>
      <c r="PJ48" s="53"/>
      <c r="PK48" s="53"/>
      <c r="PL48" s="53"/>
      <c r="PM48" s="53"/>
      <c r="PN48" s="53"/>
      <c r="PO48" s="53"/>
      <c r="PP48" s="53"/>
      <c r="PQ48" s="53"/>
      <c r="PR48" s="53"/>
      <c r="PS48" s="53"/>
      <c r="PT48" s="53"/>
      <c r="PU48" s="53"/>
      <c r="PV48" s="53"/>
      <c r="PW48" s="53"/>
      <c r="PX48" s="53"/>
      <c r="PY48" s="53"/>
      <c r="PZ48" s="53"/>
      <c r="QA48" s="53"/>
      <c r="QB48" s="53"/>
      <c r="QC48" s="53"/>
      <c r="QD48" s="53"/>
      <c r="QE48" s="53"/>
      <c r="QF48" s="53"/>
      <c r="QG48" s="53"/>
      <c r="QH48" s="53"/>
      <c r="QI48" s="53"/>
      <c r="QJ48" s="53"/>
      <c r="QK48" s="53"/>
      <c r="QL48" s="53"/>
      <c r="QM48" s="53"/>
      <c r="QN48" s="53"/>
      <c r="QO48" s="53"/>
      <c r="QP48" s="53"/>
      <c r="QQ48" s="53"/>
      <c r="QR48" s="53"/>
      <c r="QS48" s="53"/>
      <c r="QT48" s="53"/>
      <c r="QU48" s="53"/>
      <c r="QV48" s="53"/>
      <c r="QW48" s="53"/>
      <c r="QX48" s="53"/>
      <c r="QY48" s="53"/>
      <c r="QZ48" s="53"/>
      <c r="RA48" s="53"/>
      <c r="RB48" s="53"/>
      <c r="RC48" s="53"/>
      <c r="RD48" s="53"/>
      <c r="RE48" s="53"/>
      <c r="RF48" s="53"/>
      <c r="RG48" s="53"/>
      <c r="RH48" s="53"/>
      <c r="RI48" s="53"/>
      <c r="RJ48" s="53"/>
      <c r="RK48" s="53"/>
      <c r="RL48" s="53"/>
      <c r="RM48" s="53"/>
      <c r="RN48" s="53"/>
      <c r="RO48" s="53"/>
      <c r="RP48" s="53"/>
      <c r="RQ48" s="53"/>
      <c r="RR48" s="53"/>
      <c r="RS48" s="53"/>
      <c r="RT48" s="53"/>
      <c r="RU48" s="53"/>
      <c r="RV48" s="53"/>
      <c r="RW48" s="53"/>
      <c r="RX48" s="53"/>
      <c r="RY48" s="53"/>
      <c r="RZ48" s="53"/>
      <c r="SA48" s="53"/>
      <c r="SB48" s="53"/>
      <c r="SC48" s="53"/>
      <c r="SD48" s="53"/>
      <c r="SE48" s="53"/>
      <c r="SF48" s="53"/>
      <c r="SG48" s="53"/>
      <c r="SH48" s="53"/>
      <c r="SI48" s="53"/>
      <c r="SJ48" s="53"/>
      <c r="SK48" s="53"/>
      <c r="SL48" s="53"/>
      <c r="SM48" s="53"/>
      <c r="SN48" s="53"/>
      <c r="SO48" s="53"/>
      <c r="SP48" s="53"/>
      <c r="SQ48" s="53"/>
      <c r="SR48" s="53"/>
      <c r="SS48" s="53"/>
      <c r="ST48" s="53"/>
      <c r="SU48" s="53"/>
      <c r="SV48" s="53"/>
      <c r="SW48" s="53"/>
      <c r="SX48" s="53"/>
      <c r="SY48" s="53"/>
      <c r="SZ48" s="53"/>
      <c r="TA48" s="53"/>
      <c r="TB48" s="53"/>
      <c r="TC48" s="53"/>
      <c r="TD48" s="53"/>
      <c r="TE48" s="53"/>
      <c r="TF48" s="53"/>
      <c r="TG48" s="53"/>
      <c r="TH48" s="53"/>
      <c r="TI48" s="53"/>
      <c r="TJ48" s="53"/>
      <c r="TK48" s="53"/>
      <c r="TL48" s="53"/>
      <c r="TM48" s="53"/>
      <c r="TN48" s="53"/>
      <c r="TO48" s="53"/>
      <c r="TP48" s="53"/>
      <c r="TQ48" s="53"/>
      <c r="TR48" s="53"/>
      <c r="TS48" s="53"/>
      <c r="TT48" s="53"/>
      <c r="TU48" s="53"/>
      <c r="TV48" s="53"/>
      <c r="TW48" s="53"/>
      <c r="TX48" s="53"/>
      <c r="TY48" s="53"/>
      <c r="TZ48" s="53"/>
      <c r="UA48" s="53"/>
      <c r="UB48" s="53"/>
      <c r="UC48" s="53"/>
      <c r="UD48" s="53"/>
      <c r="UE48" s="53"/>
      <c r="UF48" s="53"/>
      <c r="UG48" s="53"/>
      <c r="UH48" s="53"/>
      <c r="UI48" s="53"/>
      <c r="UJ48" s="53"/>
      <c r="UK48" s="53"/>
      <c r="UL48" s="53"/>
      <c r="UM48" s="53"/>
      <c r="UN48" s="53"/>
      <c r="UO48" s="53"/>
      <c r="UP48" s="53"/>
      <c r="UQ48" s="53"/>
      <c r="UR48" s="53"/>
      <c r="US48" s="53"/>
      <c r="UT48" s="53"/>
      <c r="UU48" s="53"/>
      <c r="UV48" s="53"/>
      <c r="UW48" s="53"/>
      <c r="UX48" s="53"/>
      <c r="UY48" s="53"/>
      <c r="UZ48" s="53"/>
      <c r="VA48" s="53"/>
      <c r="VB48" s="53"/>
      <c r="VC48" s="53"/>
      <c r="VD48" s="53"/>
      <c r="VE48" s="53"/>
      <c r="VF48" s="53"/>
      <c r="VG48" s="53"/>
      <c r="VH48" s="53"/>
      <c r="VI48" s="53"/>
      <c r="VJ48" s="53"/>
      <c r="VK48" s="53"/>
      <c r="VL48" s="53"/>
    </row>
    <row r="49" spans="1:584" s="47" customFormat="1" ht="45" x14ac:dyDescent="0.25">
      <c r="A49" s="49" t="s">
        <v>489</v>
      </c>
      <c r="B49" s="93" t="str">
        <f>'дод 3'!A229</f>
        <v>9800</v>
      </c>
      <c r="C49" s="93" t="str">
        <f>'дод 3'!B229</f>
        <v>0180</v>
      </c>
      <c r="D49" s="46" t="str">
        <f>'дод 3'!C229</f>
        <v xml:space="preserve">Субвенція з місцевого бюджету державному бюджету на виконання програм соціально-економічного розвитку регіонів </v>
      </c>
      <c r="E49" s="115">
        <v>1075048</v>
      </c>
      <c r="F49" s="115"/>
      <c r="G49" s="115"/>
      <c r="H49" s="115">
        <v>1075000.5</v>
      </c>
      <c r="I49" s="115"/>
      <c r="J49" s="115"/>
      <c r="K49" s="164">
        <f t="shared" si="3"/>
        <v>99.995581592635858</v>
      </c>
      <c r="L49" s="115">
        <f t="shared" si="6"/>
        <v>1291992</v>
      </c>
      <c r="M49" s="115">
        <f>150000+9992+500000+632000</f>
        <v>1291992</v>
      </c>
      <c r="N49" s="115"/>
      <c r="O49" s="115"/>
      <c r="P49" s="115"/>
      <c r="Q49" s="115">
        <f>150000+9992+500000+632000</f>
        <v>1291992</v>
      </c>
      <c r="R49" s="115">
        <f t="shared" si="7"/>
        <v>1291492</v>
      </c>
      <c r="S49" s="115">
        <v>1291492</v>
      </c>
      <c r="T49" s="115"/>
      <c r="U49" s="115"/>
      <c r="V49" s="115"/>
      <c r="W49" s="115">
        <v>1291492</v>
      </c>
      <c r="X49" s="166">
        <f t="shared" si="5"/>
        <v>99.961300069969468</v>
      </c>
      <c r="Y49" s="115">
        <f t="shared" si="8"/>
        <v>2366492.5</v>
      </c>
      <c r="Z49" s="187"/>
      <c r="AA49" s="53"/>
      <c r="AB49" s="53"/>
      <c r="AC49" s="53"/>
      <c r="AD49" s="53"/>
      <c r="AE49" s="79"/>
      <c r="AF49" s="79"/>
      <c r="AG49" s="79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/>
      <c r="MO49" s="53"/>
      <c r="MP49" s="53"/>
      <c r="MQ49" s="53"/>
      <c r="MR49" s="53"/>
      <c r="MS49" s="53"/>
      <c r="MT49" s="53"/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/>
      <c r="NJ49" s="53"/>
      <c r="NK49" s="53"/>
      <c r="NL49" s="53"/>
      <c r="NM49" s="53"/>
      <c r="NN49" s="53"/>
      <c r="NO49" s="53"/>
      <c r="NP49" s="53"/>
      <c r="NQ49" s="53"/>
      <c r="NR49" s="53"/>
      <c r="NS49" s="53"/>
      <c r="NT49" s="53"/>
      <c r="NU49" s="53"/>
      <c r="NV49" s="53"/>
      <c r="NW49" s="53"/>
      <c r="NX49" s="53"/>
      <c r="NY49" s="53"/>
      <c r="NZ49" s="53"/>
      <c r="OA49" s="53"/>
      <c r="OB49" s="53"/>
      <c r="OC49" s="53"/>
      <c r="OD49" s="53"/>
      <c r="OE49" s="53"/>
      <c r="OF49" s="53"/>
      <c r="OG49" s="53"/>
      <c r="OH49" s="53"/>
      <c r="OI49" s="53"/>
      <c r="OJ49" s="53"/>
      <c r="OK49" s="53"/>
      <c r="OL49" s="53"/>
      <c r="OM49" s="53"/>
      <c r="ON49" s="53"/>
      <c r="OO49" s="53"/>
      <c r="OP49" s="53"/>
      <c r="OQ49" s="53"/>
      <c r="OR49" s="53"/>
      <c r="OS49" s="53"/>
      <c r="OT49" s="53"/>
      <c r="OU49" s="53"/>
      <c r="OV49" s="53"/>
      <c r="OW49" s="53"/>
      <c r="OX49" s="53"/>
      <c r="OY49" s="53"/>
      <c r="OZ49" s="53"/>
      <c r="PA49" s="53"/>
      <c r="PB49" s="53"/>
      <c r="PC49" s="53"/>
      <c r="PD49" s="53"/>
      <c r="PE49" s="53"/>
      <c r="PF49" s="53"/>
      <c r="PG49" s="53"/>
      <c r="PH49" s="53"/>
      <c r="PI49" s="53"/>
      <c r="PJ49" s="53"/>
      <c r="PK49" s="53"/>
      <c r="PL49" s="53"/>
      <c r="PM49" s="53"/>
      <c r="PN49" s="53"/>
      <c r="PO49" s="53"/>
      <c r="PP49" s="53"/>
      <c r="PQ49" s="53"/>
      <c r="PR49" s="53"/>
      <c r="PS49" s="53"/>
      <c r="PT49" s="53"/>
      <c r="PU49" s="53"/>
      <c r="PV49" s="53"/>
      <c r="PW49" s="53"/>
      <c r="PX49" s="53"/>
      <c r="PY49" s="53"/>
      <c r="PZ49" s="53"/>
      <c r="QA49" s="53"/>
      <c r="QB49" s="53"/>
      <c r="QC49" s="53"/>
      <c r="QD49" s="53"/>
      <c r="QE49" s="53"/>
      <c r="QF49" s="53"/>
      <c r="QG49" s="53"/>
      <c r="QH49" s="53"/>
      <c r="QI49" s="53"/>
      <c r="QJ49" s="53"/>
      <c r="QK49" s="53"/>
      <c r="QL49" s="53"/>
      <c r="QM49" s="53"/>
      <c r="QN49" s="53"/>
      <c r="QO49" s="53"/>
      <c r="QP49" s="53"/>
      <c r="QQ49" s="53"/>
      <c r="QR49" s="53"/>
      <c r="QS49" s="53"/>
      <c r="QT49" s="53"/>
      <c r="QU49" s="53"/>
      <c r="QV49" s="53"/>
      <c r="QW49" s="53"/>
      <c r="QX49" s="53"/>
      <c r="QY49" s="53"/>
      <c r="QZ49" s="53"/>
      <c r="RA49" s="53"/>
      <c r="RB49" s="53"/>
      <c r="RC49" s="53"/>
      <c r="RD49" s="53"/>
      <c r="RE49" s="53"/>
      <c r="RF49" s="53"/>
      <c r="RG49" s="53"/>
      <c r="RH49" s="53"/>
      <c r="RI49" s="53"/>
      <c r="RJ49" s="53"/>
      <c r="RK49" s="53"/>
      <c r="RL49" s="53"/>
      <c r="RM49" s="53"/>
      <c r="RN49" s="53"/>
      <c r="RO49" s="53"/>
      <c r="RP49" s="53"/>
      <c r="RQ49" s="53"/>
      <c r="RR49" s="53"/>
      <c r="RS49" s="53"/>
      <c r="RT49" s="53"/>
      <c r="RU49" s="53"/>
      <c r="RV49" s="53"/>
      <c r="RW49" s="53"/>
      <c r="RX49" s="53"/>
      <c r="RY49" s="53"/>
      <c r="RZ49" s="53"/>
      <c r="SA49" s="53"/>
      <c r="SB49" s="53"/>
      <c r="SC49" s="53"/>
      <c r="SD49" s="53"/>
      <c r="SE49" s="53"/>
      <c r="SF49" s="53"/>
      <c r="SG49" s="53"/>
      <c r="SH49" s="53"/>
      <c r="SI49" s="53"/>
      <c r="SJ49" s="53"/>
      <c r="SK49" s="53"/>
      <c r="SL49" s="53"/>
      <c r="SM49" s="53"/>
      <c r="SN49" s="53"/>
      <c r="SO49" s="53"/>
      <c r="SP49" s="53"/>
      <c r="SQ49" s="53"/>
      <c r="SR49" s="53"/>
      <c r="SS49" s="53"/>
      <c r="ST49" s="53"/>
      <c r="SU49" s="53"/>
      <c r="SV49" s="53"/>
      <c r="SW49" s="53"/>
      <c r="SX49" s="53"/>
      <c r="SY49" s="53"/>
      <c r="SZ49" s="53"/>
      <c r="TA49" s="53"/>
      <c r="TB49" s="53"/>
      <c r="TC49" s="53"/>
      <c r="TD49" s="53"/>
      <c r="TE49" s="53"/>
      <c r="TF49" s="53"/>
      <c r="TG49" s="53"/>
      <c r="TH49" s="53"/>
      <c r="TI49" s="53"/>
      <c r="TJ49" s="53"/>
      <c r="TK49" s="53"/>
      <c r="TL49" s="53"/>
      <c r="TM49" s="53"/>
      <c r="TN49" s="53"/>
      <c r="TO49" s="53"/>
      <c r="TP49" s="53"/>
      <c r="TQ49" s="53"/>
      <c r="TR49" s="53"/>
      <c r="TS49" s="53"/>
      <c r="TT49" s="53"/>
      <c r="TU49" s="53"/>
      <c r="TV49" s="53"/>
      <c r="TW49" s="53"/>
      <c r="TX49" s="53"/>
      <c r="TY49" s="53"/>
      <c r="TZ49" s="53"/>
      <c r="UA49" s="53"/>
      <c r="UB49" s="53"/>
      <c r="UC49" s="53"/>
      <c r="UD49" s="53"/>
      <c r="UE49" s="53"/>
      <c r="UF49" s="53"/>
      <c r="UG49" s="53"/>
      <c r="UH49" s="53"/>
      <c r="UI49" s="53"/>
      <c r="UJ49" s="53"/>
      <c r="UK49" s="53"/>
      <c r="UL49" s="53"/>
      <c r="UM49" s="53"/>
      <c r="UN49" s="53"/>
      <c r="UO49" s="53"/>
      <c r="UP49" s="53"/>
      <c r="UQ49" s="53"/>
      <c r="UR49" s="53"/>
      <c r="US49" s="53"/>
      <c r="UT49" s="53"/>
      <c r="UU49" s="53"/>
      <c r="UV49" s="53"/>
      <c r="UW49" s="53"/>
      <c r="UX49" s="53"/>
      <c r="UY49" s="53"/>
      <c r="UZ49" s="53"/>
      <c r="VA49" s="53"/>
      <c r="VB49" s="53"/>
      <c r="VC49" s="53"/>
      <c r="VD49" s="53"/>
      <c r="VE49" s="53"/>
      <c r="VF49" s="53"/>
      <c r="VG49" s="53"/>
      <c r="VH49" s="53"/>
      <c r="VI49" s="53"/>
      <c r="VJ49" s="53"/>
      <c r="VK49" s="53"/>
      <c r="VL49" s="53"/>
    </row>
    <row r="50" spans="1:584" s="64" customFormat="1" ht="23.25" customHeight="1" x14ac:dyDescent="0.25">
      <c r="A50" s="69" t="s">
        <v>220</v>
      </c>
      <c r="B50" s="95"/>
      <c r="C50" s="95"/>
      <c r="D50" s="63" t="s">
        <v>41</v>
      </c>
      <c r="E50" s="116">
        <f>E51</f>
        <v>856046389.57999992</v>
      </c>
      <c r="F50" s="116">
        <f t="shared" ref="F50:Y50" si="9">F51</f>
        <v>554588654</v>
      </c>
      <c r="G50" s="116">
        <f t="shared" si="9"/>
        <v>77262662</v>
      </c>
      <c r="H50" s="116">
        <f>H51</f>
        <v>845435466.0400002</v>
      </c>
      <c r="I50" s="116">
        <f t="shared" si="9"/>
        <v>553819864.49000001</v>
      </c>
      <c r="J50" s="116">
        <f t="shared" si="9"/>
        <v>72506210.809999987</v>
      </c>
      <c r="K50" s="135">
        <f t="shared" si="3"/>
        <v>98.760473302713677</v>
      </c>
      <c r="L50" s="116">
        <f t="shared" si="9"/>
        <v>89537081.090000004</v>
      </c>
      <c r="M50" s="116">
        <f t="shared" si="9"/>
        <v>46078242.090000004</v>
      </c>
      <c r="N50" s="116">
        <f t="shared" si="9"/>
        <v>43287339</v>
      </c>
      <c r="O50" s="116">
        <f t="shared" si="9"/>
        <v>3455421</v>
      </c>
      <c r="P50" s="116">
        <f t="shared" si="9"/>
        <v>2628089</v>
      </c>
      <c r="Q50" s="116">
        <f t="shared" si="9"/>
        <v>46249742.090000004</v>
      </c>
      <c r="R50" s="116">
        <f t="shared" si="9"/>
        <v>97084689.180000007</v>
      </c>
      <c r="S50" s="116">
        <f t="shared" si="9"/>
        <v>45303410.009999998</v>
      </c>
      <c r="T50" s="116">
        <f t="shared" si="9"/>
        <v>46427597.670000002</v>
      </c>
      <c r="U50" s="116">
        <f t="shared" si="9"/>
        <v>3186342.07</v>
      </c>
      <c r="V50" s="116">
        <f t="shared" si="9"/>
        <v>2119117.14</v>
      </c>
      <c r="W50" s="116">
        <f t="shared" si="9"/>
        <v>50657091.509999998</v>
      </c>
      <c r="X50" s="149">
        <f t="shared" si="5"/>
        <v>108.42958916922183</v>
      </c>
      <c r="Y50" s="116">
        <f t="shared" si="9"/>
        <v>942520155.21999991</v>
      </c>
      <c r="Z50" s="187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  <c r="IW50" s="79"/>
      <c r="IX50" s="79"/>
      <c r="IY50" s="79"/>
      <c r="IZ50" s="79"/>
      <c r="JA50" s="79"/>
      <c r="JB50" s="79"/>
      <c r="JC50" s="79"/>
      <c r="JD50" s="79"/>
      <c r="JE50" s="79"/>
      <c r="JF50" s="79"/>
      <c r="JG50" s="79"/>
      <c r="JH50" s="79"/>
      <c r="JI50" s="79"/>
      <c r="JJ50" s="79"/>
      <c r="JK50" s="79"/>
      <c r="JL50" s="79"/>
      <c r="JM50" s="79"/>
      <c r="JN50" s="79"/>
      <c r="JO50" s="79"/>
      <c r="JP50" s="79"/>
      <c r="JQ50" s="79"/>
      <c r="JR50" s="79"/>
      <c r="JS50" s="79"/>
      <c r="JT50" s="79"/>
      <c r="JU50" s="79"/>
      <c r="JV50" s="79"/>
      <c r="JW50" s="79"/>
      <c r="JX50" s="79"/>
      <c r="JY50" s="79"/>
      <c r="JZ50" s="79"/>
      <c r="KA50" s="79"/>
      <c r="KB50" s="79"/>
      <c r="KC50" s="79"/>
      <c r="KD50" s="79"/>
      <c r="KE50" s="79"/>
      <c r="KF50" s="79"/>
      <c r="KG50" s="79"/>
      <c r="KH50" s="79"/>
      <c r="KI50" s="79"/>
      <c r="KJ50" s="79"/>
      <c r="KK50" s="79"/>
      <c r="KL50" s="79"/>
      <c r="KM50" s="79"/>
      <c r="KN50" s="79"/>
      <c r="KO50" s="79"/>
      <c r="KP50" s="79"/>
      <c r="KQ50" s="79"/>
      <c r="KR50" s="79"/>
      <c r="KS50" s="79"/>
      <c r="KT50" s="79"/>
      <c r="KU50" s="79"/>
      <c r="KV50" s="79"/>
      <c r="KW50" s="79"/>
      <c r="KX50" s="79"/>
      <c r="KY50" s="79"/>
      <c r="KZ50" s="79"/>
      <c r="LA50" s="79"/>
      <c r="LB50" s="79"/>
      <c r="LC50" s="79"/>
      <c r="LD50" s="79"/>
      <c r="LE50" s="79"/>
      <c r="LF50" s="79"/>
      <c r="LG50" s="79"/>
      <c r="LH50" s="79"/>
      <c r="LI50" s="79"/>
      <c r="LJ50" s="79"/>
      <c r="LK50" s="79"/>
      <c r="LL50" s="79"/>
      <c r="LM50" s="79"/>
      <c r="LN50" s="79"/>
      <c r="LO50" s="79"/>
      <c r="LP50" s="79"/>
      <c r="LQ50" s="79"/>
      <c r="LR50" s="79"/>
      <c r="LS50" s="79"/>
      <c r="LT50" s="79"/>
      <c r="LU50" s="79"/>
      <c r="LV50" s="79"/>
      <c r="LW50" s="79"/>
      <c r="LX50" s="79"/>
      <c r="LY50" s="79"/>
      <c r="LZ50" s="79"/>
      <c r="MA50" s="79"/>
      <c r="MB50" s="79"/>
      <c r="MC50" s="79"/>
      <c r="MD50" s="79"/>
      <c r="ME50" s="79"/>
      <c r="MF50" s="79"/>
      <c r="MG50" s="79"/>
      <c r="MH50" s="79"/>
      <c r="MI50" s="79"/>
      <c r="MJ50" s="79"/>
      <c r="MK50" s="79"/>
      <c r="ML50" s="79"/>
      <c r="MM50" s="79"/>
      <c r="MN50" s="79"/>
      <c r="MO50" s="79"/>
      <c r="MP50" s="79"/>
      <c r="MQ50" s="79"/>
      <c r="MR50" s="79"/>
      <c r="MS50" s="79"/>
      <c r="MT50" s="79"/>
      <c r="MU50" s="79"/>
      <c r="MV50" s="79"/>
      <c r="MW50" s="79"/>
      <c r="MX50" s="79"/>
      <c r="MY50" s="79"/>
      <c r="MZ50" s="79"/>
      <c r="NA50" s="79"/>
      <c r="NB50" s="79"/>
      <c r="NC50" s="79"/>
      <c r="ND50" s="79"/>
      <c r="NE50" s="79"/>
      <c r="NF50" s="79"/>
      <c r="NG50" s="79"/>
      <c r="NH50" s="79"/>
      <c r="NI50" s="79"/>
      <c r="NJ50" s="79"/>
      <c r="NK50" s="79"/>
      <c r="NL50" s="79"/>
      <c r="NM50" s="79"/>
      <c r="NN50" s="79"/>
      <c r="NO50" s="79"/>
      <c r="NP50" s="79"/>
      <c r="NQ50" s="79"/>
      <c r="NR50" s="79"/>
      <c r="NS50" s="79"/>
      <c r="NT50" s="79"/>
      <c r="NU50" s="79"/>
      <c r="NV50" s="79"/>
      <c r="NW50" s="79"/>
      <c r="NX50" s="79"/>
      <c r="NY50" s="79"/>
      <c r="NZ50" s="79"/>
      <c r="OA50" s="79"/>
      <c r="OB50" s="79"/>
      <c r="OC50" s="79"/>
      <c r="OD50" s="79"/>
      <c r="OE50" s="79"/>
      <c r="OF50" s="79"/>
      <c r="OG50" s="79"/>
      <c r="OH50" s="79"/>
      <c r="OI50" s="79"/>
      <c r="OJ50" s="79"/>
      <c r="OK50" s="79"/>
      <c r="OL50" s="79"/>
      <c r="OM50" s="79"/>
      <c r="ON50" s="79"/>
      <c r="OO50" s="79"/>
      <c r="OP50" s="79"/>
      <c r="OQ50" s="79"/>
      <c r="OR50" s="79"/>
      <c r="OS50" s="79"/>
      <c r="OT50" s="79"/>
      <c r="OU50" s="79"/>
      <c r="OV50" s="79"/>
      <c r="OW50" s="79"/>
      <c r="OX50" s="79"/>
      <c r="OY50" s="79"/>
      <c r="OZ50" s="79"/>
      <c r="PA50" s="79"/>
      <c r="PB50" s="79"/>
      <c r="PC50" s="79"/>
      <c r="PD50" s="79"/>
      <c r="PE50" s="79"/>
      <c r="PF50" s="79"/>
      <c r="PG50" s="79"/>
      <c r="PH50" s="79"/>
      <c r="PI50" s="79"/>
      <c r="PJ50" s="79"/>
      <c r="PK50" s="79"/>
      <c r="PL50" s="79"/>
      <c r="PM50" s="79"/>
      <c r="PN50" s="79"/>
      <c r="PO50" s="79"/>
      <c r="PP50" s="79"/>
      <c r="PQ50" s="79"/>
      <c r="PR50" s="79"/>
      <c r="PS50" s="79"/>
      <c r="PT50" s="79"/>
      <c r="PU50" s="79"/>
      <c r="PV50" s="79"/>
      <c r="PW50" s="79"/>
      <c r="PX50" s="79"/>
      <c r="PY50" s="79"/>
      <c r="PZ50" s="79"/>
      <c r="QA50" s="79"/>
      <c r="QB50" s="79"/>
      <c r="QC50" s="79"/>
      <c r="QD50" s="79"/>
      <c r="QE50" s="79"/>
      <c r="QF50" s="79"/>
      <c r="QG50" s="79"/>
      <c r="QH50" s="79"/>
      <c r="QI50" s="79"/>
      <c r="QJ50" s="79"/>
      <c r="QK50" s="79"/>
      <c r="QL50" s="79"/>
      <c r="QM50" s="79"/>
      <c r="QN50" s="79"/>
      <c r="QO50" s="79"/>
      <c r="QP50" s="79"/>
      <c r="QQ50" s="79"/>
      <c r="QR50" s="79"/>
      <c r="QS50" s="79"/>
      <c r="QT50" s="79"/>
      <c r="QU50" s="79"/>
      <c r="QV50" s="79"/>
      <c r="QW50" s="79"/>
      <c r="QX50" s="79"/>
      <c r="QY50" s="79"/>
      <c r="QZ50" s="79"/>
      <c r="RA50" s="79"/>
      <c r="RB50" s="79"/>
      <c r="RC50" s="79"/>
      <c r="RD50" s="79"/>
      <c r="RE50" s="79"/>
      <c r="RF50" s="79"/>
      <c r="RG50" s="79"/>
      <c r="RH50" s="79"/>
      <c r="RI50" s="79"/>
      <c r="RJ50" s="79"/>
      <c r="RK50" s="79"/>
      <c r="RL50" s="79"/>
      <c r="RM50" s="79"/>
      <c r="RN50" s="79"/>
      <c r="RO50" s="79"/>
      <c r="RP50" s="79"/>
      <c r="RQ50" s="79"/>
      <c r="RR50" s="79"/>
      <c r="RS50" s="79"/>
      <c r="RT50" s="79"/>
      <c r="RU50" s="79"/>
      <c r="RV50" s="79"/>
      <c r="RW50" s="79"/>
      <c r="RX50" s="79"/>
      <c r="RY50" s="79"/>
      <c r="RZ50" s="79"/>
      <c r="SA50" s="79"/>
      <c r="SB50" s="79"/>
      <c r="SC50" s="79"/>
      <c r="SD50" s="79"/>
      <c r="SE50" s="79"/>
      <c r="SF50" s="79"/>
      <c r="SG50" s="79"/>
      <c r="SH50" s="79"/>
      <c r="SI50" s="79"/>
      <c r="SJ50" s="79"/>
      <c r="SK50" s="79"/>
      <c r="SL50" s="79"/>
      <c r="SM50" s="79"/>
      <c r="SN50" s="79"/>
      <c r="SO50" s="79"/>
      <c r="SP50" s="79"/>
      <c r="SQ50" s="79"/>
      <c r="SR50" s="79"/>
      <c r="SS50" s="79"/>
      <c r="ST50" s="79"/>
      <c r="SU50" s="79"/>
      <c r="SV50" s="79"/>
      <c r="SW50" s="79"/>
      <c r="SX50" s="79"/>
      <c r="SY50" s="79"/>
      <c r="SZ50" s="79"/>
      <c r="TA50" s="79"/>
      <c r="TB50" s="79"/>
      <c r="TC50" s="79"/>
      <c r="TD50" s="79"/>
      <c r="TE50" s="79"/>
      <c r="TF50" s="79"/>
      <c r="TG50" s="79"/>
      <c r="TH50" s="79"/>
      <c r="TI50" s="79"/>
      <c r="TJ50" s="79"/>
      <c r="TK50" s="79"/>
      <c r="TL50" s="79"/>
      <c r="TM50" s="79"/>
      <c r="TN50" s="79"/>
      <c r="TO50" s="79"/>
      <c r="TP50" s="79"/>
      <c r="TQ50" s="79"/>
      <c r="TR50" s="79"/>
      <c r="TS50" s="79"/>
      <c r="TT50" s="79"/>
      <c r="TU50" s="79"/>
      <c r="TV50" s="79"/>
      <c r="TW50" s="79"/>
      <c r="TX50" s="79"/>
      <c r="TY50" s="79"/>
      <c r="TZ50" s="79"/>
      <c r="UA50" s="79"/>
      <c r="UB50" s="79"/>
      <c r="UC50" s="79"/>
      <c r="UD50" s="79"/>
      <c r="UE50" s="79"/>
      <c r="UF50" s="79"/>
      <c r="UG50" s="79"/>
      <c r="UH50" s="79"/>
      <c r="UI50" s="79"/>
      <c r="UJ50" s="79"/>
      <c r="UK50" s="79"/>
      <c r="UL50" s="79"/>
      <c r="UM50" s="79"/>
      <c r="UN50" s="79"/>
      <c r="UO50" s="79"/>
      <c r="UP50" s="79"/>
      <c r="UQ50" s="79"/>
      <c r="UR50" s="79"/>
      <c r="US50" s="79"/>
      <c r="UT50" s="79"/>
      <c r="UU50" s="79"/>
      <c r="UV50" s="79"/>
      <c r="UW50" s="79"/>
      <c r="UX50" s="79"/>
      <c r="UY50" s="79"/>
      <c r="UZ50" s="79"/>
      <c r="VA50" s="79"/>
      <c r="VB50" s="79"/>
      <c r="VC50" s="79"/>
      <c r="VD50" s="79"/>
      <c r="VE50" s="79"/>
      <c r="VF50" s="79"/>
      <c r="VG50" s="79"/>
      <c r="VH50" s="79"/>
      <c r="VI50" s="79"/>
      <c r="VJ50" s="79"/>
      <c r="VK50" s="79"/>
      <c r="VL50" s="79"/>
    </row>
    <row r="51" spans="1:584" s="81" customFormat="1" ht="26.25" customHeight="1" x14ac:dyDescent="0.25">
      <c r="A51" s="70" t="s">
        <v>221</v>
      </c>
      <c r="B51" s="96"/>
      <c r="C51" s="96"/>
      <c r="D51" s="68" t="s">
        <v>41</v>
      </c>
      <c r="E51" s="114">
        <f>E53+E54+E56+E58+E60+E62+E63+E65+E66+E68+E70+E72+E73+E74+E75+E77+E78+E80+E79</f>
        <v>856046389.57999992</v>
      </c>
      <c r="F51" s="114">
        <f t="shared" ref="F51:Y51" si="10">F53+F54+F56+F58+F60+F62+F63+F65+F66+F68+F70+F72+F73+F74+F75+F77+F78+F80+F79</f>
        <v>554588654</v>
      </c>
      <c r="G51" s="114">
        <f t="shared" si="10"/>
        <v>77262662</v>
      </c>
      <c r="H51" s="114">
        <f>H53+H54+H56+H58+H60+H62+H63+H65+H66+H68+H70+H72+H73+H74+H75+H77+H78+H80+H79</f>
        <v>845435466.0400002</v>
      </c>
      <c r="I51" s="114">
        <f t="shared" ref="I51:J51" si="11">I53+I54+I56+I58+I60+I62+I63+I65+I66+I68+I70+I72+I73+I74+I75+I77+I78+I80+I79</f>
        <v>553819864.49000001</v>
      </c>
      <c r="J51" s="114">
        <f t="shared" si="11"/>
        <v>72506210.809999987</v>
      </c>
      <c r="K51" s="153">
        <f t="shared" si="3"/>
        <v>98.760473302713677</v>
      </c>
      <c r="L51" s="114">
        <f t="shared" si="10"/>
        <v>89537081.090000004</v>
      </c>
      <c r="M51" s="114">
        <f t="shared" si="10"/>
        <v>46078242.090000004</v>
      </c>
      <c r="N51" s="114">
        <f t="shared" si="10"/>
        <v>43287339</v>
      </c>
      <c r="O51" s="114">
        <f t="shared" si="10"/>
        <v>3455421</v>
      </c>
      <c r="P51" s="114">
        <f t="shared" si="10"/>
        <v>2628089</v>
      </c>
      <c r="Q51" s="114">
        <f t="shared" si="10"/>
        <v>46249742.090000004</v>
      </c>
      <c r="R51" s="114">
        <f t="shared" ref="R51:W51" si="12">R53+R54+R56+R58+R60+R62+R63+R65+R66+R68+R70+R72+R73+R74+R75+R77+R78+R80+R79</f>
        <v>97084689.180000007</v>
      </c>
      <c r="S51" s="114">
        <f t="shared" si="12"/>
        <v>45303410.009999998</v>
      </c>
      <c r="T51" s="114">
        <f t="shared" si="12"/>
        <v>46427597.670000002</v>
      </c>
      <c r="U51" s="114">
        <f t="shared" si="12"/>
        <v>3186342.07</v>
      </c>
      <c r="V51" s="114">
        <f t="shared" si="12"/>
        <v>2119117.14</v>
      </c>
      <c r="W51" s="114">
        <f t="shared" si="12"/>
        <v>50657091.509999998</v>
      </c>
      <c r="X51" s="165">
        <f t="shared" si="5"/>
        <v>108.42958916922183</v>
      </c>
      <c r="Y51" s="114">
        <f t="shared" si="10"/>
        <v>942520155.21999991</v>
      </c>
      <c r="Z51" s="187"/>
      <c r="AA51" s="80"/>
      <c r="AB51" s="80"/>
      <c r="AC51" s="80"/>
      <c r="AD51" s="80"/>
      <c r="AE51" s="79"/>
      <c r="AF51" s="79"/>
      <c r="AG51" s="79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  <c r="IR51" s="80"/>
      <c r="IS51" s="80"/>
      <c r="IT51" s="80"/>
      <c r="IU51" s="80"/>
      <c r="IV51" s="80"/>
      <c r="IW51" s="80"/>
      <c r="IX51" s="80"/>
      <c r="IY51" s="80"/>
      <c r="IZ51" s="80"/>
      <c r="JA51" s="80"/>
      <c r="JB51" s="80"/>
      <c r="JC51" s="80"/>
      <c r="JD51" s="80"/>
      <c r="JE51" s="80"/>
      <c r="JF51" s="80"/>
      <c r="JG51" s="80"/>
      <c r="JH51" s="80"/>
      <c r="JI51" s="80"/>
      <c r="JJ51" s="80"/>
      <c r="JK51" s="80"/>
      <c r="JL51" s="80"/>
      <c r="JM51" s="80"/>
      <c r="JN51" s="80"/>
      <c r="JO51" s="80"/>
      <c r="JP51" s="80"/>
      <c r="JQ51" s="80"/>
      <c r="JR51" s="80"/>
      <c r="JS51" s="80"/>
      <c r="JT51" s="80"/>
      <c r="JU51" s="80"/>
      <c r="JV51" s="80"/>
      <c r="JW51" s="80"/>
      <c r="JX51" s="80"/>
      <c r="JY51" s="80"/>
      <c r="JZ51" s="80"/>
      <c r="KA51" s="80"/>
      <c r="KB51" s="80"/>
      <c r="KC51" s="80"/>
      <c r="KD51" s="80"/>
      <c r="KE51" s="80"/>
      <c r="KF51" s="80"/>
      <c r="KG51" s="80"/>
      <c r="KH51" s="80"/>
      <c r="KI51" s="80"/>
      <c r="KJ51" s="80"/>
      <c r="KK51" s="80"/>
      <c r="KL51" s="80"/>
      <c r="KM51" s="80"/>
      <c r="KN51" s="80"/>
      <c r="KO51" s="80"/>
      <c r="KP51" s="80"/>
      <c r="KQ51" s="80"/>
      <c r="KR51" s="80"/>
      <c r="KS51" s="80"/>
      <c r="KT51" s="80"/>
      <c r="KU51" s="80"/>
      <c r="KV51" s="80"/>
      <c r="KW51" s="80"/>
      <c r="KX51" s="80"/>
      <c r="KY51" s="80"/>
      <c r="KZ51" s="80"/>
      <c r="LA51" s="80"/>
      <c r="LB51" s="80"/>
      <c r="LC51" s="80"/>
      <c r="LD51" s="80"/>
      <c r="LE51" s="80"/>
      <c r="LF51" s="80"/>
      <c r="LG51" s="80"/>
      <c r="LH51" s="80"/>
      <c r="LI51" s="80"/>
      <c r="LJ51" s="80"/>
      <c r="LK51" s="80"/>
      <c r="LL51" s="80"/>
      <c r="LM51" s="80"/>
      <c r="LN51" s="80"/>
      <c r="LO51" s="80"/>
      <c r="LP51" s="80"/>
      <c r="LQ51" s="80"/>
      <c r="LR51" s="80"/>
      <c r="LS51" s="80"/>
      <c r="LT51" s="80"/>
      <c r="LU51" s="80"/>
      <c r="LV51" s="80"/>
      <c r="LW51" s="80"/>
      <c r="LX51" s="80"/>
      <c r="LY51" s="80"/>
      <c r="LZ51" s="80"/>
      <c r="MA51" s="80"/>
      <c r="MB51" s="80"/>
      <c r="MC51" s="80"/>
      <c r="MD51" s="80"/>
      <c r="ME51" s="80"/>
      <c r="MF51" s="80"/>
      <c r="MG51" s="80"/>
      <c r="MH51" s="80"/>
      <c r="MI51" s="80"/>
      <c r="MJ51" s="80"/>
      <c r="MK51" s="80"/>
      <c r="ML51" s="80"/>
      <c r="MM51" s="80"/>
      <c r="MN51" s="80"/>
      <c r="MO51" s="80"/>
      <c r="MP51" s="80"/>
      <c r="MQ51" s="80"/>
      <c r="MR51" s="80"/>
      <c r="MS51" s="80"/>
      <c r="MT51" s="80"/>
      <c r="MU51" s="80"/>
      <c r="MV51" s="80"/>
      <c r="MW51" s="80"/>
      <c r="MX51" s="80"/>
      <c r="MY51" s="80"/>
      <c r="MZ51" s="80"/>
      <c r="NA51" s="80"/>
      <c r="NB51" s="80"/>
      <c r="NC51" s="80"/>
      <c r="ND51" s="80"/>
      <c r="NE51" s="80"/>
      <c r="NF51" s="80"/>
      <c r="NG51" s="80"/>
      <c r="NH51" s="80"/>
      <c r="NI51" s="80"/>
      <c r="NJ51" s="80"/>
      <c r="NK51" s="80"/>
      <c r="NL51" s="80"/>
      <c r="NM51" s="80"/>
      <c r="NN51" s="80"/>
      <c r="NO51" s="80"/>
      <c r="NP51" s="80"/>
      <c r="NQ51" s="80"/>
      <c r="NR51" s="80"/>
      <c r="NS51" s="80"/>
      <c r="NT51" s="80"/>
      <c r="NU51" s="80"/>
      <c r="NV51" s="80"/>
      <c r="NW51" s="80"/>
      <c r="NX51" s="80"/>
      <c r="NY51" s="80"/>
      <c r="NZ51" s="80"/>
      <c r="OA51" s="80"/>
      <c r="OB51" s="80"/>
      <c r="OC51" s="80"/>
      <c r="OD51" s="80"/>
      <c r="OE51" s="80"/>
      <c r="OF51" s="80"/>
      <c r="OG51" s="80"/>
      <c r="OH51" s="80"/>
      <c r="OI51" s="80"/>
      <c r="OJ51" s="80"/>
      <c r="OK51" s="80"/>
      <c r="OL51" s="80"/>
      <c r="OM51" s="80"/>
      <c r="ON51" s="80"/>
      <c r="OO51" s="80"/>
      <c r="OP51" s="80"/>
      <c r="OQ51" s="80"/>
      <c r="OR51" s="80"/>
      <c r="OS51" s="80"/>
      <c r="OT51" s="80"/>
      <c r="OU51" s="80"/>
      <c r="OV51" s="80"/>
      <c r="OW51" s="80"/>
      <c r="OX51" s="80"/>
      <c r="OY51" s="80"/>
      <c r="OZ51" s="80"/>
      <c r="PA51" s="80"/>
      <c r="PB51" s="80"/>
      <c r="PC51" s="80"/>
      <c r="PD51" s="80"/>
      <c r="PE51" s="80"/>
      <c r="PF51" s="80"/>
      <c r="PG51" s="80"/>
      <c r="PH51" s="80"/>
      <c r="PI51" s="80"/>
      <c r="PJ51" s="80"/>
      <c r="PK51" s="80"/>
      <c r="PL51" s="80"/>
      <c r="PM51" s="80"/>
      <c r="PN51" s="80"/>
      <c r="PO51" s="80"/>
      <c r="PP51" s="80"/>
      <c r="PQ51" s="80"/>
      <c r="PR51" s="80"/>
      <c r="PS51" s="80"/>
      <c r="PT51" s="80"/>
      <c r="PU51" s="80"/>
      <c r="PV51" s="80"/>
      <c r="PW51" s="80"/>
      <c r="PX51" s="80"/>
      <c r="PY51" s="80"/>
      <c r="PZ51" s="80"/>
      <c r="QA51" s="80"/>
      <c r="QB51" s="80"/>
      <c r="QC51" s="80"/>
      <c r="QD51" s="80"/>
      <c r="QE51" s="80"/>
      <c r="QF51" s="80"/>
      <c r="QG51" s="80"/>
      <c r="QH51" s="80"/>
      <c r="QI51" s="80"/>
      <c r="QJ51" s="80"/>
      <c r="QK51" s="80"/>
      <c r="QL51" s="80"/>
      <c r="QM51" s="80"/>
      <c r="QN51" s="80"/>
      <c r="QO51" s="80"/>
      <c r="QP51" s="80"/>
      <c r="QQ51" s="80"/>
      <c r="QR51" s="80"/>
      <c r="QS51" s="80"/>
      <c r="QT51" s="80"/>
      <c r="QU51" s="80"/>
      <c r="QV51" s="80"/>
      <c r="QW51" s="80"/>
      <c r="QX51" s="80"/>
      <c r="QY51" s="80"/>
      <c r="QZ51" s="80"/>
      <c r="RA51" s="80"/>
      <c r="RB51" s="80"/>
      <c r="RC51" s="80"/>
      <c r="RD51" s="80"/>
      <c r="RE51" s="80"/>
      <c r="RF51" s="80"/>
      <c r="RG51" s="80"/>
      <c r="RH51" s="80"/>
      <c r="RI51" s="80"/>
      <c r="RJ51" s="80"/>
      <c r="RK51" s="80"/>
      <c r="RL51" s="80"/>
      <c r="RM51" s="80"/>
      <c r="RN51" s="80"/>
      <c r="RO51" s="80"/>
      <c r="RP51" s="80"/>
      <c r="RQ51" s="80"/>
      <c r="RR51" s="80"/>
      <c r="RS51" s="80"/>
      <c r="RT51" s="80"/>
      <c r="RU51" s="80"/>
      <c r="RV51" s="80"/>
      <c r="RW51" s="80"/>
      <c r="RX51" s="80"/>
      <c r="RY51" s="80"/>
      <c r="RZ51" s="80"/>
      <c r="SA51" s="80"/>
      <c r="SB51" s="80"/>
      <c r="SC51" s="80"/>
      <c r="SD51" s="80"/>
      <c r="SE51" s="80"/>
      <c r="SF51" s="80"/>
      <c r="SG51" s="80"/>
      <c r="SH51" s="80"/>
      <c r="SI51" s="80"/>
      <c r="SJ51" s="80"/>
      <c r="SK51" s="80"/>
      <c r="SL51" s="80"/>
      <c r="SM51" s="80"/>
      <c r="SN51" s="80"/>
      <c r="SO51" s="80"/>
      <c r="SP51" s="80"/>
      <c r="SQ51" s="80"/>
      <c r="SR51" s="80"/>
      <c r="SS51" s="80"/>
      <c r="ST51" s="80"/>
      <c r="SU51" s="80"/>
      <c r="SV51" s="80"/>
      <c r="SW51" s="80"/>
      <c r="SX51" s="80"/>
      <c r="SY51" s="80"/>
      <c r="SZ51" s="80"/>
      <c r="TA51" s="80"/>
      <c r="TB51" s="80"/>
      <c r="TC51" s="80"/>
      <c r="TD51" s="80"/>
      <c r="TE51" s="80"/>
      <c r="TF51" s="80"/>
      <c r="TG51" s="80"/>
      <c r="TH51" s="80"/>
      <c r="TI51" s="80"/>
      <c r="TJ51" s="80"/>
      <c r="TK51" s="80"/>
      <c r="TL51" s="80"/>
      <c r="TM51" s="80"/>
      <c r="TN51" s="80"/>
      <c r="TO51" s="80"/>
      <c r="TP51" s="80"/>
      <c r="TQ51" s="80"/>
      <c r="TR51" s="80"/>
      <c r="TS51" s="80"/>
      <c r="TT51" s="80"/>
      <c r="TU51" s="80"/>
      <c r="TV51" s="80"/>
      <c r="TW51" s="80"/>
      <c r="TX51" s="80"/>
      <c r="TY51" s="80"/>
      <c r="TZ51" s="80"/>
      <c r="UA51" s="80"/>
      <c r="UB51" s="80"/>
      <c r="UC51" s="80"/>
      <c r="UD51" s="80"/>
      <c r="UE51" s="80"/>
      <c r="UF51" s="80"/>
      <c r="UG51" s="80"/>
      <c r="UH51" s="80"/>
      <c r="UI51" s="80"/>
      <c r="UJ51" s="80"/>
      <c r="UK51" s="80"/>
      <c r="UL51" s="80"/>
      <c r="UM51" s="80"/>
      <c r="UN51" s="80"/>
      <c r="UO51" s="80"/>
      <c r="UP51" s="80"/>
      <c r="UQ51" s="80"/>
      <c r="UR51" s="80"/>
      <c r="US51" s="80"/>
      <c r="UT51" s="80"/>
      <c r="UU51" s="80"/>
      <c r="UV51" s="80"/>
      <c r="UW51" s="80"/>
      <c r="UX51" s="80"/>
      <c r="UY51" s="80"/>
      <c r="UZ51" s="80"/>
      <c r="VA51" s="80"/>
      <c r="VB51" s="80"/>
      <c r="VC51" s="80"/>
      <c r="VD51" s="80"/>
      <c r="VE51" s="80"/>
      <c r="VF51" s="80"/>
      <c r="VG51" s="80"/>
      <c r="VH51" s="80"/>
      <c r="VI51" s="80"/>
      <c r="VJ51" s="80"/>
      <c r="VK51" s="80"/>
      <c r="VL51" s="80"/>
    </row>
    <row r="52" spans="1:584" s="64" customFormat="1" ht="18.75" customHeight="1" x14ac:dyDescent="0.25">
      <c r="A52" s="69"/>
      <c r="B52" s="95"/>
      <c r="C52" s="95"/>
      <c r="D52" s="63" t="s">
        <v>342</v>
      </c>
      <c r="E52" s="116">
        <f>E55+E57+E59+E61+E64+E67+E69+E76+E71</f>
        <v>322153689.97999996</v>
      </c>
      <c r="F52" s="116">
        <f t="shared" ref="F52:J52" si="13">F55+F57+F59+F61+F64+F67+F69+F76+F71</f>
        <v>256716014</v>
      </c>
      <c r="G52" s="116">
        <f t="shared" si="13"/>
        <v>0</v>
      </c>
      <c r="H52" s="116">
        <f t="shared" si="13"/>
        <v>321271526.81000006</v>
      </c>
      <c r="I52" s="116">
        <f t="shared" si="13"/>
        <v>256138804.27000001</v>
      </c>
      <c r="J52" s="116">
        <f t="shared" si="13"/>
        <v>0</v>
      </c>
      <c r="K52" s="135">
        <f t="shared" si="3"/>
        <v>99.726166982580693</v>
      </c>
      <c r="L52" s="116">
        <f>L55+L57+L59+L61+L64+L67+L69+L76+L71</f>
        <v>19899466.740000002</v>
      </c>
      <c r="M52" s="116">
        <f t="shared" ref="M52:Y52" si="14">M55+M57+M59+M61+M64+M67+M69+M76+M71</f>
        <v>19899466.740000002</v>
      </c>
      <c r="N52" s="116">
        <f t="shared" si="14"/>
        <v>0</v>
      </c>
      <c r="O52" s="116">
        <f t="shared" si="14"/>
        <v>0</v>
      </c>
      <c r="P52" s="116">
        <f t="shared" si="14"/>
        <v>0</v>
      </c>
      <c r="Q52" s="116">
        <f t="shared" si="14"/>
        <v>19899466.740000002</v>
      </c>
      <c r="R52" s="116">
        <f t="shared" si="14"/>
        <v>19629204.010000002</v>
      </c>
      <c r="S52" s="116">
        <f t="shared" si="14"/>
        <v>19629204.010000002</v>
      </c>
      <c r="T52" s="116">
        <f t="shared" si="14"/>
        <v>0</v>
      </c>
      <c r="U52" s="116">
        <f t="shared" si="14"/>
        <v>0</v>
      </c>
      <c r="V52" s="116">
        <f t="shared" si="14"/>
        <v>0</v>
      </c>
      <c r="W52" s="116">
        <f t="shared" si="14"/>
        <v>19629204.010000002</v>
      </c>
      <c r="X52" s="149">
        <f t="shared" si="5"/>
        <v>98.641859435073485</v>
      </c>
      <c r="Y52" s="116">
        <f t="shared" si="14"/>
        <v>340900730.82000005</v>
      </c>
      <c r="Z52" s="187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  <c r="IW52" s="79"/>
      <c r="IX52" s="79"/>
      <c r="IY52" s="79"/>
      <c r="IZ52" s="79"/>
      <c r="JA52" s="79"/>
      <c r="JB52" s="79"/>
      <c r="JC52" s="79"/>
      <c r="JD52" s="79"/>
      <c r="JE52" s="79"/>
      <c r="JF52" s="79"/>
      <c r="JG52" s="79"/>
      <c r="JH52" s="79"/>
      <c r="JI52" s="79"/>
      <c r="JJ52" s="79"/>
      <c r="JK52" s="79"/>
      <c r="JL52" s="79"/>
      <c r="JM52" s="79"/>
      <c r="JN52" s="79"/>
      <c r="JO52" s="79"/>
      <c r="JP52" s="79"/>
      <c r="JQ52" s="79"/>
      <c r="JR52" s="79"/>
      <c r="JS52" s="79"/>
      <c r="JT52" s="79"/>
      <c r="JU52" s="79"/>
      <c r="JV52" s="79"/>
      <c r="JW52" s="79"/>
      <c r="JX52" s="79"/>
      <c r="JY52" s="79"/>
      <c r="JZ52" s="79"/>
      <c r="KA52" s="79"/>
      <c r="KB52" s="79"/>
      <c r="KC52" s="79"/>
      <c r="KD52" s="79"/>
      <c r="KE52" s="79"/>
      <c r="KF52" s="79"/>
      <c r="KG52" s="79"/>
      <c r="KH52" s="79"/>
      <c r="KI52" s="79"/>
      <c r="KJ52" s="79"/>
      <c r="KK52" s="79"/>
      <c r="KL52" s="79"/>
      <c r="KM52" s="79"/>
      <c r="KN52" s="79"/>
      <c r="KO52" s="79"/>
      <c r="KP52" s="79"/>
      <c r="KQ52" s="79"/>
      <c r="KR52" s="79"/>
      <c r="KS52" s="79"/>
      <c r="KT52" s="79"/>
      <c r="KU52" s="79"/>
      <c r="KV52" s="79"/>
      <c r="KW52" s="79"/>
      <c r="KX52" s="79"/>
      <c r="KY52" s="79"/>
      <c r="KZ52" s="79"/>
      <c r="LA52" s="79"/>
      <c r="LB52" s="79"/>
      <c r="LC52" s="79"/>
      <c r="LD52" s="79"/>
      <c r="LE52" s="79"/>
      <c r="LF52" s="79"/>
      <c r="LG52" s="79"/>
      <c r="LH52" s="79"/>
      <c r="LI52" s="79"/>
      <c r="LJ52" s="79"/>
      <c r="LK52" s="79"/>
      <c r="LL52" s="79"/>
      <c r="LM52" s="79"/>
      <c r="LN52" s="79"/>
      <c r="LO52" s="79"/>
      <c r="LP52" s="79"/>
      <c r="LQ52" s="79"/>
      <c r="LR52" s="79"/>
      <c r="LS52" s="79"/>
      <c r="LT52" s="79"/>
      <c r="LU52" s="79"/>
      <c r="LV52" s="79"/>
      <c r="LW52" s="79"/>
      <c r="LX52" s="79"/>
      <c r="LY52" s="79"/>
      <c r="LZ52" s="79"/>
      <c r="MA52" s="79"/>
      <c r="MB52" s="79"/>
      <c r="MC52" s="79"/>
      <c r="MD52" s="79"/>
      <c r="ME52" s="79"/>
      <c r="MF52" s="79"/>
      <c r="MG52" s="79"/>
      <c r="MH52" s="79"/>
      <c r="MI52" s="79"/>
      <c r="MJ52" s="79"/>
      <c r="MK52" s="79"/>
      <c r="ML52" s="79"/>
      <c r="MM52" s="79"/>
      <c r="MN52" s="79"/>
      <c r="MO52" s="79"/>
      <c r="MP52" s="79"/>
      <c r="MQ52" s="79"/>
      <c r="MR52" s="79"/>
      <c r="MS52" s="79"/>
      <c r="MT52" s="79"/>
      <c r="MU52" s="79"/>
      <c r="MV52" s="79"/>
      <c r="MW52" s="79"/>
      <c r="MX52" s="79"/>
      <c r="MY52" s="79"/>
      <c r="MZ52" s="79"/>
      <c r="NA52" s="79"/>
      <c r="NB52" s="79"/>
      <c r="NC52" s="79"/>
      <c r="ND52" s="79"/>
      <c r="NE52" s="79"/>
      <c r="NF52" s="79"/>
      <c r="NG52" s="79"/>
      <c r="NH52" s="79"/>
      <c r="NI52" s="79"/>
      <c r="NJ52" s="79"/>
      <c r="NK52" s="79"/>
      <c r="NL52" s="79"/>
      <c r="NM52" s="79"/>
      <c r="NN52" s="79"/>
      <c r="NO52" s="79"/>
      <c r="NP52" s="79"/>
      <c r="NQ52" s="79"/>
      <c r="NR52" s="79"/>
      <c r="NS52" s="79"/>
      <c r="NT52" s="79"/>
      <c r="NU52" s="79"/>
      <c r="NV52" s="79"/>
      <c r="NW52" s="79"/>
      <c r="NX52" s="79"/>
      <c r="NY52" s="79"/>
      <c r="NZ52" s="79"/>
      <c r="OA52" s="79"/>
      <c r="OB52" s="79"/>
      <c r="OC52" s="79"/>
      <c r="OD52" s="79"/>
      <c r="OE52" s="79"/>
      <c r="OF52" s="79"/>
      <c r="OG52" s="79"/>
      <c r="OH52" s="79"/>
      <c r="OI52" s="79"/>
      <c r="OJ52" s="79"/>
      <c r="OK52" s="79"/>
      <c r="OL52" s="79"/>
      <c r="OM52" s="79"/>
      <c r="ON52" s="79"/>
      <c r="OO52" s="79"/>
      <c r="OP52" s="79"/>
      <c r="OQ52" s="79"/>
      <c r="OR52" s="79"/>
      <c r="OS52" s="79"/>
      <c r="OT52" s="79"/>
      <c r="OU52" s="79"/>
      <c r="OV52" s="79"/>
      <c r="OW52" s="79"/>
      <c r="OX52" s="79"/>
      <c r="OY52" s="79"/>
      <c r="OZ52" s="79"/>
      <c r="PA52" s="79"/>
      <c r="PB52" s="79"/>
      <c r="PC52" s="79"/>
      <c r="PD52" s="79"/>
      <c r="PE52" s="79"/>
      <c r="PF52" s="79"/>
      <c r="PG52" s="79"/>
      <c r="PH52" s="79"/>
      <c r="PI52" s="79"/>
      <c r="PJ52" s="79"/>
      <c r="PK52" s="79"/>
      <c r="PL52" s="79"/>
      <c r="PM52" s="79"/>
      <c r="PN52" s="79"/>
      <c r="PO52" s="79"/>
      <c r="PP52" s="79"/>
      <c r="PQ52" s="79"/>
      <c r="PR52" s="79"/>
      <c r="PS52" s="79"/>
      <c r="PT52" s="79"/>
      <c r="PU52" s="79"/>
      <c r="PV52" s="79"/>
      <c r="PW52" s="79"/>
      <c r="PX52" s="79"/>
      <c r="PY52" s="79"/>
      <c r="PZ52" s="79"/>
      <c r="QA52" s="79"/>
      <c r="QB52" s="79"/>
      <c r="QC52" s="79"/>
      <c r="QD52" s="79"/>
      <c r="QE52" s="79"/>
      <c r="QF52" s="79"/>
      <c r="QG52" s="79"/>
      <c r="QH52" s="79"/>
      <c r="QI52" s="79"/>
      <c r="QJ52" s="79"/>
      <c r="QK52" s="79"/>
      <c r="QL52" s="79"/>
      <c r="QM52" s="79"/>
      <c r="QN52" s="79"/>
      <c r="QO52" s="79"/>
      <c r="QP52" s="79"/>
      <c r="QQ52" s="79"/>
      <c r="QR52" s="79"/>
      <c r="QS52" s="79"/>
      <c r="QT52" s="79"/>
      <c r="QU52" s="79"/>
      <c r="QV52" s="79"/>
      <c r="QW52" s="79"/>
      <c r="QX52" s="79"/>
      <c r="QY52" s="79"/>
      <c r="QZ52" s="79"/>
      <c r="RA52" s="79"/>
      <c r="RB52" s="79"/>
      <c r="RC52" s="79"/>
      <c r="RD52" s="79"/>
      <c r="RE52" s="79"/>
      <c r="RF52" s="79"/>
      <c r="RG52" s="79"/>
      <c r="RH52" s="79"/>
      <c r="RI52" s="79"/>
      <c r="RJ52" s="79"/>
      <c r="RK52" s="79"/>
      <c r="RL52" s="79"/>
      <c r="RM52" s="79"/>
      <c r="RN52" s="79"/>
      <c r="RO52" s="79"/>
      <c r="RP52" s="79"/>
      <c r="RQ52" s="79"/>
      <c r="RR52" s="79"/>
      <c r="RS52" s="79"/>
      <c r="RT52" s="79"/>
      <c r="RU52" s="79"/>
      <c r="RV52" s="79"/>
      <c r="RW52" s="79"/>
      <c r="RX52" s="79"/>
      <c r="RY52" s="79"/>
      <c r="RZ52" s="79"/>
      <c r="SA52" s="79"/>
      <c r="SB52" s="79"/>
      <c r="SC52" s="79"/>
      <c r="SD52" s="79"/>
      <c r="SE52" s="79"/>
      <c r="SF52" s="79"/>
      <c r="SG52" s="79"/>
      <c r="SH52" s="79"/>
      <c r="SI52" s="79"/>
      <c r="SJ52" s="79"/>
      <c r="SK52" s="79"/>
      <c r="SL52" s="79"/>
      <c r="SM52" s="79"/>
      <c r="SN52" s="79"/>
      <c r="SO52" s="79"/>
      <c r="SP52" s="79"/>
      <c r="SQ52" s="79"/>
      <c r="SR52" s="79"/>
      <c r="SS52" s="79"/>
      <c r="ST52" s="79"/>
      <c r="SU52" s="79"/>
      <c r="SV52" s="79"/>
      <c r="SW52" s="79"/>
      <c r="SX52" s="79"/>
      <c r="SY52" s="79"/>
      <c r="SZ52" s="79"/>
      <c r="TA52" s="79"/>
      <c r="TB52" s="79"/>
      <c r="TC52" s="79"/>
      <c r="TD52" s="79"/>
      <c r="TE52" s="79"/>
      <c r="TF52" s="79"/>
      <c r="TG52" s="79"/>
      <c r="TH52" s="79"/>
      <c r="TI52" s="79"/>
      <c r="TJ52" s="79"/>
      <c r="TK52" s="79"/>
      <c r="TL52" s="79"/>
      <c r="TM52" s="79"/>
      <c r="TN52" s="79"/>
      <c r="TO52" s="79"/>
      <c r="TP52" s="79"/>
      <c r="TQ52" s="79"/>
      <c r="TR52" s="79"/>
      <c r="TS52" s="79"/>
      <c r="TT52" s="79"/>
      <c r="TU52" s="79"/>
      <c r="TV52" s="79"/>
      <c r="TW52" s="79"/>
      <c r="TX52" s="79"/>
      <c r="TY52" s="79"/>
      <c r="TZ52" s="79"/>
      <c r="UA52" s="79"/>
      <c r="UB52" s="79"/>
      <c r="UC52" s="79"/>
      <c r="UD52" s="79"/>
      <c r="UE52" s="79"/>
      <c r="UF52" s="79"/>
      <c r="UG52" s="79"/>
      <c r="UH52" s="79"/>
      <c r="UI52" s="79"/>
      <c r="UJ52" s="79"/>
      <c r="UK52" s="79"/>
      <c r="UL52" s="79"/>
      <c r="UM52" s="79"/>
      <c r="UN52" s="79"/>
      <c r="UO52" s="79"/>
      <c r="UP52" s="79"/>
      <c r="UQ52" s="79"/>
      <c r="UR52" s="79"/>
      <c r="US52" s="79"/>
      <c r="UT52" s="79"/>
      <c r="UU52" s="79"/>
      <c r="UV52" s="79"/>
      <c r="UW52" s="79"/>
      <c r="UX52" s="79"/>
      <c r="UY52" s="79"/>
      <c r="UZ52" s="79"/>
      <c r="VA52" s="79"/>
      <c r="VB52" s="79"/>
      <c r="VC52" s="79"/>
      <c r="VD52" s="79"/>
      <c r="VE52" s="79"/>
      <c r="VF52" s="79"/>
      <c r="VG52" s="79"/>
      <c r="VH52" s="79"/>
      <c r="VI52" s="79"/>
      <c r="VJ52" s="79"/>
      <c r="VK52" s="79"/>
      <c r="VL52" s="79"/>
    </row>
    <row r="53" spans="1:584" s="47" customFormat="1" ht="46.5" customHeight="1" x14ac:dyDescent="0.25">
      <c r="A53" s="45" t="s">
        <v>222</v>
      </c>
      <c r="B53" s="91" t="str">
        <f>'дод 3'!A13</f>
        <v>0160</v>
      </c>
      <c r="C53" s="91" t="str">
        <f>'дод 3'!B13</f>
        <v>0111</v>
      </c>
      <c r="D53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53" s="115">
        <v>3327600</v>
      </c>
      <c r="F53" s="115">
        <v>2597420</v>
      </c>
      <c r="G53" s="115">
        <f>47700+816</f>
        <v>48516</v>
      </c>
      <c r="H53" s="115">
        <v>3288741.45</v>
      </c>
      <c r="I53" s="115">
        <v>2581577.89</v>
      </c>
      <c r="J53" s="115">
        <v>39620.9</v>
      </c>
      <c r="K53" s="164">
        <f t="shared" si="3"/>
        <v>98.832234944103874</v>
      </c>
      <c r="L53" s="115">
        <f t="shared" si="6"/>
        <v>0</v>
      </c>
      <c r="M53" s="115"/>
      <c r="N53" s="115"/>
      <c r="O53" s="115"/>
      <c r="P53" s="115"/>
      <c r="Q53" s="115"/>
      <c r="R53" s="115">
        <f t="shared" si="7"/>
        <v>0</v>
      </c>
      <c r="S53" s="115"/>
      <c r="T53" s="115"/>
      <c r="U53" s="115"/>
      <c r="V53" s="115"/>
      <c r="W53" s="115"/>
      <c r="X53" s="149"/>
      <c r="Y53" s="115">
        <f t="shared" ref="Y53:Y80" si="15">H53+R53</f>
        <v>3288741.45</v>
      </c>
      <c r="Z53" s="187"/>
      <c r="AA53" s="53"/>
      <c r="AB53" s="53"/>
      <c r="AC53" s="53"/>
      <c r="AD53" s="53"/>
      <c r="AE53" s="79"/>
      <c r="AF53" s="79"/>
      <c r="AG53" s="79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/>
      <c r="KA53" s="53"/>
      <c r="KB53" s="53"/>
      <c r="KC53" s="53"/>
      <c r="KD53" s="53"/>
      <c r="KE53" s="53"/>
      <c r="KF53" s="53"/>
      <c r="KG53" s="53"/>
      <c r="KH53" s="53"/>
      <c r="KI53" s="53"/>
      <c r="KJ53" s="53"/>
      <c r="KK53" s="53"/>
      <c r="KL53" s="53"/>
      <c r="KM53" s="53"/>
      <c r="KN53" s="53"/>
      <c r="KO53" s="53"/>
      <c r="KP53" s="53"/>
      <c r="KQ53" s="53"/>
      <c r="KR53" s="53"/>
      <c r="KS53" s="53"/>
      <c r="KT53" s="53"/>
      <c r="KU53" s="53"/>
      <c r="KV53" s="53"/>
      <c r="KW53" s="53"/>
      <c r="KX53" s="53"/>
      <c r="KY53" s="53"/>
      <c r="KZ53" s="53"/>
      <c r="LA53" s="53"/>
      <c r="LB53" s="53"/>
      <c r="LC53" s="53"/>
      <c r="LD53" s="53"/>
      <c r="LE53" s="53"/>
      <c r="LF53" s="53"/>
      <c r="LG53" s="53"/>
      <c r="LH53" s="53"/>
      <c r="LI53" s="53"/>
      <c r="LJ53" s="53"/>
      <c r="LK53" s="53"/>
      <c r="LL53" s="53"/>
      <c r="LM53" s="53"/>
      <c r="LN53" s="53"/>
      <c r="LO53" s="53"/>
      <c r="LP53" s="53"/>
      <c r="LQ53" s="53"/>
      <c r="LR53" s="53"/>
      <c r="LS53" s="53"/>
      <c r="LT53" s="53"/>
      <c r="LU53" s="53"/>
      <c r="LV53" s="53"/>
      <c r="LW53" s="53"/>
      <c r="LX53" s="53"/>
      <c r="LY53" s="53"/>
      <c r="LZ53" s="53"/>
      <c r="MA53" s="53"/>
      <c r="MB53" s="53"/>
      <c r="MC53" s="53"/>
      <c r="MD53" s="53"/>
      <c r="ME53" s="53"/>
      <c r="MF53" s="53"/>
      <c r="MG53" s="53"/>
      <c r="MH53" s="53"/>
      <c r="MI53" s="53"/>
      <c r="MJ53" s="53"/>
      <c r="MK53" s="53"/>
      <c r="ML53" s="53"/>
      <c r="MM53" s="53"/>
      <c r="MN53" s="53"/>
      <c r="MO53" s="53"/>
      <c r="MP53" s="53"/>
      <c r="MQ53" s="53"/>
      <c r="MR53" s="53"/>
      <c r="MS53" s="53"/>
      <c r="MT53" s="53"/>
      <c r="MU53" s="53"/>
      <c r="MV53" s="53"/>
      <c r="MW53" s="53"/>
      <c r="MX53" s="53"/>
      <c r="MY53" s="53"/>
      <c r="MZ53" s="53"/>
      <c r="NA53" s="53"/>
      <c r="NB53" s="53"/>
      <c r="NC53" s="53"/>
      <c r="ND53" s="53"/>
      <c r="NE53" s="53"/>
      <c r="NF53" s="53"/>
      <c r="NG53" s="53"/>
      <c r="NH53" s="53"/>
      <c r="NI53" s="53"/>
      <c r="NJ53" s="53"/>
      <c r="NK53" s="53"/>
      <c r="NL53" s="53"/>
      <c r="NM53" s="53"/>
      <c r="NN53" s="53"/>
      <c r="NO53" s="53"/>
      <c r="NP53" s="53"/>
      <c r="NQ53" s="53"/>
      <c r="NR53" s="53"/>
      <c r="NS53" s="53"/>
      <c r="NT53" s="53"/>
      <c r="NU53" s="53"/>
      <c r="NV53" s="53"/>
      <c r="NW53" s="53"/>
      <c r="NX53" s="53"/>
      <c r="NY53" s="53"/>
      <c r="NZ53" s="53"/>
      <c r="OA53" s="53"/>
      <c r="OB53" s="53"/>
      <c r="OC53" s="53"/>
      <c r="OD53" s="53"/>
      <c r="OE53" s="53"/>
      <c r="OF53" s="53"/>
      <c r="OG53" s="53"/>
      <c r="OH53" s="53"/>
      <c r="OI53" s="53"/>
      <c r="OJ53" s="53"/>
      <c r="OK53" s="53"/>
      <c r="OL53" s="53"/>
      <c r="OM53" s="53"/>
      <c r="ON53" s="53"/>
      <c r="OO53" s="53"/>
      <c r="OP53" s="53"/>
      <c r="OQ53" s="53"/>
      <c r="OR53" s="53"/>
      <c r="OS53" s="53"/>
      <c r="OT53" s="53"/>
      <c r="OU53" s="53"/>
      <c r="OV53" s="53"/>
      <c r="OW53" s="53"/>
      <c r="OX53" s="53"/>
      <c r="OY53" s="53"/>
      <c r="OZ53" s="53"/>
      <c r="PA53" s="53"/>
      <c r="PB53" s="53"/>
      <c r="PC53" s="53"/>
      <c r="PD53" s="53"/>
      <c r="PE53" s="53"/>
      <c r="PF53" s="53"/>
      <c r="PG53" s="53"/>
      <c r="PH53" s="53"/>
      <c r="PI53" s="53"/>
      <c r="PJ53" s="53"/>
      <c r="PK53" s="53"/>
      <c r="PL53" s="53"/>
      <c r="PM53" s="53"/>
      <c r="PN53" s="53"/>
      <c r="PO53" s="53"/>
      <c r="PP53" s="53"/>
      <c r="PQ53" s="53"/>
      <c r="PR53" s="53"/>
      <c r="PS53" s="53"/>
      <c r="PT53" s="53"/>
      <c r="PU53" s="53"/>
      <c r="PV53" s="53"/>
      <c r="PW53" s="53"/>
      <c r="PX53" s="53"/>
      <c r="PY53" s="53"/>
      <c r="PZ53" s="53"/>
      <c r="QA53" s="53"/>
      <c r="QB53" s="53"/>
      <c r="QC53" s="53"/>
      <c r="QD53" s="53"/>
      <c r="QE53" s="53"/>
      <c r="QF53" s="53"/>
      <c r="QG53" s="53"/>
      <c r="QH53" s="53"/>
      <c r="QI53" s="53"/>
      <c r="QJ53" s="53"/>
      <c r="QK53" s="53"/>
      <c r="QL53" s="53"/>
      <c r="QM53" s="53"/>
      <c r="QN53" s="53"/>
      <c r="QO53" s="53"/>
      <c r="QP53" s="53"/>
      <c r="QQ53" s="53"/>
      <c r="QR53" s="53"/>
      <c r="QS53" s="53"/>
      <c r="QT53" s="53"/>
      <c r="QU53" s="53"/>
      <c r="QV53" s="53"/>
      <c r="QW53" s="53"/>
      <c r="QX53" s="53"/>
      <c r="QY53" s="53"/>
      <c r="QZ53" s="53"/>
      <c r="RA53" s="53"/>
      <c r="RB53" s="53"/>
      <c r="RC53" s="53"/>
      <c r="RD53" s="53"/>
      <c r="RE53" s="53"/>
      <c r="RF53" s="53"/>
      <c r="RG53" s="53"/>
      <c r="RH53" s="53"/>
      <c r="RI53" s="53"/>
      <c r="RJ53" s="53"/>
      <c r="RK53" s="53"/>
      <c r="RL53" s="53"/>
      <c r="RM53" s="53"/>
      <c r="RN53" s="53"/>
      <c r="RO53" s="53"/>
      <c r="RP53" s="53"/>
      <c r="RQ53" s="53"/>
      <c r="RR53" s="53"/>
      <c r="RS53" s="53"/>
      <c r="RT53" s="53"/>
      <c r="RU53" s="53"/>
      <c r="RV53" s="53"/>
      <c r="RW53" s="53"/>
      <c r="RX53" s="53"/>
      <c r="RY53" s="53"/>
      <c r="RZ53" s="53"/>
      <c r="SA53" s="53"/>
      <c r="SB53" s="53"/>
      <c r="SC53" s="53"/>
      <c r="SD53" s="53"/>
      <c r="SE53" s="53"/>
      <c r="SF53" s="53"/>
      <c r="SG53" s="53"/>
      <c r="SH53" s="53"/>
      <c r="SI53" s="53"/>
      <c r="SJ53" s="53"/>
      <c r="SK53" s="53"/>
      <c r="SL53" s="53"/>
      <c r="SM53" s="53"/>
      <c r="SN53" s="53"/>
      <c r="SO53" s="53"/>
      <c r="SP53" s="53"/>
      <c r="SQ53" s="53"/>
      <c r="SR53" s="53"/>
      <c r="SS53" s="53"/>
      <c r="ST53" s="53"/>
      <c r="SU53" s="53"/>
      <c r="SV53" s="53"/>
      <c r="SW53" s="53"/>
      <c r="SX53" s="53"/>
      <c r="SY53" s="53"/>
      <c r="SZ53" s="53"/>
      <c r="TA53" s="53"/>
      <c r="TB53" s="53"/>
      <c r="TC53" s="53"/>
      <c r="TD53" s="53"/>
      <c r="TE53" s="53"/>
      <c r="TF53" s="53"/>
      <c r="TG53" s="53"/>
      <c r="TH53" s="53"/>
      <c r="TI53" s="53"/>
      <c r="TJ53" s="53"/>
      <c r="TK53" s="53"/>
      <c r="TL53" s="53"/>
      <c r="TM53" s="53"/>
      <c r="TN53" s="53"/>
      <c r="TO53" s="53"/>
      <c r="TP53" s="53"/>
      <c r="TQ53" s="53"/>
      <c r="TR53" s="53"/>
      <c r="TS53" s="53"/>
      <c r="TT53" s="53"/>
      <c r="TU53" s="53"/>
      <c r="TV53" s="53"/>
      <c r="TW53" s="53"/>
      <c r="TX53" s="53"/>
      <c r="TY53" s="53"/>
      <c r="TZ53" s="53"/>
      <c r="UA53" s="53"/>
      <c r="UB53" s="53"/>
      <c r="UC53" s="53"/>
      <c r="UD53" s="53"/>
      <c r="UE53" s="53"/>
      <c r="UF53" s="53"/>
      <c r="UG53" s="53"/>
      <c r="UH53" s="53"/>
      <c r="UI53" s="53"/>
      <c r="UJ53" s="53"/>
      <c r="UK53" s="53"/>
      <c r="UL53" s="53"/>
      <c r="UM53" s="53"/>
      <c r="UN53" s="53"/>
      <c r="UO53" s="53"/>
      <c r="UP53" s="53"/>
      <c r="UQ53" s="53"/>
      <c r="UR53" s="53"/>
      <c r="US53" s="53"/>
      <c r="UT53" s="53"/>
      <c r="UU53" s="53"/>
      <c r="UV53" s="53"/>
      <c r="UW53" s="53"/>
      <c r="UX53" s="53"/>
      <c r="UY53" s="53"/>
      <c r="UZ53" s="53"/>
      <c r="VA53" s="53"/>
      <c r="VB53" s="53"/>
      <c r="VC53" s="53"/>
      <c r="VD53" s="53"/>
      <c r="VE53" s="53"/>
      <c r="VF53" s="53"/>
      <c r="VG53" s="53"/>
      <c r="VH53" s="53"/>
      <c r="VI53" s="53"/>
      <c r="VJ53" s="53"/>
      <c r="VK53" s="53"/>
      <c r="VL53" s="53"/>
    </row>
    <row r="54" spans="1:584" s="47" customFormat="1" ht="21.75" customHeight="1" x14ac:dyDescent="0.25">
      <c r="A54" s="45" t="s">
        <v>223</v>
      </c>
      <c r="B54" s="91" t="str">
        <f>'дод 3'!A17</f>
        <v>1010</v>
      </c>
      <c r="C54" s="91" t="str">
        <f>'дод 3'!B17</f>
        <v>0910</v>
      </c>
      <c r="D54" s="48" t="str">
        <f>'дод 3'!C17</f>
        <v>Надання дошкільної освіти</v>
      </c>
      <c r="E54" s="115">
        <v>212905915</v>
      </c>
      <c r="F54" s="115">
        <f>134790000+36066-9016-330000-20000</f>
        <v>134467050</v>
      </c>
      <c r="G54" s="115">
        <f>25657600+166344+72000-1000000+2792</f>
        <v>24898736</v>
      </c>
      <c r="H54" s="115">
        <v>210013429.00999999</v>
      </c>
      <c r="I54" s="115">
        <v>134449232.94</v>
      </c>
      <c r="J54" s="115">
        <v>23720394.649999999</v>
      </c>
      <c r="K54" s="164">
        <f t="shared" si="3"/>
        <v>98.641425255845988</v>
      </c>
      <c r="L54" s="115">
        <f t="shared" si="6"/>
        <v>22599017</v>
      </c>
      <c r="M54" s="115">
        <f>3500000+1163000+600000+112000-34164+73500+122800+24000+69970-30000-6000+47000+30000+37000+12000+400000+40000-76000+273249+10100+10000+13000+8000+83174-132923</f>
        <v>6349706</v>
      </c>
      <c r="N54" s="115">
        <v>16249311</v>
      </c>
      <c r="O54" s="115"/>
      <c r="P54" s="115"/>
      <c r="Q54" s="115">
        <f>3500000+1163000+600000+112000-34164+73500+122800+24000+69970-30000-6000+47000+30000+37000+12000+400000+40000-76000+273249+10100+10000+13000+8000+83174-132923</f>
        <v>6349706</v>
      </c>
      <c r="R54" s="115">
        <f t="shared" si="7"/>
        <v>20545911.620000001</v>
      </c>
      <c r="S54" s="115">
        <v>6249560.4400000004</v>
      </c>
      <c r="T54" s="115">
        <v>14177941.18</v>
      </c>
      <c r="U54" s="115"/>
      <c r="V54" s="115"/>
      <c r="W54" s="115">
        <v>6367970.4400000004</v>
      </c>
      <c r="X54" s="166">
        <f t="shared" si="5"/>
        <v>90.915067766000618</v>
      </c>
      <c r="Y54" s="115">
        <f t="shared" si="15"/>
        <v>230559340.63</v>
      </c>
      <c r="Z54" s="187"/>
      <c r="AA54" s="53"/>
      <c r="AB54" s="53"/>
      <c r="AC54" s="53"/>
      <c r="AD54" s="53"/>
      <c r="AE54" s="79"/>
      <c r="AF54" s="79"/>
      <c r="AG54" s="79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/>
      <c r="JY54" s="53"/>
      <c r="JZ54" s="53"/>
      <c r="KA54" s="53"/>
      <c r="KB54" s="53"/>
      <c r="KC54" s="53"/>
      <c r="KD54" s="53"/>
      <c r="KE54" s="53"/>
      <c r="KF54" s="53"/>
      <c r="KG54" s="53"/>
      <c r="KH54" s="53"/>
      <c r="KI54" s="53"/>
      <c r="KJ54" s="53"/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3"/>
      <c r="KV54" s="53"/>
      <c r="KW54" s="53"/>
      <c r="KX54" s="53"/>
      <c r="KY54" s="53"/>
      <c r="KZ54" s="53"/>
      <c r="LA54" s="53"/>
      <c r="LB54" s="53"/>
      <c r="LC54" s="53"/>
      <c r="LD54" s="53"/>
      <c r="LE54" s="53"/>
      <c r="LF54" s="53"/>
      <c r="LG54" s="53"/>
      <c r="LH54" s="53"/>
      <c r="LI54" s="53"/>
      <c r="LJ54" s="53"/>
      <c r="LK54" s="53"/>
      <c r="LL54" s="53"/>
      <c r="LM54" s="53"/>
      <c r="LN54" s="53"/>
      <c r="LO54" s="53"/>
      <c r="LP54" s="53"/>
      <c r="LQ54" s="53"/>
      <c r="LR54" s="53"/>
      <c r="LS54" s="53"/>
      <c r="LT54" s="53"/>
      <c r="LU54" s="53"/>
      <c r="LV54" s="53"/>
      <c r="LW54" s="53"/>
      <c r="LX54" s="53"/>
      <c r="LY54" s="53"/>
      <c r="LZ54" s="53"/>
      <c r="MA54" s="53"/>
      <c r="MB54" s="53"/>
      <c r="MC54" s="53"/>
      <c r="MD54" s="53"/>
      <c r="ME54" s="53"/>
      <c r="MF54" s="53"/>
      <c r="MG54" s="53"/>
      <c r="MH54" s="53"/>
      <c r="MI54" s="53"/>
      <c r="MJ54" s="53"/>
      <c r="MK54" s="53"/>
      <c r="ML54" s="53"/>
      <c r="MM54" s="53"/>
      <c r="MN54" s="53"/>
      <c r="MO54" s="53"/>
      <c r="MP54" s="53"/>
      <c r="MQ54" s="53"/>
      <c r="MR54" s="53"/>
      <c r="MS54" s="53"/>
      <c r="MT54" s="53"/>
      <c r="MU54" s="53"/>
      <c r="MV54" s="53"/>
      <c r="MW54" s="53"/>
      <c r="MX54" s="53"/>
      <c r="MY54" s="53"/>
      <c r="MZ54" s="53"/>
      <c r="NA54" s="53"/>
      <c r="NB54" s="53"/>
      <c r="NC54" s="53"/>
      <c r="ND54" s="53"/>
      <c r="NE54" s="53"/>
      <c r="NF54" s="53"/>
      <c r="NG54" s="53"/>
      <c r="NH54" s="53"/>
      <c r="NI54" s="53"/>
      <c r="NJ54" s="53"/>
      <c r="NK54" s="53"/>
      <c r="NL54" s="53"/>
      <c r="NM54" s="53"/>
      <c r="NN54" s="53"/>
      <c r="NO54" s="53"/>
      <c r="NP54" s="53"/>
      <c r="NQ54" s="53"/>
      <c r="NR54" s="53"/>
      <c r="NS54" s="53"/>
      <c r="NT54" s="53"/>
      <c r="NU54" s="53"/>
      <c r="NV54" s="53"/>
      <c r="NW54" s="53"/>
      <c r="NX54" s="53"/>
      <c r="NY54" s="53"/>
      <c r="NZ54" s="53"/>
      <c r="OA54" s="53"/>
      <c r="OB54" s="53"/>
      <c r="OC54" s="53"/>
      <c r="OD54" s="53"/>
      <c r="OE54" s="53"/>
      <c r="OF54" s="53"/>
      <c r="OG54" s="53"/>
      <c r="OH54" s="53"/>
      <c r="OI54" s="53"/>
      <c r="OJ54" s="53"/>
      <c r="OK54" s="53"/>
      <c r="OL54" s="53"/>
      <c r="OM54" s="53"/>
      <c r="ON54" s="53"/>
      <c r="OO54" s="53"/>
      <c r="OP54" s="53"/>
      <c r="OQ54" s="53"/>
      <c r="OR54" s="53"/>
      <c r="OS54" s="53"/>
      <c r="OT54" s="53"/>
      <c r="OU54" s="53"/>
      <c r="OV54" s="53"/>
      <c r="OW54" s="53"/>
      <c r="OX54" s="53"/>
      <c r="OY54" s="53"/>
      <c r="OZ54" s="53"/>
      <c r="PA54" s="53"/>
      <c r="PB54" s="53"/>
      <c r="PC54" s="53"/>
      <c r="PD54" s="53"/>
      <c r="PE54" s="53"/>
      <c r="PF54" s="53"/>
      <c r="PG54" s="53"/>
      <c r="PH54" s="53"/>
      <c r="PI54" s="53"/>
      <c r="PJ54" s="53"/>
      <c r="PK54" s="53"/>
      <c r="PL54" s="53"/>
      <c r="PM54" s="53"/>
      <c r="PN54" s="53"/>
      <c r="PO54" s="53"/>
      <c r="PP54" s="53"/>
      <c r="PQ54" s="53"/>
      <c r="PR54" s="53"/>
      <c r="PS54" s="53"/>
      <c r="PT54" s="53"/>
      <c r="PU54" s="53"/>
      <c r="PV54" s="53"/>
      <c r="PW54" s="53"/>
      <c r="PX54" s="53"/>
      <c r="PY54" s="53"/>
      <c r="PZ54" s="53"/>
      <c r="QA54" s="53"/>
      <c r="QB54" s="53"/>
      <c r="QC54" s="53"/>
      <c r="QD54" s="53"/>
      <c r="QE54" s="53"/>
      <c r="QF54" s="53"/>
      <c r="QG54" s="53"/>
      <c r="QH54" s="53"/>
      <c r="QI54" s="53"/>
      <c r="QJ54" s="53"/>
      <c r="QK54" s="53"/>
      <c r="QL54" s="53"/>
      <c r="QM54" s="53"/>
      <c r="QN54" s="53"/>
      <c r="QO54" s="53"/>
      <c r="QP54" s="53"/>
      <c r="QQ54" s="53"/>
      <c r="QR54" s="53"/>
      <c r="QS54" s="53"/>
      <c r="QT54" s="53"/>
      <c r="QU54" s="53"/>
      <c r="QV54" s="53"/>
      <c r="QW54" s="53"/>
      <c r="QX54" s="53"/>
      <c r="QY54" s="53"/>
      <c r="QZ54" s="53"/>
      <c r="RA54" s="53"/>
      <c r="RB54" s="53"/>
      <c r="RC54" s="53"/>
      <c r="RD54" s="53"/>
      <c r="RE54" s="53"/>
      <c r="RF54" s="53"/>
      <c r="RG54" s="53"/>
      <c r="RH54" s="53"/>
      <c r="RI54" s="53"/>
      <c r="RJ54" s="53"/>
      <c r="RK54" s="53"/>
      <c r="RL54" s="53"/>
      <c r="RM54" s="53"/>
      <c r="RN54" s="53"/>
      <c r="RO54" s="53"/>
      <c r="RP54" s="53"/>
      <c r="RQ54" s="53"/>
      <c r="RR54" s="53"/>
      <c r="RS54" s="53"/>
      <c r="RT54" s="53"/>
      <c r="RU54" s="53"/>
      <c r="RV54" s="53"/>
      <c r="RW54" s="53"/>
      <c r="RX54" s="53"/>
      <c r="RY54" s="53"/>
      <c r="RZ54" s="53"/>
      <c r="SA54" s="53"/>
      <c r="SB54" s="53"/>
      <c r="SC54" s="53"/>
      <c r="SD54" s="53"/>
      <c r="SE54" s="53"/>
      <c r="SF54" s="53"/>
      <c r="SG54" s="53"/>
      <c r="SH54" s="53"/>
      <c r="SI54" s="53"/>
      <c r="SJ54" s="53"/>
      <c r="SK54" s="53"/>
      <c r="SL54" s="53"/>
      <c r="SM54" s="53"/>
      <c r="SN54" s="53"/>
      <c r="SO54" s="53"/>
      <c r="SP54" s="53"/>
      <c r="SQ54" s="53"/>
      <c r="SR54" s="53"/>
      <c r="SS54" s="53"/>
      <c r="ST54" s="53"/>
      <c r="SU54" s="53"/>
      <c r="SV54" s="53"/>
      <c r="SW54" s="53"/>
      <c r="SX54" s="53"/>
      <c r="SY54" s="53"/>
      <c r="SZ54" s="53"/>
      <c r="TA54" s="53"/>
      <c r="TB54" s="53"/>
      <c r="TC54" s="53"/>
      <c r="TD54" s="53"/>
      <c r="TE54" s="53"/>
      <c r="TF54" s="53"/>
      <c r="TG54" s="53"/>
      <c r="TH54" s="53"/>
      <c r="TI54" s="53"/>
      <c r="TJ54" s="53"/>
      <c r="TK54" s="53"/>
      <c r="TL54" s="53"/>
      <c r="TM54" s="53"/>
      <c r="TN54" s="53"/>
      <c r="TO54" s="53"/>
      <c r="TP54" s="53"/>
      <c r="TQ54" s="53"/>
      <c r="TR54" s="53"/>
      <c r="TS54" s="53"/>
      <c r="TT54" s="53"/>
      <c r="TU54" s="53"/>
      <c r="TV54" s="53"/>
      <c r="TW54" s="53"/>
      <c r="TX54" s="53"/>
      <c r="TY54" s="53"/>
      <c r="TZ54" s="53"/>
      <c r="UA54" s="53"/>
      <c r="UB54" s="53"/>
      <c r="UC54" s="53"/>
      <c r="UD54" s="53"/>
      <c r="UE54" s="53"/>
      <c r="UF54" s="53"/>
      <c r="UG54" s="53"/>
      <c r="UH54" s="53"/>
      <c r="UI54" s="53"/>
      <c r="UJ54" s="53"/>
      <c r="UK54" s="53"/>
      <c r="UL54" s="53"/>
      <c r="UM54" s="53"/>
      <c r="UN54" s="53"/>
      <c r="UO54" s="53"/>
      <c r="UP54" s="53"/>
      <c r="UQ54" s="53"/>
      <c r="UR54" s="53"/>
      <c r="US54" s="53"/>
      <c r="UT54" s="53"/>
      <c r="UU54" s="53"/>
      <c r="UV54" s="53"/>
      <c r="UW54" s="53"/>
      <c r="UX54" s="53"/>
      <c r="UY54" s="53"/>
      <c r="UZ54" s="53"/>
      <c r="VA54" s="53"/>
      <c r="VB54" s="53"/>
      <c r="VC54" s="53"/>
      <c r="VD54" s="53"/>
      <c r="VE54" s="53"/>
      <c r="VF54" s="53"/>
      <c r="VG54" s="53"/>
      <c r="VH54" s="53"/>
      <c r="VI54" s="53"/>
      <c r="VJ54" s="53"/>
      <c r="VK54" s="53"/>
      <c r="VL54" s="53"/>
    </row>
    <row r="55" spans="1:584" s="47" customFormat="1" ht="21.75" customHeight="1" x14ac:dyDescent="0.25">
      <c r="A55" s="45"/>
      <c r="B55" s="91"/>
      <c r="C55" s="91"/>
      <c r="D55" s="46" t="s">
        <v>342</v>
      </c>
      <c r="E55" s="115">
        <v>33000</v>
      </c>
      <c r="F55" s="115">
        <f>36066-9016</f>
        <v>27050</v>
      </c>
      <c r="G55" s="115"/>
      <c r="H55" s="115">
        <v>26951.32</v>
      </c>
      <c r="I55" s="115">
        <v>22091.25</v>
      </c>
      <c r="J55" s="115"/>
      <c r="K55" s="164">
        <f t="shared" si="3"/>
        <v>81.670666666666676</v>
      </c>
      <c r="L55" s="115">
        <f t="shared" si="6"/>
        <v>18000</v>
      </c>
      <c r="M55" s="115">
        <f>24000-6000</f>
        <v>18000</v>
      </c>
      <c r="N55" s="115"/>
      <c r="O55" s="115"/>
      <c r="P55" s="115"/>
      <c r="Q55" s="115">
        <f>24000-6000</f>
        <v>18000</v>
      </c>
      <c r="R55" s="115">
        <f t="shared" si="7"/>
        <v>17530</v>
      </c>
      <c r="S55" s="115">
        <v>17530</v>
      </c>
      <c r="T55" s="115"/>
      <c r="U55" s="115"/>
      <c r="V55" s="115"/>
      <c r="W55" s="115">
        <v>17530</v>
      </c>
      <c r="X55" s="166">
        <f t="shared" si="5"/>
        <v>97.388888888888886</v>
      </c>
      <c r="Y55" s="115">
        <f t="shared" si="15"/>
        <v>44481.32</v>
      </c>
      <c r="Z55" s="187"/>
      <c r="AA55" s="53"/>
      <c r="AB55" s="53"/>
      <c r="AC55" s="53"/>
      <c r="AD55" s="53"/>
      <c r="AE55" s="79"/>
      <c r="AF55" s="79"/>
      <c r="AG55" s="79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53"/>
      <c r="JJ55" s="53"/>
      <c r="JK55" s="53"/>
      <c r="JL55" s="53"/>
      <c r="JM55" s="53"/>
      <c r="JN55" s="53"/>
      <c r="JO55" s="53"/>
      <c r="JP55" s="53"/>
      <c r="JQ55" s="53"/>
      <c r="JR55" s="53"/>
      <c r="JS55" s="53"/>
      <c r="JT55" s="53"/>
      <c r="JU55" s="53"/>
      <c r="JV55" s="53"/>
      <c r="JW55" s="53"/>
      <c r="JX55" s="53"/>
      <c r="JY55" s="53"/>
      <c r="JZ55" s="53"/>
      <c r="KA55" s="53"/>
      <c r="KB55" s="53"/>
      <c r="KC55" s="53"/>
      <c r="KD55" s="53"/>
      <c r="KE55" s="53"/>
      <c r="KF55" s="53"/>
      <c r="KG55" s="53"/>
      <c r="KH55" s="53"/>
      <c r="KI55" s="53"/>
      <c r="KJ55" s="53"/>
      <c r="KK55" s="53"/>
      <c r="KL55" s="53"/>
      <c r="KM55" s="53"/>
      <c r="KN55" s="53"/>
      <c r="KO55" s="53"/>
      <c r="KP55" s="53"/>
      <c r="KQ55" s="53"/>
      <c r="KR55" s="53"/>
      <c r="KS55" s="53"/>
      <c r="KT55" s="53"/>
      <c r="KU55" s="53"/>
      <c r="KV55" s="53"/>
      <c r="KW55" s="53"/>
      <c r="KX55" s="53"/>
      <c r="KY55" s="53"/>
      <c r="KZ55" s="53"/>
      <c r="LA55" s="53"/>
      <c r="LB55" s="53"/>
      <c r="LC55" s="53"/>
      <c r="LD55" s="53"/>
      <c r="LE55" s="53"/>
      <c r="LF55" s="53"/>
      <c r="LG55" s="53"/>
      <c r="LH55" s="53"/>
      <c r="LI55" s="53"/>
      <c r="LJ55" s="53"/>
      <c r="LK55" s="53"/>
      <c r="LL55" s="53"/>
      <c r="LM55" s="53"/>
      <c r="LN55" s="53"/>
      <c r="LO55" s="53"/>
      <c r="LP55" s="53"/>
      <c r="LQ55" s="53"/>
      <c r="LR55" s="53"/>
      <c r="LS55" s="53"/>
      <c r="LT55" s="53"/>
      <c r="LU55" s="53"/>
      <c r="LV55" s="53"/>
      <c r="LW55" s="53"/>
      <c r="LX55" s="53"/>
      <c r="LY55" s="53"/>
      <c r="LZ55" s="53"/>
      <c r="MA55" s="53"/>
      <c r="MB55" s="53"/>
      <c r="MC55" s="53"/>
      <c r="MD55" s="53"/>
      <c r="ME55" s="53"/>
      <c r="MF55" s="53"/>
      <c r="MG55" s="53"/>
      <c r="MH55" s="53"/>
      <c r="MI55" s="53"/>
      <c r="MJ55" s="53"/>
      <c r="MK55" s="53"/>
      <c r="ML55" s="53"/>
      <c r="MM55" s="53"/>
      <c r="MN55" s="53"/>
      <c r="MO55" s="53"/>
      <c r="MP55" s="53"/>
      <c r="MQ55" s="53"/>
      <c r="MR55" s="53"/>
      <c r="MS55" s="53"/>
      <c r="MT55" s="53"/>
      <c r="MU55" s="53"/>
      <c r="MV55" s="53"/>
      <c r="MW55" s="53"/>
      <c r="MX55" s="53"/>
      <c r="MY55" s="53"/>
      <c r="MZ55" s="53"/>
      <c r="NA55" s="53"/>
      <c r="NB55" s="53"/>
      <c r="NC55" s="53"/>
      <c r="ND55" s="53"/>
      <c r="NE55" s="53"/>
      <c r="NF55" s="53"/>
      <c r="NG55" s="53"/>
      <c r="NH55" s="53"/>
      <c r="NI55" s="53"/>
      <c r="NJ55" s="53"/>
      <c r="NK55" s="53"/>
      <c r="NL55" s="53"/>
      <c r="NM55" s="53"/>
      <c r="NN55" s="53"/>
      <c r="NO55" s="53"/>
      <c r="NP55" s="53"/>
      <c r="NQ55" s="53"/>
      <c r="NR55" s="53"/>
      <c r="NS55" s="53"/>
      <c r="NT55" s="53"/>
      <c r="NU55" s="53"/>
      <c r="NV55" s="53"/>
      <c r="NW55" s="53"/>
      <c r="NX55" s="53"/>
      <c r="NY55" s="53"/>
      <c r="NZ55" s="53"/>
      <c r="OA55" s="53"/>
      <c r="OB55" s="53"/>
      <c r="OC55" s="53"/>
      <c r="OD55" s="53"/>
      <c r="OE55" s="53"/>
      <c r="OF55" s="53"/>
      <c r="OG55" s="53"/>
      <c r="OH55" s="53"/>
      <c r="OI55" s="53"/>
      <c r="OJ55" s="53"/>
      <c r="OK55" s="53"/>
      <c r="OL55" s="53"/>
      <c r="OM55" s="53"/>
      <c r="ON55" s="53"/>
      <c r="OO55" s="53"/>
      <c r="OP55" s="53"/>
      <c r="OQ55" s="53"/>
      <c r="OR55" s="53"/>
      <c r="OS55" s="53"/>
      <c r="OT55" s="53"/>
      <c r="OU55" s="53"/>
      <c r="OV55" s="53"/>
      <c r="OW55" s="53"/>
      <c r="OX55" s="53"/>
      <c r="OY55" s="53"/>
      <c r="OZ55" s="53"/>
      <c r="PA55" s="53"/>
      <c r="PB55" s="53"/>
      <c r="PC55" s="53"/>
      <c r="PD55" s="53"/>
      <c r="PE55" s="53"/>
      <c r="PF55" s="53"/>
      <c r="PG55" s="53"/>
      <c r="PH55" s="53"/>
      <c r="PI55" s="53"/>
      <c r="PJ55" s="53"/>
      <c r="PK55" s="53"/>
      <c r="PL55" s="53"/>
      <c r="PM55" s="53"/>
      <c r="PN55" s="53"/>
      <c r="PO55" s="53"/>
      <c r="PP55" s="53"/>
      <c r="PQ55" s="53"/>
      <c r="PR55" s="53"/>
      <c r="PS55" s="53"/>
      <c r="PT55" s="53"/>
      <c r="PU55" s="53"/>
      <c r="PV55" s="53"/>
      <c r="PW55" s="53"/>
      <c r="PX55" s="53"/>
      <c r="PY55" s="53"/>
      <c r="PZ55" s="53"/>
      <c r="QA55" s="53"/>
      <c r="QB55" s="53"/>
      <c r="QC55" s="53"/>
      <c r="QD55" s="53"/>
      <c r="QE55" s="53"/>
      <c r="QF55" s="53"/>
      <c r="QG55" s="53"/>
      <c r="QH55" s="53"/>
      <c r="QI55" s="53"/>
      <c r="QJ55" s="53"/>
      <c r="QK55" s="53"/>
      <c r="QL55" s="53"/>
      <c r="QM55" s="53"/>
      <c r="QN55" s="53"/>
      <c r="QO55" s="53"/>
      <c r="QP55" s="53"/>
      <c r="QQ55" s="53"/>
      <c r="QR55" s="53"/>
      <c r="QS55" s="53"/>
      <c r="QT55" s="53"/>
      <c r="QU55" s="53"/>
      <c r="QV55" s="53"/>
      <c r="QW55" s="53"/>
      <c r="QX55" s="53"/>
      <c r="QY55" s="53"/>
      <c r="QZ55" s="53"/>
      <c r="RA55" s="53"/>
      <c r="RB55" s="53"/>
      <c r="RC55" s="53"/>
      <c r="RD55" s="53"/>
      <c r="RE55" s="53"/>
      <c r="RF55" s="53"/>
      <c r="RG55" s="53"/>
      <c r="RH55" s="53"/>
      <c r="RI55" s="53"/>
      <c r="RJ55" s="53"/>
      <c r="RK55" s="53"/>
      <c r="RL55" s="53"/>
      <c r="RM55" s="53"/>
      <c r="RN55" s="53"/>
      <c r="RO55" s="53"/>
      <c r="RP55" s="53"/>
      <c r="RQ55" s="53"/>
      <c r="RR55" s="53"/>
      <c r="RS55" s="53"/>
      <c r="RT55" s="53"/>
      <c r="RU55" s="53"/>
      <c r="RV55" s="53"/>
      <c r="RW55" s="53"/>
      <c r="RX55" s="53"/>
      <c r="RY55" s="53"/>
      <c r="RZ55" s="53"/>
      <c r="SA55" s="53"/>
      <c r="SB55" s="53"/>
      <c r="SC55" s="53"/>
      <c r="SD55" s="53"/>
      <c r="SE55" s="53"/>
      <c r="SF55" s="53"/>
      <c r="SG55" s="53"/>
      <c r="SH55" s="53"/>
      <c r="SI55" s="53"/>
      <c r="SJ55" s="53"/>
      <c r="SK55" s="53"/>
      <c r="SL55" s="53"/>
      <c r="SM55" s="53"/>
      <c r="SN55" s="53"/>
      <c r="SO55" s="53"/>
      <c r="SP55" s="53"/>
      <c r="SQ55" s="53"/>
      <c r="SR55" s="53"/>
      <c r="SS55" s="53"/>
      <c r="ST55" s="53"/>
      <c r="SU55" s="53"/>
      <c r="SV55" s="53"/>
      <c r="SW55" s="53"/>
      <c r="SX55" s="53"/>
      <c r="SY55" s="53"/>
      <c r="SZ55" s="53"/>
      <c r="TA55" s="53"/>
      <c r="TB55" s="53"/>
      <c r="TC55" s="53"/>
      <c r="TD55" s="53"/>
      <c r="TE55" s="53"/>
      <c r="TF55" s="53"/>
      <c r="TG55" s="53"/>
      <c r="TH55" s="53"/>
      <c r="TI55" s="53"/>
      <c r="TJ55" s="53"/>
      <c r="TK55" s="53"/>
      <c r="TL55" s="53"/>
      <c r="TM55" s="53"/>
      <c r="TN55" s="53"/>
      <c r="TO55" s="53"/>
      <c r="TP55" s="53"/>
      <c r="TQ55" s="53"/>
      <c r="TR55" s="53"/>
      <c r="TS55" s="53"/>
      <c r="TT55" s="53"/>
      <c r="TU55" s="53"/>
      <c r="TV55" s="53"/>
      <c r="TW55" s="53"/>
      <c r="TX55" s="53"/>
      <c r="TY55" s="53"/>
      <c r="TZ55" s="53"/>
      <c r="UA55" s="53"/>
      <c r="UB55" s="53"/>
      <c r="UC55" s="53"/>
      <c r="UD55" s="53"/>
      <c r="UE55" s="53"/>
      <c r="UF55" s="53"/>
      <c r="UG55" s="53"/>
      <c r="UH55" s="53"/>
      <c r="UI55" s="53"/>
      <c r="UJ55" s="53"/>
      <c r="UK55" s="53"/>
      <c r="UL55" s="53"/>
      <c r="UM55" s="53"/>
      <c r="UN55" s="53"/>
      <c r="UO55" s="53"/>
      <c r="UP55" s="53"/>
      <c r="UQ55" s="53"/>
      <c r="UR55" s="53"/>
      <c r="US55" s="53"/>
      <c r="UT55" s="53"/>
      <c r="UU55" s="53"/>
      <c r="UV55" s="53"/>
      <c r="UW55" s="53"/>
      <c r="UX55" s="53"/>
      <c r="UY55" s="53"/>
      <c r="UZ55" s="53"/>
      <c r="VA55" s="53"/>
      <c r="VB55" s="53"/>
      <c r="VC55" s="53"/>
      <c r="VD55" s="53"/>
      <c r="VE55" s="53"/>
      <c r="VF55" s="53"/>
      <c r="VG55" s="53"/>
      <c r="VH55" s="53"/>
      <c r="VI55" s="53"/>
      <c r="VJ55" s="53"/>
      <c r="VK55" s="53"/>
      <c r="VL55" s="53"/>
    </row>
    <row r="56" spans="1:584" s="47" customFormat="1" ht="69" customHeight="1" x14ac:dyDescent="0.25">
      <c r="A56" s="45" t="s">
        <v>224</v>
      </c>
      <c r="B56" s="91" t="str">
        <f>'дод 3'!A19</f>
        <v>1020</v>
      </c>
      <c r="C56" s="91" t="str">
        <f>'дод 3'!B19</f>
        <v>0921</v>
      </c>
      <c r="D56" s="48" t="str">
        <f>'дод 3'!C19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6" s="115">
        <v>474185493.31</v>
      </c>
      <c r="F56" s="115">
        <f>319037700-1969800+2344680+550403-101292+9016+1630000-279000+72713+1230000-1230000-7640</f>
        <v>321286780</v>
      </c>
      <c r="G56" s="115">
        <v>36935545</v>
      </c>
      <c r="H56" s="115">
        <v>469968317.5</v>
      </c>
      <c r="I56" s="115">
        <v>321284432.17000002</v>
      </c>
      <c r="J56" s="115">
        <v>35274862.049999997</v>
      </c>
      <c r="K56" s="164">
        <f t="shared" si="3"/>
        <v>99.110648497371258</v>
      </c>
      <c r="L56" s="115">
        <f t="shared" si="6"/>
        <v>33720971.859999999</v>
      </c>
      <c r="M56" s="115">
        <f>7400000+1000000+1890000+900000+134786+343800-138223.94+1300000+88500+49300+40000+233926+738437+2124285-50000-46450+35000+6000+50000+13000+200000+10000+12400+135900+400000-1300000+98266-9000+90194-273249+44512-623167+50000-6500+50000+50000-9321+75000-2766.2-400000+9321</f>
        <v>14713949.860000003</v>
      </c>
      <c r="N56" s="115">
        <v>19007022</v>
      </c>
      <c r="O56" s="115">
        <v>939364</v>
      </c>
      <c r="P56" s="115">
        <v>38709</v>
      </c>
      <c r="Q56" s="115">
        <f>7400000+1000000+1890000+900000+134786+343800-138223.94+1300000+88500+49300+40000+233926+738437+2124285-50000-46450+35000+6000+50000+13000+200000+10000+12400+135900+400000-1300000+98266-9000+90194-273249+44512-623167+50000-6500+50000+50000-9321+75000-2766.2-400000+9321</f>
        <v>14713949.860000003</v>
      </c>
      <c r="R56" s="115">
        <f t="shared" si="7"/>
        <v>40377980.230000004</v>
      </c>
      <c r="S56" s="115">
        <v>14489320.08</v>
      </c>
      <c r="T56" s="115">
        <v>21651218.379999999</v>
      </c>
      <c r="U56" s="115">
        <v>1045682.11</v>
      </c>
      <c r="V56" s="115">
        <v>53523.09</v>
      </c>
      <c r="W56" s="115">
        <v>18726761.850000001</v>
      </c>
      <c r="X56" s="166">
        <f t="shared" si="5"/>
        <v>119.7414487270356</v>
      </c>
      <c r="Y56" s="115">
        <f t="shared" si="15"/>
        <v>510346297.73000002</v>
      </c>
      <c r="Z56" s="187"/>
      <c r="AA56" s="53"/>
      <c r="AB56" s="53"/>
      <c r="AC56" s="53"/>
      <c r="AD56" s="53"/>
      <c r="AE56" s="79"/>
      <c r="AF56" s="79"/>
      <c r="AG56" s="79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/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/>
      <c r="NJ56" s="53"/>
      <c r="NK56" s="53"/>
      <c r="NL56" s="53"/>
      <c r="NM56" s="53"/>
      <c r="NN56" s="53"/>
      <c r="NO56" s="53"/>
      <c r="NP56" s="53"/>
      <c r="NQ56" s="53"/>
      <c r="NR56" s="53"/>
      <c r="NS56" s="53"/>
      <c r="NT56" s="53"/>
      <c r="NU56" s="53"/>
      <c r="NV56" s="53"/>
      <c r="NW56" s="53"/>
      <c r="NX56" s="53"/>
      <c r="NY56" s="53"/>
      <c r="NZ56" s="53"/>
      <c r="OA56" s="53"/>
      <c r="OB56" s="53"/>
      <c r="OC56" s="53"/>
      <c r="OD56" s="53"/>
      <c r="OE56" s="53"/>
      <c r="OF56" s="53"/>
      <c r="OG56" s="53"/>
      <c r="OH56" s="53"/>
      <c r="OI56" s="53"/>
      <c r="OJ56" s="53"/>
      <c r="OK56" s="53"/>
      <c r="OL56" s="53"/>
      <c r="OM56" s="53"/>
      <c r="ON56" s="53"/>
      <c r="OO56" s="53"/>
      <c r="OP56" s="53"/>
      <c r="OQ56" s="53"/>
      <c r="OR56" s="53"/>
      <c r="OS56" s="53"/>
      <c r="OT56" s="53"/>
      <c r="OU56" s="53"/>
      <c r="OV56" s="53"/>
      <c r="OW56" s="53"/>
      <c r="OX56" s="53"/>
      <c r="OY56" s="53"/>
      <c r="OZ56" s="53"/>
      <c r="PA56" s="53"/>
      <c r="PB56" s="53"/>
      <c r="PC56" s="53"/>
      <c r="PD56" s="53"/>
      <c r="PE56" s="53"/>
      <c r="PF56" s="53"/>
      <c r="PG56" s="53"/>
      <c r="PH56" s="53"/>
      <c r="PI56" s="53"/>
      <c r="PJ56" s="53"/>
      <c r="PK56" s="53"/>
      <c r="PL56" s="53"/>
      <c r="PM56" s="53"/>
      <c r="PN56" s="53"/>
      <c r="PO56" s="53"/>
      <c r="PP56" s="53"/>
      <c r="PQ56" s="53"/>
      <c r="PR56" s="53"/>
      <c r="PS56" s="53"/>
      <c r="PT56" s="53"/>
      <c r="PU56" s="53"/>
      <c r="PV56" s="53"/>
      <c r="PW56" s="53"/>
      <c r="PX56" s="53"/>
      <c r="PY56" s="53"/>
      <c r="PZ56" s="53"/>
      <c r="QA56" s="53"/>
      <c r="QB56" s="53"/>
      <c r="QC56" s="53"/>
      <c r="QD56" s="53"/>
      <c r="QE56" s="53"/>
      <c r="QF56" s="53"/>
      <c r="QG56" s="53"/>
      <c r="QH56" s="53"/>
      <c r="QI56" s="53"/>
      <c r="QJ56" s="53"/>
      <c r="QK56" s="53"/>
      <c r="QL56" s="53"/>
      <c r="QM56" s="53"/>
      <c r="QN56" s="53"/>
      <c r="QO56" s="53"/>
      <c r="QP56" s="53"/>
      <c r="QQ56" s="53"/>
      <c r="QR56" s="53"/>
      <c r="QS56" s="53"/>
      <c r="QT56" s="53"/>
      <c r="QU56" s="53"/>
      <c r="QV56" s="53"/>
      <c r="QW56" s="53"/>
      <c r="QX56" s="53"/>
      <c r="QY56" s="53"/>
      <c r="QZ56" s="53"/>
      <c r="RA56" s="53"/>
      <c r="RB56" s="53"/>
      <c r="RC56" s="53"/>
      <c r="RD56" s="53"/>
      <c r="RE56" s="53"/>
      <c r="RF56" s="53"/>
      <c r="RG56" s="53"/>
      <c r="RH56" s="53"/>
      <c r="RI56" s="53"/>
      <c r="RJ56" s="53"/>
      <c r="RK56" s="53"/>
      <c r="RL56" s="53"/>
      <c r="RM56" s="53"/>
      <c r="RN56" s="53"/>
      <c r="RO56" s="53"/>
      <c r="RP56" s="53"/>
      <c r="RQ56" s="53"/>
      <c r="RR56" s="53"/>
      <c r="RS56" s="53"/>
      <c r="RT56" s="53"/>
      <c r="RU56" s="53"/>
      <c r="RV56" s="53"/>
      <c r="RW56" s="53"/>
      <c r="RX56" s="53"/>
      <c r="RY56" s="53"/>
      <c r="RZ56" s="53"/>
      <c r="SA56" s="53"/>
      <c r="SB56" s="53"/>
      <c r="SC56" s="53"/>
      <c r="SD56" s="53"/>
      <c r="SE56" s="53"/>
      <c r="SF56" s="53"/>
      <c r="SG56" s="53"/>
      <c r="SH56" s="53"/>
      <c r="SI56" s="53"/>
      <c r="SJ56" s="53"/>
      <c r="SK56" s="53"/>
      <c r="SL56" s="53"/>
      <c r="SM56" s="53"/>
      <c r="SN56" s="53"/>
      <c r="SO56" s="53"/>
      <c r="SP56" s="53"/>
      <c r="SQ56" s="53"/>
      <c r="SR56" s="53"/>
      <c r="SS56" s="53"/>
      <c r="ST56" s="53"/>
      <c r="SU56" s="53"/>
      <c r="SV56" s="53"/>
      <c r="SW56" s="53"/>
      <c r="SX56" s="53"/>
      <c r="SY56" s="53"/>
      <c r="SZ56" s="53"/>
      <c r="TA56" s="53"/>
      <c r="TB56" s="53"/>
      <c r="TC56" s="53"/>
      <c r="TD56" s="53"/>
      <c r="TE56" s="53"/>
      <c r="TF56" s="53"/>
      <c r="TG56" s="53"/>
      <c r="TH56" s="53"/>
      <c r="TI56" s="53"/>
      <c r="TJ56" s="53"/>
      <c r="TK56" s="53"/>
      <c r="TL56" s="53"/>
      <c r="TM56" s="53"/>
      <c r="TN56" s="53"/>
      <c r="TO56" s="53"/>
      <c r="TP56" s="53"/>
      <c r="TQ56" s="53"/>
      <c r="TR56" s="53"/>
      <c r="TS56" s="53"/>
      <c r="TT56" s="53"/>
      <c r="TU56" s="53"/>
      <c r="TV56" s="53"/>
      <c r="TW56" s="53"/>
      <c r="TX56" s="53"/>
      <c r="TY56" s="53"/>
      <c r="TZ56" s="53"/>
      <c r="UA56" s="53"/>
      <c r="UB56" s="53"/>
      <c r="UC56" s="53"/>
      <c r="UD56" s="53"/>
      <c r="UE56" s="53"/>
      <c r="UF56" s="53"/>
      <c r="UG56" s="53"/>
      <c r="UH56" s="53"/>
      <c r="UI56" s="53"/>
      <c r="UJ56" s="53"/>
      <c r="UK56" s="53"/>
      <c r="UL56" s="53"/>
      <c r="UM56" s="53"/>
      <c r="UN56" s="53"/>
      <c r="UO56" s="53"/>
      <c r="UP56" s="53"/>
      <c r="UQ56" s="53"/>
      <c r="UR56" s="53"/>
      <c r="US56" s="53"/>
      <c r="UT56" s="53"/>
      <c r="UU56" s="53"/>
      <c r="UV56" s="53"/>
      <c r="UW56" s="53"/>
      <c r="UX56" s="53"/>
      <c r="UY56" s="53"/>
      <c r="UZ56" s="53"/>
      <c r="VA56" s="53"/>
      <c r="VB56" s="53"/>
      <c r="VC56" s="53"/>
      <c r="VD56" s="53"/>
      <c r="VE56" s="53"/>
      <c r="VF56" s="53"/>
      <c r="VG56" s="53"/>
      <c r="VH56" s="53"/>
      <c r="VI56" s="53"/>
      <c r="VJ56" s="53"/>
      <c r="VK56" s="53"/>
      <c r="VL56" s="53"/>
    </row>
    <row r="57" spans="1:584" s="47" customFormat="1" ht="20.25" customHeight="1" x14ac:dyDescent="0.25">
      <c r="A57" s="45"/>
      <c r="B57" s="91"/>
      <c r="C57" s="91"/>
      <c r="D57" s="46" t="s">
        <v>342</v>
      </c>
      <c r="E57" s="115">
        <v>299354846.70999998</v>
      </c>
      <c r="F57" s="115">
        <f>242195500-1969800+550403-101292+9016-203000+72713-7640</f>
        <v>240545900</v>
      </c>
      <c r="G57" s="115"/>
      <c r="H57" s="115">
        <v>299157960.91000003</v>
      </c>
      <c r="I57" s="115">
        <v>240543930.22999999</v>
      </c>
      <c r="J57" s="115"/>
      <c r="K57" s="164">
        <f t="shared" si="3"/>
        <v>99.934229960809461</v>
      </c>
      <c r="L57" s="115">
        <f t="shared" si="6"/>
        <v>1110382.8</v>
      </c>
      <c r="M57" s="115">
        <f>134786+972363+6000-9321-2766.2+9321</f>
        <v>1110382.8</v>
      </c>
      <c r="N57" s="115"/>
      <c r="O57" s="115"/>
      <c r="P57" s="115"/>
      <c r="Q57" s="115">
        <f>134786+972363+6000-9321-2766.2+9321</f>
        <v>1110382.8</v>
      </c>
      <c r="R57" s="115">
        <f t="shared" si="7"/>
        <v>1101055.74</v>
      </c>
      <c r="S57" s="115">
        <v>1101055.74</v>
      </c>
      <c r="T57" s="115"/>
      <c r="U57" s="115"/>
      <c r="V57" s="115"/>
      <c r="W57" s="115">
        <v>1101055.74</v>
      </c>
      <c r="X57" s="166">
        <f t="shared" si="5"/>
        <v>99.160014005980628</v>
      </c>
      <c r="Y57" s="115">
        <f t="shared" si="15"/>
        <v>300259016.65000004</v>
      </c>
      <c r="Z57" s="187"/>
      <c r="AA57" s="53"/>
      <c r="AB57" s="53"/>
      <c r="AC57" s="53"/>
      <c r="AD57" s="53"/>
      <c r="AE57" s="79"/>
      <c r="AF57" s="79"/>
      <c r="AG57" s="79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3"/>
      <c r="SD57" s="53"/>
      <c r="SE57" s="53"/>
      <c r="SF57" s="53"/>
      <c r="SG57" s="53"/>
      <c r="SH57" s="53"/>
      <c r="SI57" s="53"/>
      <c r="SJ57" s="53"/>
      <c r="SK57" s="53"/>
      <c r="SL57" s="53"/>
      <c r="SM57" s="53"/>
      <c r="SN57" s="53"/>
      <c r="SO57" s="53"/>
      <c r="SP57" s="53"/>
      <c r="SQ57" s="53"/>
      <c r="SR57" s="53"/>
      <c r="SS57" s="53"/>
      <c r="ST57" s="53"/>
      <c r="SU57" s="53"/>
      <c r="SV57" s="53"/>
      <c r="SW57" s="53"/>
      <c r="SX57" s="53"/>
      <c r="SY57" s="53"/>
      <c r="SZ57" s="53"/>
      <c r="TA57" s="53"/>
      <c r="TB57" s="53"/>
      <c r="TC57" s="53"/>
      <c r="TD57" s="53"/>
      <c r="TE57" s="53"/>
      <c r="TF57" s="53"/>
      <c r="TG57" s="53"/>
      <c r="TH57" s="53"/>
      <c r="TI57" s="53"/>
      <c r="TJ57" s="53"/>
      <c r="TK57" s="53"/>
      <c r="TL57" s="53"/>
      <c r="TM57" s="53"/>
      <c r="TN57" s="53"/>
      <c r="TO57" s="53"/>
      <c r="TP57" s="53"/>
      <c r="TQ57" s="53"/>
      <c r="TR57" s="53"/>
      <c r="TS57" s="53"/>
      <c r="TT57" s="53"/>
      <c r="TU57" s="53"/>
      <c r="TV57" s="53"/>
      <c r="TW57" s="53"/>
      <c r="TX57" s="53"/>
      <c r="TY57" s="53"/>
      <c r="TZ57" s="53"/>
      <c r="UA57" s="53"/>
      <c r="UB57" s="53"/>
      <c r="UC57" s="53"/>
      <c r="UD57" s="53"/>
      <c r="UE57" s="53"/>
      <c r="UF57" s="53"/>
      <c r="UG57" s="53"/>
      <c r="UH57" s="53"/>
      <c r="UI57" s="53"/>
      <c r="UJ57" s="53"/>
      <c r="UK57" s="53"/>
      <c r="UL57" s="53"/>
      <c r="UM57" s="53"/>
      <c r="UN57" s="53"/>
      <c r="UO57" s="53"/>
      <c r="UP57" s="53"/>
      <c r="UQ57" s="53"/>
      <c r="UR57" s="53"/>
      <c r="US57" s="53"/>
      <c r="UT57" s="53"/>
      <c r="UU57" s="53"/>
      <c r="UV57" s="53"/>
      <c r="UW57" s="53"/>
      <c r="UX57" s="53"/>
      <c r="UY57" s="53"/>
      <c r="UZ57" s="53"/>
      <c r="VA57" s="53"/>
      <c r="VB57" s="53"/>
      <c r="VC57" s="53"/>
      <c r="VD57" s="53"/>
      <c r="VE57" s="53"/>
      <c r="VF57" s="53"/>
      <c r="VG57" s="53"/>
      <c r="VH57" s="53"/>
      <c r="VI57" s="53"/>
      <c r="VJ57" s="53"/>
      <c r="VK57" s="53"/>
      <c r="VL57" s="53"/>
    </row>
    <row r="58" spans="1:584" s="47" customFormat="1" ht="31.5" customHeight="1" x14ac:dyDescent="0.25">
      <c r="A58" s="45" t="s">
        <v>349</v>
      </c>
      <c r="B58" s="91" t="str">
        <f>'дод 3'!A21</f>
        <v>1030</v>
      </c>
      <c r="C58" s="91" t="str">
        <f>'дод 3'!B21</f>
        <v>0921</v>
      </c>
      <c r="D58" s="48" t="str">
        <f>'дод 3'!C21</f>
        <v>Надання загальної середньої освіти вечiрнiми (змінними) школами</v>
      </c>
      <c r="E58" s="115">
        <v>1038650</v>
      </c>
      <c r="F58" s="115">
        <f>775000+86000</f>
        <v>861000</v>
      </c>
      <c r="G58" s="115"/>
      <c r="H58" s="115">
        <v>1010735.53</v>
      </c>
      <c r="I58" s="115">
        <v>833086.62</v>
      </c>
      <c r="J58" s="115"/>
      <c r="K58" s="164">
        <f t="shared" si="3"/>
        <v>97.312427670533879</v>
      </c>
      <c r="L58" s="115">
        <f t="shared" si="6"/>
        <v>0</v>
      </c>
      <c r="M58" s="115"/>
      <c r="N58" s="115"/>
      <c r="O58" s="115"/>
      <c r="P58" s="115"/>
      <c r="Q58" s="115"/>
      <c r="R58" s="115">
        <f t="shared" si="7"/>
        <v>12288.76</v>
      </c>
      <c r="S58" s="115"/>
      <c r="T58" s="115">
        <v>27.48</v>
      </c>
      <c r="U58" s="115"/>
      <c r="V58" s="115"/>
      <c r="W58" s="115">
        <v>12261.28</v>
      </c>
      <c r="X58" s="166"/>
      <c r="Y58" s="115">
        <f t="shared" si="15"/>
        <v>1023024.29</v>
      </c>
      <c r="Z58" s="187"/>
      <c r="AA58" s="53"/>
      <c r="AB58" s="53"/>
      <c r="AC58" s="53"/>
      <c r="AD58" s="53"/>
      <c r="AE58" s="79"/>
      <c r="AF58" s="79"/>
      <c r="AG58" s="79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  <c r="SB58" s="53"/>
      <c r="SC58" s="53"/>
      <c r="SD58" s="53"/>
      <c r="SE58" s="53"/>
      <c r="SF58" s="53"/>
      <c r="SG58" s="53"/>
      <c r="SH58" s="53"/>
      <c r="SI58" s="53"/>
      <c r="SJ58" s="53"/>
      <c r="SK58" s="53"/>
      <c r="SL58" s="53"/>
      <c r="SM58" s="53"/>
      <c r="SN58" s="53"/>
      <c r="SO58" s="53"/>
      <c r="SP58" s="53"/>
      <c r="SQ58" s="53"/>
      <c r="SR58" s="53"/>
      <c r="SS58" s="53"/>
      <c r="ST58" s="53"/>
      <c r="SU58" s="53"/>
      <c r="SV58" s="53"/>
      <c r="SW58" s="53"/>
      <c r="SX58" s="53"/>
      <c r="SY58" s="53"/>
      <c r="SZ58" s="53"/>
      <c r="TA58" s="53"/>
      <c r="TB58" s="53"/>
      <c r="TC58" s="53"/>
      <c r="TD58" s="53"/>
      <c r="TE58" s="53"/>
      <c r="TF58" s="53"/>
      <c r="TG58" s="53"/>
      <c r="TH58" s="53"/>
      <c r="TI58" s="53"/>
      <c r="TJ58" s="53"/>
      <c r="TK58" s="53"/>
      <c r="TL58" s="53"/>
      <c r="TM58" s="53"/>
      <c r="TN58" s="53"/>
      <c r="TO58" s="53"/>
      <c r="TP58" s="53"/>
      <c r="TQ58" s="53"/>
      <c r="TR58" s="53"/>
      <c r="TS58" s="53"/>
      <c r="TT58" s="53"/>
      <c r="TU58" s="53"/>
      <c r="TV58" s="53"/>
      <c r="TW58" s="53"/>
      <c r="TX58" s="53"/>
      <c r="TY58" s="53"/>
      <c r="TZ58" s="53"/>
      <c r="UA58" s="53"/>
      <c r="UB58" s="53"/>
      <c r="UC58" s="53"/>
      <c r="UD58" s="53"/>
      <c r="UE58" s="53"/>
      <c r="UF58" s="53"/>
      <c r="UG58" s="53"/>
      <c r="UH58" s="53"/>
      <c r="UI58" s="53"/>
      <c r="UJ58" s="53"/>
      <c r="UK58" s="53"/>
      <c r="UL58" s="53"/>
      <c r="UM58" s="53"/>
      <c r="UN58" s="53"/>
      <c r="UO58" s="53"/>
      <c r="UP58" s="53"/>
      <c r="UQ58" s="53"/>
      <c r="UR58" s="53"/>
      <c r="US58" s="53"/>
      <c r="UT58" s="53"/>
      <c r="UU58" s="53"/>
      <c r="UV58" s="53"/>
      <c r="UW58" s="53"/>
      <c r="UX58" s="53"/>
      <c r="UY58" s="53"/>
      <c r="UZ58" s="53"/>
      <c r="VA58" s="53"/>
      <c r="VB58" s="53"/>
      <c r="VC58" s="53"/>
      <c r="VD58" s="53"/>
      <c r="VE58" s="53"/>
      <c r="VF58" s="53"/>
      <c r="VG58" s="53"/>
      <c r="VH58" s="53"/>
      <c r="VI58" s="53"/>
      <c r="VJ58" s="53"/>
      <c r="VK58" s="53"/>
      <c r="VL58" s="53"/>
    </row>
    <row r="59" spans="1:584" s="47" customFormat="1" ht="17.25" customHeight="1" x14ac:dyDescent="0.25">
      <c r="A59" s="45"/>
      <c r="B59" s="91"/>
      <c r="C59" s="91"/>
      <c r="D59" s="46" t="s">
        <v>342</v>
      </c>
      <c r="E59" s="115">
        <v>945500</v>
      </c>
      <c r="F59" s="115">
        <v>775000</v>
      </c>
      <c r="G59" s="115"/>
      <c r="H59" s="115">
        <v>945500</v>
      </c>
      <c r="I59" s="115">
        <v>775000</v>
      </c>
      <c r="J59" s="115"/>
      <c r="K59" s="164">
        <f t="shared" si="3"/>
        <v>100</v>
      </c>
      <c r="L59" s="115">
        <f t="shared" si="6"/>
        <v>0</v>
      </c>
      <c r="M59" s="115"/>
      <c r="N59" s="115"/>
      <c r="O59" s="115"/>
      <c r="P59" s="115"/>
      <c r="Q59" s="115"/>
      <c r="R59" s="115">
        <f t="shared" si="7"/>
        <v>0</v>
      </c>
      <c r="S59" s="115"/>
      <c r="T59" s="115"/>
      <c r="U59" s="115"/>
      <c r="V59" s="115"/>
      <c r="W59" s="115"/>
      <c r="X59" s="166"/>
      <c r="Y59" s="115">
        <f t="shared" si="15"/>
        <v>945500</v>
      </c>
      <c r="Z59" s="187"/>
      <c r="AA59" s="53"/>
      <c r="AB59" s="53"/>
      <c r="AC59" s="53"/>
      <c r="AD59" s="53"/>
      <c r="AE59" s="79"/>
      <c r="AF59" s="79"/>
      <c r="AG59" s="79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  <c r="RZ59" s="53"/>
      <c r="SA59" s="53"/>
      <c r="SB59" s="53"/>
      <c r="SC59" s="53"/>
      <c r="SD59" s="53"/>
      <c r="SE59" s="53"/>
      <c r="SF59" s="53"/>
      <c r="SG59" s="53"/>
      <c r="SH59" s="53"/>
      <c r="SI59" s="53"/>
      <c r="SJ59" s="53"/>
      <c r="SK59" s="53"/>
      <c r="SL59" s="53"/>
      <c r="SM59" s="53"/>
      <c r="SN59" s="53"/>
      <c r="SO59" s="53"/>
      <c r="SP59" s="53"/>
      <c r="SQ59" s="53"/>
      <c r="SR59" s="53"/>
      <c r="SS59" s="53"/>
      <c r="ST59" s="53"/>
      <c r="SU59" s="53"/>
      <c r="SV59" s="53"/>
      <c r="SW59" s="53"/>
      <c r="SX59" s="53"/>
      <c r="SY59" s="53"/>
      <c r="SZ59" s="53"/>
      <c r="TA59" s="53"/>
      <c r="TB59" s="53"/>
      <c r="TC59" s="53"/>
      <c r="TD59" s="53"/>
      <c r="TE59" s="53"/>
      <c r="TF59" s="53"/>
      <c r="TG59" s="53"/>
      <c r="TH59" s="53"/>
      <c r="TI59" s="53"/>
      <c r="TJ59" s="53"/>
      <c r="TK59" s="53"/>
      <c r="TL59" s="53"/>
      <c r="TM59" s="53"/>
      <c r="TN59" s="53"/>
      <c r="TO59" s="53"/>
      <c r="TP59" s="53"/>
      <c r="TQ59" s="53"/>
      <c r="TR59" s="53"/>
      <c r="TS59" s="53"/>
      <c r="TT59" s="53"/>
      <c r="TU59" s="53"/>
      <c r="TV59" s="53"/>
      <c r="TW59" s="53"/>
      <c r="TX59" s="53"/>
      <c r="TY59" s="53"/>
      <c r="TZ59" s="53"/>
      <c r="UA59" s="53"/>
      <c r="UB59" s="53"/>
      <c r="UC59" s="53"/>
      <c r="UD59" s="53"/>
      <c r="UE59" s="53"/>
      <c r="UF59" s="53"/>
      <c r="UG59" s="53"/>
      <c r="UH59" s="53"/>
      <c r="UI59" s="53"/>
      <c r="UJ59" s="53"/>
      <c r="UK59" s="53"/>
      <c r="UL59" s="53"/>
      <c r="UM59" s="53"/>
      <c r="UN59" s="53"/>
      <c r="UO59" s="53"/>
      <c r="UP59" s="53"/>
      <c r="UQ59" s="53"/>
      <c r="UR59" s="53"/>
      <c r="US59" s="53"/>
      <c r="UT59" s="53"/>
      <c r="UU59" s="53"/>
      <c r="UV59" s="53"/>
      <c r="UW59" s="53"/>
      <c r="UX59" s="53"/>
      <c r="UY59" s="53"/>
      <c r="UZ59" s="53"/>
      <c r="VA59" s="53"/>
      <c r="VB59" s="53"/>
      <c r="VC59" s="53"/>
      <c r="VD59" s="53"/>
      <c r="VE59" s="53"/>
      <c r="VF59" s="53"/>
      <c r="VG59" s="53"/>
      <c r="VH59" s="53"/>
      <c r="VI59" s="53"/>
      <c r="VJ59" s="53"/>
      <c r="VK59" s="53"/>
      <c r="VL59" s="53"/>
    </row>
    <row r="60" spans="1:584" s="47" customFormat="1" ht="72" customHeight="1" x14ac:dyDescent="0.25">
      <c r="A60" s="45" t="s">
        <v>292</v>
      </c>
      <c r="B60" s="91" t="str">
        <f>'дод 3'!A23</f>
        <v>1070</v>
      </c>
      <c r="C60" s="91" t="str">
        <f>'дод 3'!B23</f>
        <v>0922</v>
      </c>
      <c r="D60" s="48" t="str">
        <f>'дод 3'!C23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0" s="115">
        <v>8979284</v>
      </c>
      <c r="F60" s="115">
        <f>6226400+30000</f>
        <v>6256400</v>
      </c>
      <c r="G60" s="115">
        <f>758850+1680</f>
        <v>760530</v>
      </c>
      <c r="H60" s="115">
        <v>8849424.3399999999</v>
      </c>
      <c r="I60" s="115">
        <v>6239788.9699999997</v>
      </c>
      <c r="J60" s="115">
        <v>677518.61</v>
      </c>
      <c r="K60" s="164">
        <f t="shared" si="3"/>
        <v>98.55378602570093</v>
      </c>
      <c r="L60" s="115">
        <f t="shared" si="6"/>
        <v>236202.49</v>
      </c>
      <c r="M60" s="115">
        <f>150000+33400+26500+15000+11302.49</f>
        <v>236202.49</v>
      </c>
      <c r="N60" s="115"/>
      <c r="O60" s="115"/>
      <c r="P60" s="115"/>
      <c r="Q60" s="115">
        <f>150000+33400+26500+15000+11302.49</f>
        <v>236202.49</v>
      </c>
      <c r="R60" s="115">
        <f t="shared" si="7"/>
        <v>275493.99</v>
      </c>
      <c r="S60" s="115">
        <v>234384.64000000001</v>
      </c>
      <c r="T60" s="115">
        <v>33315.17</v>
      </c>
      <c r="U60" s="115"/>
      <c r="V60" s="115"/>
      <c r="W60" s="115">
        <v>242178.82</v>
      </c>
      <c r="X60" s="166">
        <f t="shared" si="5"/>
        <v>116.63466799185733</v>
      </c>
      <c r="Y60" s="115">
        <f t="shared" si="15"/>
        <v>9124918.3300000001</v>
      </c>
      <c r="Z60" s="187"/>
      <c r="AA60" s="53"/>
      <c r="AB60" s="53"/>
      <c r="AC60" s="53"/>
      <c r="AD60" s="53"/>
      <c r="AE60" s="79"/>
      <c r="AF60" s="79"/>
      <c r="AG60" s="79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/>
      <c r="KW60" s="53"/>
      <c r="KX60" s="53"/>
      <c r="KY60" s="53"/>
      <c r="KZ60" s="53"/>
      <c r="LA60" s="53"/>
      <c r="LB60" s="53"/>
      <c r="LC60" s="53"/>
      <c r="LD60" s="53"/>
      <c r="LE60" s="53"/>
      <c r="LF60" s="53"/>
      <c r="LG60" s="53"/>
      <c r="LH60" s="53"/>
      <c r="LI60" s="53"/>
      <c r="LJ60" s="53"/>
      <c r="LK60" s="53"/>
      <c r="LL60" s="53"/>
      <c r="LM60" s="53"/>
      <c r="LN60" s="53"/>
      <c r="LO60" s="53"/>
      <c r="LP60" s="53"/>
      <c r="LQ60" s="53"/>
      <c r="LR60" s="53"/>
      <c r="LS60" s="53"/>
      <c r="LT60" s="53"/>
      <c r="LU60" s="53"/>
      <c r="LV60" s="53"/>
      <c r="LW60" s="53"/>
      <c r="LX60" s="53"/>
      <c r="LY60" s="53"/>
      <c r="LZ60" s="53"/>
      <c r="MA60" s="53"/>
      <c r="MB60" s="53"/>
      <c r="MC60" s="53"/>
      <c r="MD60" s="53"/>
      <c r="ME60" s="53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/>
      <c r="MU60" s="53"/>
      <c r="MV60" s="53"/>
      <c r="MW60" s="53"/>
      <c r="MX60" s="53"/>
      <c r="MY60" s="53"/>
      <c r="MZ60" s="53"/>
      <c r="NA60" s="53"/>
      <c r="NB60" s="53"/>
      <c r="NC60" s="53"/>
      <c r="ND60" s="53"/>
      <c r="NE60" s="53"/>
      <c r="NF60" s="53"/>
      <c r="NG60" s="53"/>
      <c r="NH60" s="53"/>
      <c r="NI60" s="53"/>
      <c r="NJ60" s="53"/>
      <c r="NK60" s="53"/>
      <c r="NL60" s="53"/>
      <c r="NM60" s="53"/>
      <c r="NN60" s="53"/>
      <c r="NO60" s="53"/>
      <c r="NP60" s="53"/>
      <c r="NQ60" s="53"/>
      <c r="NR60" s="53"/>
      <c r="NS60" s="53"/>
      <c r="NT60" s="53"/>
      <c r="NU60" s="53"/>
      <c r="NV60" s="53"/>
      <c r="NW60" s="53"/>
      <c r="NX60" s="53"/>
      <c r="NY60" s="53"/>
      <c r="NZ60" s="53"/>
      <c r="OA60" s="53"/>
      <c r="OB60" s="53"/>
      <c r="OC60" s="53"/>
      <c r="OD60" s="53"/>
      <c r="OE60" s="53"/>
      <c r="OF60" s="53"/>
      <c r="OG60" s="53"/>
      <c r="OH60" s="53"/>
      <c r="OI60" s="53"/>
      <c r="OJ60" s="53"/>
      <c r="OK60" s="53"/>
      <c r="OL60" s="53"/>
      <c r="OM60" s="53"/>
      <c r="ON60" s="53"/>
      <c r="OO60" s="53"/>
      <c r="OP60" s="53"/>
      <c r="OQ60" s="53"/>
      <c r="OR60" s="53"/>
      <c r="OS60" s="53"/>
      <c r="OT60" s="53"/>
      <c r="OU60" s="53"/>
      <c r="OV60" s="53"/>
      <c r="OW60" s="53"/>
      <c r="OX60" s="53"/>
      <c r="OY60" s="53"/>
      <c r="OZ60" s="53"/>
      <c r="PA60" s="53"/>
      <c r="PB60" s="53"/>
      <c r="PC60" s="53"/>
      <c r="PD60" s="53"/>
      <c r="PE60" s="53"/>
      <c r="PF60" s="53"/>
      <c r="PG60" s="53"/>
      <c r="PH60" s="53"/>
      <c r="PI60" s="53"/>
      <c r="PJ60" s="53"/>
      <c r="PK60" s="53"/>
      <c r="PL60" s="53"/>
      <c r="PM60" s="53"/>
      <c r="PN60" s="53"/>
      <c r="PO60" s="53"/>
      <c r="PP60" s="53"/>
      <c r="PQ60" s="53"/>
      <c r="PR60" s="53"/>
      <c r="PS60" s="53"/>
      <c r="PT60" s="53"/>
      <c r="PU60" s="53"/>
      <c r="PV60" s="53"/>
      <c r="PW60" s="53"/>
      <c r="PX60" s="53"/>
      <c r="PY60" s="53"/>
      <c r="PZ60" s="53"/>
      <c r="QA60" s="53"/>
      <c r="QB60" s="53"/>
      <c r="QC60" s="53"/>
      <c r="QD60" s="53"/>
      <c r="QE60" s="53"/>
      <c r="QF60" s="53"/>
      <c r="QG60" s="53"/>
      <c r="QH60" s="53"/>
      <c r="QI60" s="53"/>
      <c r="QJ60" s="53"/>
      <c r="QK60" s="53"/>
      <c r="QL60" s="53"/>
      <c r="QM60" s="53"/>
      <c r="QN60" s="53"/>
      <c r="QO60" s="53"/>
      <c r="QP60" s="53"/>
      <c r="QQ60" s="53"/>
      <c r="QR60" s="53"/>
      <c r="QS60" s="53"/>
      <c r="QT60" s="53"/>
      <c r="QU60" s="53"/>
      <c r="QV60" s="53"/>
      <c r="QW60" s="53"/>
      <c r="QX60" s="53"/>
      <c r="QY60" s="53"/>
      <c r="QZ60" s="53"/>
      <c r="RA60" s="53"/>
      <c r="RB60" s="53"/>
      <c r="RC60" s="53"/>
      <c r="RD60" s="53"/>
      <c r="RE60" s="53"/>
      <c r="RF60" s="53"/>
      <c r="RG60" s="53"/>
      <c r="RH60" s="53"/>
      <c r="RI60" s="53"/>
      <c r="RJ60" s="53"/>
      <c r="RK60" s="53"/>
      <c r="RL60" s="53"/>
      <c r="RM60" s="53"/>
      <c r="RN60" s="53"/>
      <c r="RO60" s="53"/>
      <c r="RP60" s="53"/>
      <c r="RQ60" s="53"/>
      <c r="RR60" s="53"/>
      <c r="RS60" s="53"/>
      <c r="RT60" s="53"/>
      <c r="RU60" s="53"/>
      <c r="RV60" s="53"/>
      <c r="RW60" s="53"/>
      <c r="RX60" s="53"/>
      <c r="RY60" s="53"/>
      <c r="RZ60" s="53"/>
      <c r="SA60" s="53"/>
      <c r="SB60" s="53"/>
      <c r="SC60" s="53"/>
      <c r="SD60" s="53"/>
      <c r="SE60" s="53"/>
      <c r="SF60" s="53"/>
      <c r="SG60" s="53"/>
      <c r="SH60" s="53"/>
      <c r="SI60" s="53"/>
      <c r="SJ60" s="53"/>
      <c r="SK60" s="53"/>
      <c r="SL60" s="53"/>
      <c r="SM60" s="53"/>
      <c r="SN60" s="53"/>
      <c r="SO60" s="53"/>
      <c r="SP60" s="53"/>
      <c r="SQ60" s="53"/>
      <c r="SR60" s="53"/>
      <c r="SS60" s="53"/>
      <c r="ST60" s="53"/>
      <c r="SU60" s="53"/>
      <c r="SV60" s="53"/>
      <c r="SW60" s="53"/>
      <c r="SX60" s="53"/>
      <c r="SY60" s="53"/>
      <c r="SZ60" s="53"/>
      <c r="TA60" s="53"/>
      <c r="TB60" s="53"/>
      <c r="TC60" s="53"/>
      <c r="TD60" s="53"/>
      <c r="TE60" s="53"/>
      <c r="TF60" s="53"/>
      <c r="TG60" s="53"/>
      <c r="TH60" s="53"/>
      <c r="TI60" s="53"/>
      <c r="TJ60" s="53"/>
      <c r="TK60" s="53"/>
      <c r="TL60" s="53"/>
      <c r="TM60" s="53"/>
      <c r="TN60" s="53"/>
      <c r="TO60" s="53"/>
      <c r="TP60" s="53"/>
      <c r="TQ60" s="53"/>
      <c r="TR60" s="53"/>
      <c r="TS60" s="53"/>
      <c r="TT60" s="53"/>
      <c r="TU60" s="53"/>
      <c r="TV60" s="53"/>
      <c r="TW60" s="53"/>
      <c r="TX60" s="53"/>
      <c r="TY60" s="53"/>
      <c r="TZ60" s="53"/>
      <c r="UA60" s="53"/>
      <c r="UB60" s="53"/>
      <c r="UC60" s="53"/>
      <c r="UD60" s="53"/>
      <c r="UE60" s="53"/>
      <c r="UF60" s="53"/>
      <c r="UG60" s="53"/>
      <c r="UH60" s="53"/>
      <c r="UI60" s="53"/>
      <c r="UJ60" s="53"/>
      <c r="UK60" s="53"/>
      <c r="UL60" s="53"/>
      <c r="UM60" s="53"/>
      <c r="UN60" s="53"/>
      <c r="UO60" s="53"/>
      <c r="UP60" s="53"/>
      <c r="UQ60" s="53"/>
      <c r="UR60" s="53"/>
      <c r="US60" s="53"/>
      <c r="UT60" s="53"/>
      <c r="UU60" s="53"/>
      <c r="UV60" s="53"/>
      <c r="UW60" s="53"/>
      <c r="UX60" s="53"/>
      <c r="UY60" s="53"/>
      <c r="UZ60" s="53"/>
      <c r="VA60" s="53"/>
      <c r="VB60" s="53"/>
      <c r="VC60" s="53"/>
      <c r="VD60" s="53"/>
      <c r="VE60" s="53"/>
      <c r="VF60" s="53"/>
      <c r="VG60" s="53"/>
      <c r="VH60" s="53"/>
      <c r="VI60" s="53"/>
      <c r="VJ60" s="53"/>
      <c r="VK60" s="53"/>
      <c r="VL60" s="53"/>
    </row>
    <row r="61" spans="1:584" s="47" customFormat="1" ht="24" customHeight="1" x14ac:dyDescent="0.25">
      <c r="A61" s="45"/>
      <c r="B61" s="91"/>
      <c r="C61" s="91"/>
      <c r="D61" s="46" t="s">
        <v>342</v>
      </c>
      <c r="E61" s="115">
        <v>6105244</v>
      </c>
      <c r="F61" s="115">
        <v>4975700</v>
      </c>
      <c r="G61" s="115"/>
      <c r="H61" s="115">
        <v>6086617.8499999996</v>
      </c>
      <c r="I61" s="115">
        <v>4959092.18</v>
      </c>
      <c r="J61" s="115"/>
      <c r="K61" s="164">
        <f t="shared" si="3"/>
        <v>99.694915551286726</v>
      </c>
      <c r="L61" s="115">
        <f t="shared" si="6"/>
        <v>11302.49</v>
      </c>
      <c r="M61" s="115">
        <v>11302.49</v>
      </c>
      <c r="N61" s="115"/>
      <c r="O61" s="115"/>
      <c r="P61" s="115"/>
      <c r="Q61" s="115">
        <v>11302.49</v>
      </c>
      <c r="R61" s="115">
        <f t="shared" si="7"/>
        <v>11150</v>
      </c>
      <c r="S61" s="115">
        <v>11150</v>
      </c>
      <c r="T61" s="115"/>
      <c r="U61" s="115"/>
      <c r="V61" s="115"/>
      <c r="W61" s="115">
        <v>11150</v>
      </c>
      <c r="X61" s="166">
        <f t="shared" si="5"/>
        <v>98.650828268815104</v>
      </c>
      <c r="Y61" s="115">
        <f t="shared" si="15"/>
        <v>6097767.8499999996</v>
      </c>
      <c r="Z61" s="187"/>
      <c r="AA61" s="53"/>
      <c r="AB61" s="53"/>
      <c r="AC61" s="53"/>
      <c r="AD61" s="53"/>
      <c r="AE61" s="79"/>
      <c r="AF61" s="79"/>
      <c r="AG61" s="79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53"/>
      <c r="JG61" s="53"/>
      <c r="JH61" s="53"/>
      <c r="JI61" s="53"/>
      <c r="JJ61" s="53"/>
      <c r="JK61" s="53"/>
      <c r="JL61" s="53"/>
      <c r="JM61" s="53"/>
      <c r="JN61" s="53"/>
      <c r="JO61" s="53"/>
      <c r="JP61" s="53"/>
      <c r="JQ61" s="53"/>
      <c r="JR61" s="53"/>
      <c r="JS61" s="53"/>
      <c r="JT61" s="53"/>
      <c r="JU61" s="53"/>
      <c r="JV61" s="53"/>
      <c r="JW61" s="53"/>
      <c r="JX61" s="53"/>
      <c r="JY61" s="53"/>
      <c r="JZ61" s="53"/>
      <c r="KA61" s="53"/>
      <c r="KB61" s="53"/>
      <c r="KC61" s="53"/>
      <c r="KD61" s="53"/>
      <c r="KE61" s="53"/>
      <c r="KF61" s="53"/>
      <c r="KG61" s="53"/>
      <c r="KH61" s="53"/>
      <c r="KI61" s="53"/>
      <c r="KJ61" s="53"/>
      <c r="KK61" s="53"/>
      <c r="KL61" s="53"/>
      <c r="KM61" s="53"/>
      <c r="KN61" s="53"/>
      <c r="KO61" s="53"/>
      <c r="KP61" s="53"/>
      <c r="KQ61" s="53"/>
      <c r="KR61" s="53"/>
      <c r="KS61" s="53"/>
      <c r="KT61" s="53"/>
      <c r="KU61" s="53"/>
      <c r="KV61" s="53"/>
      <c r="KW61" s="53"/>
      <c r="KX61" s="53"/>
      <c r="KY61" s="53"/>
      <c r="KZ61" s="53"/>
      <c r="LA61" s="53"/>
      <c r="LB61" s="53"/>
      <c r="LC61" s="53"/>
      <c r="LD61" s="53"/>
      <c r="LE61" s="53"/>
      <c r="LF61" s="53"/>
      <c r="LG61" s="53"/>
      <c r="LH61" s="53"/>
      <c r="LI61" s="53"/>
      <c r="LJ61" s="53"/>
      <c r="LK61" s="53"/>
      <c r="LL61" s="53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/>
      <c r="ML61" s="53"/>
      <c r="MM61" s="53"/>
      <c r="MN61" s="53"/>
      <c r="MO61" s="53"/>
      <c r="MP61" s="53"/>
      <c r="MQ61" s="53"/>
      <c r="MR61" s="53"/>
      <c r="MS61" s="53"/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/>
      <c r="NE61" s="53"/>
      <c r="NF61" s="53"/>
      <c r="NG61" s="53"/>
      <c r="NH61" s="53"/>
      <c r="NI61" s="53"/>
      <c r="NJ61" s="53"/>
      <c r="NK61" s="53"/>
      <c r="NL61" s="53"/>
      <c r="NM61" s="53"/>
      <c r="NN61" s="53"/>
      <c r="NO61" s="53"/>
      <c r="NP61" s="53"/>
      <c r="NQ61" s="53"/>
      <c r="NR61" s="53"/>
      <c r="NS61" s="53"/>
      <c r="NT61" s="53"/>
      <c r="NU61" s="53"/>
      <c r="NV61" s="53"/>
      <c r="NW61" s="53"/>
      <c r="NX61" s="53"/>
      <c r="NY61" s="53"/>
      <c r="NZ61" s="53"/>
      <c r="OA61" s="53"/>
      <c r="OB61" s="53"/>
      <c r="OC61" s="53"/>
      <c r="OD61" s="53"/>
      <c r="OE61" s="53"/>
      <c r="OF61" s="53"/>
      <c r="OG61" s="53"/>
      <c r="OH61" s="53"/>
      <c r="OI61" s="53"/>
      <c r="OJ61" s="53"/>
      <c r="OK61" s="53"/>
      <c r="OL61" s="53"/>
      <c r="OM61" s="53"/>
      <c r="ON61" s="53"/>
      <c r="OO61" s="53"/>
      <c r="OP61" s="53"/>
      <c r="OQ61" s="53"/>
      <c r="OR61" s="53"/>
      <c r="OS61" s="53"/>
      <c r="OT61" s="53"/>
      <c r="OU61" s="53"/>
      <c r="OV61" s="53"/>
      <c r="OW61" s="53"/>
      <c r="OX61" s="53"/>
      <c r="OY61" s="53"/>
      <c r="OZ61" s="53"/>
      <c r="PA61" s="53"/>
      <c r="PB61" s="53"/>
      <c r="PC61" s="53"/>
      <c r="PD61" s="53"/>
      <c r="PE61" s="53"/>
      <c r="PF61" s="53"/>
      <c r="PG61" s="53"/>
      <c r="PH61" s="53"/>
      <c r="PI61" s="53"/>
      <c r="PJ61" s="53"/>
      <c r="PK61" s="53"/>
      <c r="PL61" s="53"/>
      <c r="PM61" s="53"/>
      <c r="PN61" s="53"/>
      <c r="PO61" s="53"/>
      <c r="PP61" s="53"/>
      <c r="PQ61" s="53"/>
      <c r="PR61" s="53"/>
      <c r="PS61" s="53"/>
      <c r="PT61" s="53"/>
      <c r="PU61" s="53"/>
      <c r="PV61" s="53"/>
      <c r="PW61" s="53"/>
      <c r="PX61" s="53"/>
      <c r="PY61" s="53"/>
      <c r="PZ61" s="53"/>
      <c r="QA61" s="53"/>
      <c r="QB61" s="53"/>
      <c r="QC61" s="53"/>
      <c r="QD61" s="53"/>
      <c r="QE61" s="53"/>
      <c r="QF61" s="53"/>
      <c r="QG61" s="53"/>
      <c r="QH61" s="53"/>
      <c r="QI61" s="53"/>
      <c r="QJ61" s="53"/>
      <c r="QK61" s="53"/>
      <c r="QL61" s="53"/>
      <c r="QM61" s="53"/>
      <c r="QN61" s="53"/>
      <c r="QO61" s="53"/>
      <c r="QP61" s="53"/>
      <c r="QQ61" s="53"/>
      <c r="QR61" s="53"/>
      <c r="QS61" s="53"/>
      <c r="QT61" s="53"/>
      <c r="QU61" s="53"/>
      <c r="QV61" s="53"/>
      <c r="QW61" s="53"/>
      <c r="QX61" s="53"/>
      <c r="QY61" s="53"/>
      <c r="QZ61" s="53"/>
      <c r="RA61" s="53"/>
      <c r="RB61" s="53"/>
      <c r="RC61" s="53"/>
      <c r="RD61" s="53"/>
      <c r="RE61" s="53"/>
      <c r="RF61" s="53"/>
      <c r="RG61" s="53"/>
      <c r="RH61" s="53"/>
      <c r="RI61" s="53"/>
      <c r="RJ61" s="53"/>
      <c r="RK61" s="53"/>
      <c r="RL61" s="53"/>
      <c r="RM61" s="53"/>
      <c r="RN61" s="53"/>
      <c r="RO61" s="53"/>
      <c r="RP61" s="53"/>
      <c r="RQ61" s="53"/>
      <c r="RR61" s="53"/>
      <c r="RS61" s="53"/>
      <c r="RT61" s="53"/>
      <c r="RU61" s="53"/>
      <c r="RV61" s="53"/>
      <c r="RW61" s="53"/>
      <c r="RX61" s="53"/>
      <c r="RY61" s="53"/>
      <c r="RZ61" s="53"/>
      <c r="SA61" s="53"/>
      <c r="SB61" s="53"/>
      <c r="SC61" s="53"/>
      <c r="SD61" s="53"/>
      <c r="SE61" s="53"/>
      <c r="SF61" s="53"/>
      <c r="SG61" s="53"/>
      <c r="SH61" s="53"/>
      <c r="SI61" s="53"/>
      <c r="SJ61" s="53"/>
      <c r="SK61" s="53"/>
      <c r="SL61" s="53"/>
      <c r="SM61" s="53"/>
      <c r="SN61" s="53"/>
      <c r="SO61" s="53"/>
      <c r="SP61" s="53"/>
      <c r="SQ61" s="53"/>
      <c r="SR61" s="53"/>
      <c r="SS61" s="53"/>
      <c r="ST61" s="53"/>
      <c r="SU61" s="53"/>
      <c r="SV61" s="53"/>
      <c r="SW61" s="53"/>
      <c r="SX61" s="53"/>
      <c r="SY61" s="53"/>
      <c r="SZ61" s="53"/>
      <c r="TA61" s="53"/>
      <c r="TB61" s="53"/>
      <c r="TC61" s="53"/>
      <c r="TD61" s="53"/>
      <c r="TE61" s="53"/>
      <c r="TF61" s="53"/>
      <c r="TG61" s="53"/>
      <c r="TH61" s="53"/>
      <c r="TI61" s="53"/>
      <c r="TJ61" s="53"/>
      <c r="TK61" s="53"/>
      <c r="TL61" s="53"/>
      <c r="TM61" s="53"/>
      <c r="TN61" s="53"/>
      <c r="TO61" s="53"/>
      <c r="TP61" s="53"/>
      <c r="TQ61" s="53"/>
      <c r="TR61" s="53"/>
      <c r="TS61" s="53"/>
      <c r="TT61" s="53"/>
      <c r="TU61" s="53"/>
      <c r="TV61" s="53"/>
      <c r="TW61" s="53"/>
      <c r="TX61" s="53"/>
      <c r="TY61" s="53"/>
      <c r="TZ61" s="53"/>
      <c r="UA61" s="53"/>
      <c r="UB61" s="53"/>
      <c r="UC61" s="53"/>
      <c r="UD61" s="53"/>
      <c r="UE61" s="53"/>
      <c r="UF61" s="53"/>
      <c r="UG61" s="53"/>
      <c r="UH61" s="53"/>
      <c r="UI61" s="53"/>
      <c r="UJ61" s="53"/>
      <c r="UK61" s="53"/>
      <c r="UL61" s="53"/>
      <c r="UM61" s="53"/>
      <c r="UN61" s="53"/>
      <c r="UO61" s="53"/>
      <c r="UP61" s="53"/>
      <c r="UQ61" s="53"/>
      <c r="UR61" s="53"/>
      <c r="US61" s="53"/>
      <c r="UT61" s="53"/>
      <c r="UU61" s="53"/>
      <c r="UV61" s="53"/>
      <c r="UW61" s="53"/>
      <c r="UX61" s="53"/>
      <c r="UY61" s="53"/>
      <c r="UZ61" s="53"/>
      <c r="VA61" s="53"/>
      <c r="VB61" s="53"/>
      <c r="VC61" s="53"/>
      <c r="VD61" s="53"/>
      <c r="VE61" s="53"/>
      <c r="VF61" s="53"/>
      <c r="VG61" s="53"/>
      <c r="VH61" s="53"/>
      <c r="VI61" s="53"/>
      <c r="VJ61" s="53"/>
      <c r="VK61" s="53"/>
      <c r="VL61" s="53"/>
    </row>
    <row r="62" spans="1:584" s="47" customFormat="1" ht="32.25" customHeight="1" x14ac:dyDescent="0.25">
      <c r="A62" s="45" t="s">
        <v>293</v>
      </c>
      <c r="B62" s="91" t="str">
        <f>'дод 3'!A25</f>
        <v>1090</v>
      </c>
      <c r="C62" s="91" t="str">
        <f>'дод 3'!B25</f>
        <v>0960</v>
      </c>
      <c r="D62" s="48" t="str">
        <f>'дод 3'!C25</f>
        <v xml:space="preserve">Надання позашкільної освіти позашкільними закладами освіти, заходи із позашкільної роботи з дітьми </v>
      </c>
      <c r="E62" s="115">
        <v>25146125</v>
      </c>
      <c r="F62" s="115">
        <f>17339000+205640</f>
        <v>17544640</v>
      </c>
      <c r="G62" s="115">
        <f>2843070+16789+175223+12306+183134</f>
        <v>3230522</v>
      </c>
      <c r="H62" s="115">
        <v>24676611.969999999</v>
      </c>
      <c r="I62" s="115">
        <v>17544627.100000001</v>
      </c>
      <c r="J62" s="115">
        <v>2833333.85</v>
      </c>
      <c r="K62" s="164">
        <f t="shared" si="3"/>
        <v>98.132861305668357</v>
      </c>
      <c r="L62" s="115">
        <f t="shared" si="6"/>
        <v>300000</v>
      </c>
      <c r="M62" s="115">
        <v>300000</v>
      </c>
      <c r="N62" s="115"/>
      <c r="O62" s="115"/>
      <c r="P62" s="115"/>
      <c r="Q62" s="115">
        <v>300000</v>
      </c>
      <c r="R62" s="115">
        <f t="shared" si="7"/>
        <v>1043755.03</v>
      </c>
      <c r="S62" s="115">
        <v>295169.71000000002</v>
      </c>
      <c r="T62" s="115">
        <v>534920.53</v>
      </c>
      <c r="U62" s="115"/>
      <c r="V62" s="115">
        <v>102</v>
      </c>
      <c r="W62" s="115">
        <v>508834.5</v>
      </c>
      <c r="X62" s="166">
        <f t="shared" si="5"/>
        <v>347.91834333333338</v>
      </c>
      <c r="Y62" s="115">
        <f t="shared" si="15"/>
        <v>25720367</v>
      </c>
      <c r="Z62" s="187"/>
      <c r="AA62" s="53"/>
      <c r="AB62" s="53"/>
      <c r="AC62" s="53"/>
      <c r="AD62" s="53"/>
      <c r="AE62" s="79"/>
      <c r="AF62" s="79"/>
      <c r="AG62" s="79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/>
      <c r="KX62" s="53"/>
      <c r="KY62" s="53"/>
      <c r="KZ62" s="53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/>
      <c r="MD62" s="53"/>
      <c r="ME62" s="53"/>
      <c r="MF62" s="53"/>
      <c r="MG62" s="53"/>
      <c r="MH62" s="53"/>
      <c r="MI62" s="53"/>
      <c r="MJ62" s="53"/>
      <c r="MK62" s="53"/>
      <c r="ML62" s="53"/>
      <c r="MM62" s="53"/>
      <c r="MN62" s="53"/>
      <c r="MO62" s="53"/>
      <c r="MP62" s="53"/>
      <c r="MQ62" s="53"/>
      <c r="MR62" s="53"/>
      <c r="MS62" s="53"/>
      <c r="MT62" s="53"/>
      <c r="MU62" s="53"/>
      <c r="MV62" s="53"/>
      <c r="MW62" s="53"/>
      <c r="MX62" s="53"/>
      <c r="MY62" s="53"/>
      <c r="MZ62" s="53"/>
      <c r="NA62" s="53"/>
      <c r="NB62" s="53"/>
      <c r="NC62" s="53"/>
      <c r="ND62" s="53"/>
      <c r="NE62" s="53"/>
      <c r="NF62" s="53"/>
      <c r="NG62" s="53"/>
      <c r="NH62" s="53"/>
      <c r="NI62" s="53"/>
      <c r="NJ62" s="53"/>
      <c r="NK62" s="53"/>
      <c r="NL62" s="53"/>
      <c r="NM62" s="53"/>
      <c r="NN62" s="53"/>
      <c r="NO62" s="53"/>
      <c r="NP62" s="53"/>
      <c r="NQ62" s="53"/>
      <c r="NR62" s="53"/>
      <c r="NS62" s="53"/>
      <c r="NT62" s="53"/>
      <c r="NU62" s="53"/>
      <c r="NV62" s="53"/>
      <c r="NW62" s="53"/>
      <c r="NX62" s="53"/>
      <c r="NY62" s="53"/>
      <c r="NZ62" s="53"/>
      <c r="OA62" s="53"/>
      <c r="OB62" s="53"/>
      <c r="OC62" s="53"/>
      <c r="OD62" s="53"/>
      <c r="OE62" s="53"/>
      <c r="OF62" s="53"/>
      <c r="OG62" s="53"/>
      <c r="OH62" s="53"/>
      <c r="OI62" s="53"/>
      <c r="OJ62" s="53"/>
      <c r="OK62" s="53"/>
      <c r="OL62" s="53"/>
      <c r="OM62" s="53"/>
      <c r="ON62" s="53"/>
      <c r="OO62" s="53"/>
      <c r="OP62" s="53"/>
      <c r="OQ62" s="53"/>
      <c r="OR62" s="53"/>
      <c r="OS62" s="53"/>
      <c r="OT62" s="53"/>
      <c r="OU62" s="53"/>
      <c r="OV62" s="53"/>
      <c r="OW62" s="53"/>
      <c r="OX62" s="53"/>
      <c r="OY62" s="53"/>
      <c r="OZ62" s="53"/>
      <c r="PA62" s="53"/>
      <c r="PB62" s="53"/>
      <c r="PC62" s="53"/>
      <c r="PD62" s="53"/>
      <c r="PE62" s="53"/>
      <c r="PF62" s="53"/>
      <c r="PG62" s="53"/>
      <c r="PH62" s="53"/>
      <c r="PI62" s="53"/>
      <c r="PJ62" s="53"/>
      <c r="PK62" s="53"/>
      <c r="PL62" s="53"/>
      <c r="PM62" s="53"/>
      <c r="PN62" s="53"/>
      <c r="PO62" s="53"/>
      <c r="PP62" s="53"/>
      <c r="PQ62" s="53"/>
      <c r="PR62" s="53"/>
      <c r="PS62" s="53"/>
      <c r="PT62" s="53"/>
      <c r="PU62" s="53"/>
      <c r="PV62" s="53"/>
      <c r="PW62" s="53"/>
      <c r="PX62" s="53"/>
      <c r="PY62" s="53"/>
      <c r="PZ62" s="53"/>
      <c r="QA62" s="53"/>
      <c r="QB62" s="53"/>
      <c r="QC62" s="53"/>
      <c r="QD62" s="53"/>
      <c r="QE62" s="53"/>
      <c r="QF62" s="53"/>
      <c r="QG62" s="53"/>
      <c r="QH62" s="53"/>
      <c r="QI62" s="53"/>
      <c r="QJ62" s="53"/>
      <c r="QK62" s="53"/>
      <c r="QL62" s="53"/>
      <c r="QM62" s="53"/>
      <c r="QN62" s="53"/>
      <c r="QO62" s="53"/>
      <c r="QP62" s="53"/>
      <c r="QQ62" s="53"/>
      <c r="QR62" s="53"/>
      <c r="QS62" s="53"/>
      <c r="QT62" s="53"/>
      <c r="QU62" s="53"/>
      <c r="QV62" s="53"/>
      <c r="QW62" s="53"/>
      <c r="QX62" s="53"/>
      <c r="QY62" s="53"/>
      <c r="QZ62" s="53"/>
      <c r="RA62" s="53"/>
      <c r="RB62" s="53"/>
      <c r="RC62" s="53"/>
      <c r="RD62" s="53"/>
      <c r="RE62" s="53"/>
      <c r="RF62" s="53"/>
      <c r="RG62" s="53"/>
      <c r="RH62" s="53"/>
      <c r="RI62" s="53"/>
      <c r="RJ62" s="53"/>
      <c r="RK62" s="53"/>
      <c r="RL62" s="53"/>
      <c r="RM62" s="53"/>
      <c r="RN62" s="53"/>
      <c r="RO62" s="53"/>
      <c r="RP62" s="53"/>
      <c r="RQ62" s="53"/>
      <c r="RR62" s="53"/>
      <c r="RS62" s="53"/>
      <c r="RT62" s="53"/>
      <c r="RU62" s="53"/>
      <c r="RV62" s="53"/>
      <c r="RW62" s="53"/>
      <c r="RX62" s="53"/>
      <c r="RY62" s="53"/>
      <c r="RZ62" s="53"/>
      <c r="SA62" s="53"/>
      <c r="SB62" s="53"/>
      <c r="SC62" s="53"/>
      <c r="SD62" s="53"/>
      <c r="SE62" s="53"/>
      <c r="SF62" s="53"/>
      <c r="SG62" s="53"/>
      <c r="SH62" s="53"/>
      <c r="SI62" s="53"/>
      <c r="SJ62" s="53"/>
      <c r="SK62" s="53"/>
      <c r="SL62" s="53"/>
      <c r="SM62" s="53"/>
      <c r="SN62" s="53"/>
      <c r="SO62" s="53"/>
      <c r="SP62" s="53"/>
      <c r="SQ62" s="53"/>
      <c r="SR62" s="53"/>
      <c r="SS62" s="53"/>
      <c r="ST62" s="53"/>
      <c r="SU62" s="53"/>
      <c r="SV62" s="53"/>
      <c r="SW62" s="53"/>
      <c r="SX62" s="53"/>
      <c r="SY62" s="53"/>
      <c r="SZ62" s="53"/>
      <c r="TA62" s="53"/>
      <c r="TB62" s="53"/>
      <c r="TC62" s="53"/>
      <c r="TD62" s="53"/>
      <c r="TE62" s="53"/>
      <c r="TF62" s="53"/>
      <c r="TG62" s="53"/>
      <c r="TH62" s="53"/>
      <c r="TI62" s="53"/>
      <c r="TJ62" s="53"/>
      <c r="TK62" s="53"/>
      <c r="TL62" s="53"/>
      <c r="TM62" s="53"/>
      <c r="TN62" s="53"/>
      <c r="TO62" s="53"/>
      <c r="TP62" s="53"/>
      <c r="TQ62" s="53"/>
      <c r="TR62" s="53"/>
      <c r="TS62" s="53"/>
      <c r="TT62" s="53"/>
      <c r="TU62" s="53"/>
      <c r="TV62" s="53"/>
      <c r="TW62" s="53"/>
      <c r="TX62" s="53"/>
      <c r="TY62" s="53"/>
      <c r="TZ62" s="53"/>
      <c r="UA62" s="53"/>
      <c r="UB62" s="53"/>
      <c r="UC62" s="53"/>
      <c r="UD62" s="53"/>
      <c r="UE62" s="53"/>
      <c r="UF62" s="53"/>
      <c r="UG62" s="53"/>
      <c r="UH62" s="53"/>
      <c r="UI62" s="53"/>
      <c r="UJ62" s="53"/>
      <c r="UK62" s="53"/>
      <c r="UL62" s="53"/>
      <c r="UM62" s="53"/>
      <c r="UN62" s="53"/>
      <c r="UO62" s="53"/>
      <c r="UP62" s="53"/>
      <c r="UQ62" s="53"/>
      <c r="UR62" s="53"/>
      <c r="US62" s="53"/>
      <c r="UT62" s="53"/>
      <c r="UU62" s="53"/>
      <c r="UV62" s="53"/>
      <c r="UW62" s="53"/>
      <c r="UX62" s="53"/>
      <c r="UY62" s="53"/>
      <c r="UZ62" s="53"/>
      <c r="VA62" s="53"/>
      <c r="VB62" s="53"/>
      <c r="VC62" s="53"/>
      <c r="VD62" s="53"/>
      <c r="VE62" s="53"/>
      <c r="VF62" s="53"/>
      <c r="VG62" s="53"/>
      <c r="VH62" s="53"/>
      <c r="VI62" s="53"/>
      <c r="VJ62" s="53"/>
      <c r="VK62" s="53"/>
      <c r="VL62" s="53"/>
    </row>
    <row r="63" spans="1:584" s="47" customFormat="1" ht="33.75" customHeight="1" x14ac:dyDescent="0.25">
      <c r="A63" s="45" t="s">
        <v>291</v>
      </c>
      <c r="B63" s="91" t="str">
        <f>'дод 3'!A27</f>
        <v>1110</v>
      </c>
      <c r="C63" s="91" t="str">
        <f>'дод 3'!B27</f>
        <v>0930</v>
      </c>
      <c r="D63" s="48" t="str">
        <f>'дод 3'!C27</f>
        <v>Підготовка кадрів професійно-технічними закладами та іншими закладами освіти</v>
      </c>
      <c r="E63" s="115">
        <v>105776700.27000001</v>
      </c>
      <c r="F63" s="115">
        <f>59049100-61300-25000</f>
        <v>58962800</v>
      </c>
      <c r="G63" s="115">
        <f>10451100+39926-85000</f>
        <v>10406026</v>
      </c>
      <c r="H63" s="115">
        <v>104020900.53</v>
      </c>
      <c r="I63" s="115">
        <v>58899089.289999999</v>
      </c>
      <c r="J63" s="115">
        <v>9138566.6099999994</v>
      </c>
      <c r="K63" s="164">
        <f t="shared" si="3"/>
        <v>98.340088379087035</v>
      </c>
      <c r="L63" s="115">
        <f t="shared" si="6"/>
        <v>12527238.960000001</v>
      </c>
      <c r="M63" s="115">
        <f>3528000+535071+288000+494060-35398.04</f>
        <v>4809732.96</v>
      </c>
      <c r="N63" s="115">
        <v>7600506</v>
      </c>
      <c r="O63" s="115">
        <v>2516057</v>
      </c>
      <c r="P63" s="115">
        <v>2589380</v>
      </c>
      <c r="Q63" s="115">
        <f>117000+3528000+535071+288000+494060-35398.04</f>
        <v>4926732.96</v>
      </c>
      <c r="R63" s="115">
        <f t="shared" si="7"/>
        <v>13362629.350000001</v>
      </c>
      <c r="S63" s="115">
        <v>4807323.21</v>
      </c>
      <c r="T63" s="115">
        <v>8109803.8600000003</v>
      </c>
      <c r="U63" s="115">
        <v>2140659.96</v>
      </c>
      <c r="V63" s="115">
        <v>2065492.05</v>
      </c>
      <c r="W63" s="115">
        <v>5252825.49</v>
      </c>
      <c r="X63" s="166">
        <f t="shared" si="5"/>
        <v>106.66859148027301</v>
      </c>
      <c r="Y63" s="115">
        <f t="shared" si="15"/>
        <v>117383529.88</v>
      </c>
      <c r="Z63" s="187"/>
      <c r="AA63" s="53"/>
      <c r="AB63" s="53"/>
      <c r="AC63" s="53"/>
      <c r="AD63" s="53"/>
      <c r="AE63" s="79"/>
      <c r="AF63" s="79"/>
      <c r="AG63" s="79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/>
      <c r="JI63" s="53"/>
      <c r="JJ63" s="53"/>
      <c r="JK63" s="53"/>
      <c r="JL63" s="53"/>
      <c r="JM63" s="53"/>
      <c r="JN63" s="53"/>
      <c r="JO63" s="53"/>
      <c r="JP63" s="53"/>
      <c r="JQ63" s="53"/>
      <c r="JR63" s="53"/>
      <c r="JS63" s="53"/>
      <c r="JT63" s="53"/>
      <c r="JU63" s="53"/>
      <c r="JV63" s="53"/>
      <c r="JW63" s="53"/>
      <c r="JX63" s="53"/>
      <c r="JY63" s="53"/>
      <c r="JZ63" s="53"/>
      <c r="KA63" s="53"/>
      <c r="KB63" s="53"/>
      <c r="KC63" s="53"/>
      <c r="KD63" s="53"/>
      <c r="KE63" s="53"/>
      <c r="KF63" s="53"/>
      <c r="KG63" s="53"/>
      <c r="KH63" s="53"/>
      <c r="KI63" s="53"/>
      <c r="KJ63" s="53"/>
      <c r="KK63" s="53"/>
      <c r="KL63" s="53"/>
      <c r="KM63" s="53"/>
      <c r="KN63" s="53"/>
      <c r="KO63" s="53"/>
      <c r="KP63" s="53"/>
      <c r="KQ63" s="53"/>
      <c r="KR63" s="53"/>
      <c r="KS63" s="53"/>
      <c r="KT63" s="53"/>
      <c r="KU63" s="53"/>
      <c r="KV63" s="53"/>
      <c r="KW63" s="53"/>
      <c r="KX63" s="53"/>
      <c r="KY63" s="53"/>
      <c r="KZ63" s="53"/>
      <c r="LA63" s="53"/>
      <c r="LB63" s="53"/>
      <c r="LC63" s="53"/>
      <c r="LD63" s="53"/>
      <c r="LE63" s="53"/>
      <c r="LF63" s="53"/>
      <c r="LG63" s="53"/>
      <c r="LH63" s="53"/>
      <c r="LI63" s="53"/>
      <c r="LJ63" s="53"/>
      <c r="LK63" s="53"/>
      <c r="LL63" s="53"/>
      <c r="LM63" s="53"/>
      <c r="LN63" s="53"/>
      <c r="LO63" s="53"/>
      <c r="LP63" s="53"/>
      <c r="LQ63" s="53"/>
      <c r="LR63" s="53"/>
      <c r="LS63" s="53"/>
      <c r="LT63" s="53"/>
      <c r="LU63" s="53"/>
      <c r="LV63" s="53"/>
      <c r="LW63" s="53"/>
      <c r="LX63" s="53"/>
      <c r="LY63" s="53"/>
      <c r="LZ63" s="53"/>
      <c r="MA63" s="53"/>
      <c r="MB63" s="53"/>
      <c r="MC63" s="53"/>
      <c r="MD63" s="53"/>
      <c r="ME63" s="53"/>
      <c r="MF63" s="53"/>
      <c r="MG63" s="53"/>
      <c r="MH63" s="53"/>
      <c r="MI63" s="53"/>
      <c r="MJ63" s="53"/>
      <c r="MK63" s="53"/>
      <c r="ML63" s="53"/>
      <c r="MM63" s="53"/>
      <c r="MN63" s="53"/>
      <c r="MO63" s="53"/>
      <c r="MP63" s="53"/>
      <c r="MQ63" s="53"/>
      <c r="MR63" s="53"/>
      <c r="MS63" s="53"/>
      <c r="MT63" s="53"/>
      <c r="MU63" s="53"/>
      <c r="MV63" s="53"/>
      <c r="MW63" s="53"/>
      <c r="MX63" s="53"/>
      <c r="MY63" s="53"/>
      <c r="MZ63" s="53"/>
      <c r="NA63" s="53"/>
      <c r="NB63" s="53"/>
      <c r="NC63" s="53"/>
      <c r="ND63" s="53"/>
      <c r="NE63" s="53"/>
      <c r="NF63" s="53"/>
      <c r="NG63" s="53"/>
      <c r="NH63" s="53"/>
      <c r="NI63" s="53"/>
      <c r="NJ63" s="53"/>
      <c r="NK63" s="53"/>
      <c r="NL63" s="53"/>
      <c r="NM63" s="53"/>
      <c r="NN63" s="53"/>
      <c r="NO63" s="53"/>
      <c r="NP63" s="53"/>
      <c r="NQ63" s="53"/>
      <c r="NR63" s="53"/>
      <c r="NS63" s="53"/>
      <c r="NT63" s="53"/>
      <c r="NU63" s="53"/>
      <c r="NV63" s="53"/>
      <c r="NW63" s="53"/>
      <c r="NX63" s="53"/>
      <c r="NY63" s="53"/>
      <c r="NZ63" s="53"/>
      <c r="OA63" s="53"/>
      <c r="OB63" s="53"/>
      <c r="OC63" s="53"/>
      <c r="OD63" s="53"/>
      <c r="OE63" s="53"/>
      <c r="OF63" s="53"/>
      <c r="OG63" s="53"/>
      <c r="OH63" s="53"/>
      <c r="OI63" s="53"/>
      <c r="OJ63" s="53"/>
      <c r="OK63" s="53"/>
      <c r="OL63" s="53"/>
      <c r="OM63" s="53"/>
      <c r="ON63" s="53"/>
      <c r="OO63" s="53"/>
      <c r="OP63" s="53"/>
      <c r="OQ63" s="53"/>
      <c r="OR63" s="53"/>
      <c r="OS63" s="53"/>
      <c r="OT63" s="53"/>
      <c r="OU63" s="53"/>
      <c r="OV63" s="53"/>
      <c r="OW63" s="53"/>
      <c r="OX63" s="53"/>
      <c r="OY63" s="53"/>
      <c r="OZ63" s="53"/>
      <c r="PA63" s="53"/>
      <c r="PB63" s="53"/>
      <c r="PC63" s="53"/>
      <c r="PD63" s="53"/>
      <c r="PE63" s="53"/>
      <c r="PF63" s="53"/>
      <c r="PG63" s="53"/>
      <c r="PH63" s="53"/>
      <c r="PI63" s="53"/>
      <c r="PJ63" s="53"/>
      <c r="PK63" s="53"/>
      <c r="PL63" s="53"/>
      <c r="PM63" s="53"/>
      <c r="PN63" s="53"/>
      <c r="PO63" s="53"/>
      <c r="PP63" s="53"/>
      <c r="PQ63" s="53"/>
      <c r="PR63" s="53"/>
      <c r="PS63" s="53"/>
      <c r="PT63" s="53"/>
      <c r="PU63" s="53"/>
      <c r="PV63" s="53"/>
      <c r="PW63" s="53"/>
      <c r="PX63" s="53"/>
      <c r="PY63" s="53"/>
      <c r="PZ63" s="53"/>
      <c r="QA63" s="53"/>
      <c r="QB63" s="53"/>
      <c r="QC63" s="53"/>
      <c r="QD63" s="53"/>
      <c r="QE63" s="53"/>
      <c r="QF63" s="53"/>
      <c r="QG63" s="53"/>
      <c r="QH63" s="53"/>
      <c r="QI63" s="53"/>
      <c r="QJ63" s="53"/>
      <c r="QK63" s="53"/>
      <c r="QL63" s="53"/>
      <c r="QM63" s="53"/>
      <c r="QN63" s="53"/>
      <c r="QO63" s="53"/>
      <c r="QP63" s="53"/>
      <c r="QQ63" s="53"/>
      <c r="QR63" s="53"/>
      <c r="QS63" s="53"/>
      <c r="QT63" s="53"/>
      <c r="QU63" s="53"/>
      <c r="QV63" s="53"/>
      <c r="QW63" s="53"/>
      <c r="QX63" s="53"/>
      <c r="QY63" s="53"/>
      <c r="QZ63" s="53"/>
      <c r="RA63" s="53"/>
      <c r="RB63" s="53"/>
      <c r="RC63" s="53"/>
      <c r="RD63" s="53"/>
      <c r="RE63" s="53"/>
      <c r="RF63" s="53"/>
      <c r="RG63" s="53"/>
      <c r="RH63" s="53"/>
      <c r="RI63" s="53"/>
      <c r="RJ63" s="53"/>
      <c r="RK63" s="53"/>
      <c r="RL63" s="53"/>
      <c r="RM63" s="53"/>
      <c r="RN63" s="53"/>
      <c r="RO63" s="53"/>
      <c r="RP63" s="53"/>
      <c r="RQ63" s="53"/>
      <c r="RR63" s="53"/>
      <c r="RS63" s="53"/>
      <c r="RT63" s="53"/>
      <c r="RU63" s="53"/>
      <c r="RV63" s="53"/>
      <c r="RW63" s="53"/>
      <c r="RX63" s="53"/>
      <c r="RY63" s="53"/>
      <c r="RZ63" s="53"/>
      <c r="SA63" s="53"/>
      <c r="SB63" s="53"/>
      <c r="SC63" s="53"/>
      <c r="SD63" s="53"/>
      <c r="SE63" s="53"/>
      <c r="SF63" s="53"/>
      <c r="SG63" s="53"/>
      <c r="SH63" s="53"/>
      <c r="SI63" s="53"/>
      <c r="SJ63" s="53"/>
      <c r="SK63" s="53"/>
      <c r="SL63" s="53"/>
      <c r="SM63" s="53"/>
      <c r="SN63" s="53"/>
      <c r="SO63" s="53"/>
      <c r="SP63" s="53"/>
      <c r="SQ63" s="53"/>
      <c r="SR63" s="53"/>
      <c r="SS63" s="53"/>
      <c r="ST63" s="53"/>
      <c r="SU63" s="53"/>
      <c r="SV63" s="53"/>
      <c r="SW63" s="53"/>
      <c r="SX63" s="53"/>
      <c r="SY63" s="53"/>
      <c r="SZ63" s="53"/>
      <c r="TA63" s="53"/>
      <c r="TB63" s="53"/>
      <c r="TC63" s="53"/>
      <c r="TD63" s="53"/>
      <c r="TE63" s="53"/>
      <c r="TF63" s="53"/>
      <c r="TG63" s="53"/>
      <c r="TH63" s="53"/>
      <c r="TI63" s="53"/>
      <c r="TJ63" s="53"/>
      <c r="TK63" s="53"/>
      <c r="TL63" s="53"/>
      <c r="TM63" s="53"/>
      <c r="TN63" s="53"/>
      <c r="TO63" s="53"/>
      <c r="TP63" s="53"/>
      <c r="TQ63" s="53"/>
      <c r="TR63" s="53"/>
      <c r="TS63" s="53"/>
      <c r="TT63" s="53"/>
      <c r="TU63" s="53"/>
      <c r="TV63" s="53"/>
      <c r="TW63" s="53"/>
      <c r="TX63" s="53"/>
      <c r="TY63" s="53"/>
      <c r="TZ63" s="53"/>
      <c r="UA63" s="53"/>
      <c r="UB63" s="53"/>
      <c r="UC63" s="53"/>
      <c r="UD63" s="53"/>
      <c r="UE63" s="53"/>
      <c r="UF63" s="53"/>
      <c r="UG63" s="53"/>
      <c r="UH63" s="53"/>
      <c r="UI63" s="53"/>
      <c r="UJ63" s="53"/>
      <c r="UK63" s="53"/>
      <c r="UL63" s="53"/>
      <c r="UM63" s="53"/>
      <c r="UN63" s="53"/>
      <c r="UO63" s="53"/>
      <c r="UP63" s="53"/>
      <c r="UQ63" s="53"/>
      <c r="UR63" s="53"/>
      <c r="US63" s="53"/>
      <c r="UT63" s="53"/>
      <c r="UU63" s="53"/>
      <c r="UV63" s="53"/>
      <c r="UW63" s="53"/>
      <c r="UX63" s="53"/>
      <c r="UY63" s="53"/>
      <c r="UZ63" s="53"/>
      <c r="VA63" s="53"/>
      <c r="VB63" s="53"/>
      <c r="VC63" s="53"/>
      <c r="VD63" s="53"/>
      <c r="VE63" s="53"/>
      <c r="VF63" s="53"/>
      <c r="VG63" s="53"/>
      <c r="VH63" s="53"/>
      <c r="VI63" s="53"/>
      <c r="VJ63" s="53"/>
      <c r="VK63" s="53"/>
      <c r="VL63" s="53"/>
    </row>
    <row r="64" spans="1:584" s="47" customFormat="1" ht="15.75" customHeight="1" x14ac:dyDescent="0.25">
      <c r="A64" s="45"/>
      <c r="B64" s="91"/>
      <c r="C64" s="91"/>
      <c r="D64" s="46" t="s">
        <v>342</v>
      </c>
      <c r="E64" s="115">
        <v>14536379.27</v>
      </c>
      <c r="F64" s="115">
        <v>9426200</v>
      </c>
      <c r="G64" s="115"/>
      <c r="H64" s="115">
        <v>14472586.24</v>
      </c>
      <c r="I64" s="115">
        <v>9362523.8300000001</v>
      </c>
      <c r="J64" s="115"/>
      <c r="K64" s="164">
        <f t="shared" si="3"/>
        <v>99.56114910862533</v>
      </c>
      <c r="L64" s="115">
        <f t="shared" si="6"/>
        <v>4809732.96</v>
      </c>
      <c r="M64" s="115">
        <f>3528000+535071+288000+494060-35398.04</f>
        <v>4809732.96</v>
      </c>
      <c r="N64" s="115"/>
      <c r="O64" s="115"/>
      <c r="P64" s="115"/>
      <c r="Q64" s="115">
        <f>3528000+535071+288000+494060-35398.04</f>
        <v>4809732.96</v>
      </c>
      <c r="R64" s="115">
        <f t="shared" si="7"/>
        <v>4807323.21</v>
      </c>
      <c r="S64" s="115">
        <v>4807323.21</v>
      </c>
      <c r="T64" s="115"/>
      <c r="U64" s="115"/>
      <c r="V64" s="115"/>
      <c r="W64" s="115">
        <v>4807323.21</v>
      </c>
      <c r="X64" s="166">
        <f t="shared" si="5"/>
        <v>99.949898465880736</v>
      </c>
      <c r="Y64" s="115">
        <f t="shared" si="15"/>
        <v>19279909.449999999</v>
      </c>
      <c r="Z64" s="187"/>
      <c r="AA64" s="53"/>
      <c r="AB64" s="53"/>
      <c r="AC64" s="53"/>
      <c r="AD64" s="53"/>
      <c r="AE64" s="79"/>
      <c r="AF64" s="79"/>
      <c r="AG64" s="79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/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/>
      <c r="KF64" s="53"/>
      <c r="KG64" s="53"/>
      <c r="KH64" s="53"/>
      <c r="KI64" s="53"/>
      <c r="KJ64" s="53"/>
      <c r="KK64" s="53"/>
      <c r="KL64" s="53"/>
      <c r="KM64" s="53"/>
      <c r="KN64" s="53"/>
      <c r="KO64" s="53"/>
      <c r="KP64" s="53"/>
      <c r="KQ64" s="53"/>
      <c r="KR64" s="53"/>
      <c r="KS64" s="53"/>
      <c r="KT64" s="53"/>
      <c r="KU64" s="53"/>
      <c r="KV64" s="53"/>
      <c r="KW64" s="53"/>
      <c r="KX64" s="53"/>
      <c r="KY64" s="53"/>
      <c r="KZ64" s="53"/>
      <c r="LA64" s="53"/>
      <c r="LB64" s="53"/>
      <c r="LC64" s="53"/>
      <c r="LD64" s="53"/>
      <c r="LE64" s="53"/>
      <c r="LF64" s="53"/>
      <c r="LG64" s="53"/>
      <c r="LH64" s="53"/>
      <c r="LI64" s="53"/>
      <c r="LJ64" s="53"/>
      <c r="LK64" s="53"/>
      <c r="LL64" s="53"/>
      <c r="LM64" s="53"/>
      <c r="LN64" s="53"/>
      <c r="LO64" s="53"/>
      <c r="LP64" s="53"/>
      <c r="LQ64" s="53"/>
      <c r="LR64" s="53"/>
      <c r="LS64" s="53"/>
      <c r="LT64" s="53"/>
      <c r="LU64" s="53"/>
      <c r="LV64" s="53"/>
      <c r="LW64" s="53"/>
      <c r="LX64" s="53"/>
      <c r="LY64" s="53"/>
      <c r="LZ64" s="53"/>
      <c r="MA64" s="53"/>
      <c r="MB64" s="53"/>
      <c r="MC64" s="53"/>
      <c r="MD64" s="53"/>
      <c r="ME64" s="53"/>
      <c r="MF64" s="53"/>
      <c r="MG64" s="53"/>
      <c r="MH64" s="53"/>
      <c r="MI64" s="53"/>
      <c r="MJ64" s="53"/>
      <c r="MK64" s="53"/>
      <c r="ML64" s="53"/>
      <c r="MM64" s="53"/>
      <c r="MN64" s="53"/>
      <c r="MO64" s="53"/>
      <c r="MP64" s="53"/>
      <c r="MQ64" s="53"/>
      <c r="MR64" s="53"/>
      <c r="MS64" s="53"/>
      <c r="MT64" s="53"/>
      <c r="MU64" s="53"/>
      <c r="MV64" s="53"/>
      <c r="MW64" s="53"/>
      <c r="MX64" s="53"/>
      <c r="MY64" s="53"/>
      <c r="MZ64" s="53"/>
      <c r="NA64" s="53"/>
      <c r="NB64" s="53"/>
      <c r="NC64" s="53"/>
      <c r="ND64" s="53"/>
      <c r="NE64" s="53"/>
      <c r="NF64" s="53"/>
      <c r="NG64" s="53"/>
      <c r="NH64" s="53"/>
      <c r="NI64" s="53"/>
      <c r="NJ64" s="53"/>
      <c r="NK64" s="53"/>
      <c r="NL64" s="53"/>
      <c r="NM64" s="53"/>
      <c r="NN64" s="53"/>
      <c r="NO64" s="53"/>
      <c r="NP64" s="53"/>
      <c r="NQ64" s="53"/>
      <c r="NR64" s="53"/>
      <c r="NS64" s="53"/>
      <c r="NT64" s="53"/>
      <c r="NU64" s="53"/>
      <c r="NV64" s="53"/>
      <c r="NW64" s="53"/>
      <c r="NX64" s="53"/>
      <c r="NY64" s="53"/>
      <c r="NZ64" s="53"/>
      <c r="OA64" s="53"/>
      <c r="OB64" s="53"/>
      <c r="OC64" s="53"/>
      <c r="OD64" s="53"/>
      <c r="OE64" s="53"/>
      <c r="OF64" s="53"/>
      <c r="OG64" s="53"/>
      <c r="OH64" s="53"/>
      <c r="OI64" s="53"/>
      <c r="OJ64" s="53"/>
      <c r="OK64" s="53"/>
      <c r="OL64" s="53"/>
      <c r="OM64" s="53"/>
      <c r="ON64" s="53"/>
      <c r="OO64" s="53"/>
      <c r="OP64" s="53"/>
      <c r="OQ64" s="53"/>
      <c r="OR64" s="53"/>
      <c r="OS64" s="53"/>
      <c r="OT64" s="53"/>
      <c r="OU64" s="53"/>
      <c r="OV64" s="53"/>
      <c r="OW64" s="53"/>
      <c r="OX64" s="53"/>
      <c r="OY64" s="53"/>
      <c r="OZ64" s="53"/>
      <c r="PA64" s="53"/>
      <c r="PB64" s="53"/>
      <c r="PC64" s="53"/>
      <c r="PD64" s="53"/>
      <c r="PE64" s="53"/>
      <c r="PF64" s="53"/>
      <c r="PG64" s="53"/>
      <c r="PH64" s="53"/>
      <c r="PI64" s="53"/>
      <c r="PJ64" s="53"/>
      <c r="PK64" s="53"/>
      <c r="PL64" s="53"/>
      <c r="PM64" s="53"/>
      <c r="PN64" s="53"/>
      <c r="PO64" s="53"/>
      <c r="PP64" s="53"/>
      <c r="PQ64" s="53"/>
      <c r="PR64" s="53"/>
      <c r="PS64" s="53"/>
      <c r="PT64" s="53"/>
      <c r="PU64" s="53"/>
      <c r="PV64" s="53"/>
      <c r="PW64" s="53"/>
      <c r="PX64" s="53"/>
      <c r="PY64" s="53"/>
      <c r="PZ64" s="53"/>
      <c r="QA64" s="53"/>
      <c r="QB64" s="53"/>
      <c r="QC64" s="53"/>
      <c r="QD64" s="53"/>
      <c r="QE64" s="53"/>
      <c r="QF64" s="53"/>
      <c r="QG64" s="53"/>
      <c r="QH64" s="53"/>
      <c r="QI64" s="53"/>
      <c r="QJ64" s="53"/>
      <c r="QK64" s="53"/>
      <c r="QL64" s="53"/>
      <c r="QM64" s="53"/>
      <c r="QN64" s="53"/>
      <c r="QO64" s="53"/>
      <c r="QP64" s="53"/>
      <c r="QQ64" s="53"/>
      <c r="QR64" s="53"/>
      <c r="QS64" s="53"/>
      <c r="QT64" s="53"/>
      <c r="QU64" s="53"/>
      <c r="QV64" s="53"/>
      <c r="QW64" s="53"/>
      <c r="QX64" s="53"/>
      <c r="QY64" s="53"/>
      <c r="QZ64" s="53"/>
      <c r="RA64" s="53"/>
      <c r="RB64" s="53"/>
      <c r="RC64" s="53"/>
      <c r="RD64" s="53"/>
      <c r="RE64" s="53"/>
      <c r="RF64" s="53"/>
      <c r="RG64" s="53"/>
      <c r="RH64" s="53"/>
      <c r="RI64" s="53"/>
      <c r="RJ64" s="53"/>
      <c r="RK64" s="53"/>
      <c r="RL64" s="53"/>
      <c r="RM64" s="53"/>
      <c r="RN64" s="53"/>
      <c r="RO64" s="53"/>
      <c r="RP64" s="53"/>
      <c r="RQ64" s="53"/>
      <c r="RR64" s="53"/>
      <c r="RS64" s="53"/>
      <c r="RT64" s="53"/>
      <c r="RU64" s="53"/>
      <c r="RV64" s="53"/>
      <c r="RW64" s="53"/>
      <c r="RX64" s="53"/>
      <c r="RY64" s="53"/>
      <c r="RZ64" s="53"/>
      <c r="SA64" s="53"/>
      <c r="SB64" s="53"/>
      <c r="SC64" s="53"/>
      <c r="SD64" s="53"/>
      <c r="SE64" s="53"/>
      <c r="SF64" s="53"/>
      <c r="SG64" s="53"/>
      <c r="SH64" s="53"/>
      <c r="SI64" s="53"/>
      <c r="SJ64" s="53"/>
      <c r="SK64" s="53"/>
      <c r="SL64" s="53"/>
      <c r="SM64" s="53"/>
      <c r="SN64" s="53"/>
      <c r="SO64" s="53"/>
      <c r="SP64" s="53"/>
      <c r="SQ64" s="53"/>
      <c r="SR64" s="53"/>
      <c r="SS64" s="53"/>
      <c r="ST64" s="53"/>
      <c r="SU64" s="53"/>
      <c r="SV64" s="53"/>
      <c r="SW64" s="53"/>
      <c r="SX64" s="53"/>
      <c r="SY64" s="53"/>
      <c r="SZ64" s="53"/>
      <c r="TA64" s="53"/>
      <c r="TB64" s="53"/>
      <c r="TC64" s="53"/>
      <c r="TD64" s="53"/>
      <c r="TE64" s="53"/>
      <c r="TF64" s="53"/>
      <c r="TG64" s="53"/>
      <c r="TH64" s="53"/>
      <c r="TI64" s="53"/>
      <c r="TJ64" s="53"/>
      <c r="TK64" s="53"/>
      <c r="TL64" s="53"/>
      <c r="TM64" s="53"/>
      <c r="TN64" s="53"/>
      <c r="TO64" s="53"/>
      <c r="TP64" s="53"/>
      <c r="TQ64" s="53"/>
      <c r="TR64" s="53"/>
      <c r="TS64" s="53"/>
      <c r="TT64" s="53"/>
      <c r="TU64" s="53"/>
      <c r="TV64" s="53"/>
      <c r="TW64" s="53"/>
      <c r="TX64" s="53"/>
      <c r="TY64" s="53"/>
      <c r="TZ64" s="53"/>
      <c r="UA64" s="53"/>
      <c r="UB64" s="53"/>
      <c r="UC64" s="53"/>
      <c r="UD64" s="53"/>
      <c r="UE64" s="53"/>
      <c r="UF64" s="53"/>
      <c r="UG64" s="53"/>
      <c r="UH64" s="53"/>
      <c r="UI64" s="53"/>
      <c r="UJ64" s="53"/>
      <c r="UK64" s="53"/>
      <c r="UL64" s="53"/>
      <c r="UM64" s="53"/>
      <c r="UN64" s="53"/>
      <c r="UO64" s="53"/>
      <c r="UP64" s="53"/>
      <c r="UQ64" s="53"/>
      <c r="UR64" s="53"/>
      <c r="US64" s="53"/>
      <c r="UT64" s="53"/>
      <c r="UU64" s="53"/>
      <c r="UV64" s="53"/>
      <c r="UW64" s="53"/>
      <c r="UX64" s="53"/>
      <c r="UY64" s="53"/>
      <c r="UZ64" s="53"/>
      <c r="VA64" s="53"/>
      <c r="VB64" s="53"/>
      <c r="VC64" s="53"/>
      <c r="VD64" s="53"/>
      <c r="VE64" s="53"/>
      <c r="VF64" s="53"/>
      <c r="VG64" s="53"/>
      <c r="VH64" s="53"/>
      <c r="VI64" s="53"/>
      <c r="VJ64" s="53"/>
      <c r="VK64" s="53"/>
      <c r="VL64" s="53"/>
    </row>
    <row r="65" spans="1:584" s="47" customFormat="1" ht="21" customHeight="1" x14ac:dyDescent="0.25">
      <c r="A65" s="45" t="s">
        <v>225</v>
      </c>
      <c r="B65" s="91" t="str">
        <f>'дод 3'!A29</f>
        <v>1150</v>
      </c>
      <c r="C65" s="91" t="str">
        <f>'дод 3'!B29</f>
        <v>0990</v>
      </c>
      <c r="D65" s="48" t="str">
        <f>'дод 3'!C29</f>
        <v xml:space="preserve">Методичне забезпечення діяльності навчальних закладів  </v>
      </c>
      <c r="E65" s="115">
        <v>2847270</v>
      </c>
      <c r="F65" s="115">
        <v>2189100</v>
      </c>
      <c r="G65" s="115">
        <f>127170+1728</f>
        <v>128898</v>
      </c>
      <c r="H65" s="115">
        <v>2771498.2</v>
      </c>
      <c r="I65" s="115">
        <v>2139370.11</v>
      </c>
      <c r="J65" s="115">
        <v>109557.91</v>
      </c>
      <c r="K65" s="164">
        <f t="shared" si="3"/>
        <v>97.338791192967307</v>
      </c>
      <c r="L65" s="115">
        <f t="shared" si="6"/>
        <v>6500</v>
      </c>
      <c r="M65" s="115">
        <v>6500</v>
      </c>
      <c r="N65" s="115"/>
      <c r="O65" s="115"/>
      <c r="P65" s="115"/>
      <c r="Q65" s="115">
        <v>6500</v>
      </c>
      <c r="R65" s="115">
        <f t="shared" si="7"/>
        <v>30675.32</v>
      </c>
      <c r="S65" s="115">
        <v>6486</v>
      </c>
      <c r="T65" s="115">
        <v>8953.2099999999991</v>
      </c>
      <c r="U65" s="115"/>
      <c r="V65" s="115"/>
      <c r="W65" s="115">
        <v>21722.11</v>
      </c>
      <c r="X65" s="166">
        <f t="shared" si="5"/>
        <v>471.92800000000005</v>
      </c>
      <c r="Y65" s="115">
        <f t="shared" si="15"/>
        <v>2802173.52</v>
      </c>
      <c r="Z65" s="187"/>
      <c r="AA65" s="53"/>
      <c r="AB65" s="53"/>
      <c r="AC65" s="53"/>
      <c r="AD65" s="53"/>
      <c r="AE65" s="79"/>
      <c r="AF65" s="79"/>
      <c r="AG65" s="79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53"/>
      <c r="JJ65" s="53"/>
      <c r="JK65" s="53"/>
      <c r="JL65" s="53"/>
      <c r="JM65" s="53"/>
      <c r="JN65" s="53"/>
      <c r="JO65" s="53"/>
      <c r="JP65" s="53"/>
      <c r="JQ65" s="53"/>
      <c r="JR65" s="53"/>
      <c r="JS65" s="53"/>
      <c r="JT65" s="53"/>
      <c r="JU65" s="53"/>
      <c r="JV65" s="53"/>
      <c r="JW65" s="53"/>
      <c r="JX65" s="53"/>
      <c r="JY65" s="53"/>
      <c r="JZ65" s="53"/>
      <c r="KA65" s="53"/>
      <c r="KB65" s="53"/>
      <c r="KC65" s="53"/>
      <c r="KD65" s="53"/>
      <c r="KE65" s="53"/>
      <c r="KF65" s="53"/>
      <c r="KG65" s="53"/>
      <c r="KH65" s="53"/>
      <c r="KI65" s="53"/>
      <c r="KJ65" s="53"/>
      <c r="KK65" s="53"/>
      <c r="KL65" s="53"/>
      <c r="KM65" s="53"/>
      <c r="KN65" s="53"/>
      <c r="KO65" s="53"/>
      <c r="KP65" s="53"/>
      <c r="KQ65" s="53"/>
      <c r="KR65" s="53"/>
      <c r="KS65" s="53"/>
      <c r="KT65" s="53"/>
      <c r="KU65" s="53"/>
      <c r="KV65" s="53"/>
      <c r="KW65" s="53"/>
      <c r="KX65" s="53"/>
      <c r="KY65" s="53"/>
      <c r="KZ65" s="53"/>
      <c r="LA65" s="53"/>
      <c r="LB65" s="53"/>
      <c r="LC65" s="53"/>
      <c r="LD65" s="53"/>
      <c r="LE65" s="53"/>
      <c r="LF65" s="53"/>
      <c r="LG65" s="53"/>
      <c r="LH65" s="53"/>
      <c r="LI65" s="53"/>
      <c r="LJ65" s="53"/>
      <c r="LK65" s="53"/>
      <c r="LL65" s="53"/>
      <c r="LM65" s="53"/>
      <c r="LN65" s="53"/>
      <c r="LO65" s="53"/>
      <c r="LP65" s="53"/>
      <c r="LQ65" s="53"/>
      <c r="LR65" s="53"/>
      <c r="LS65" s="53"/>
      <c r="LT65" s="53"/>
      <c r="LU65" s="53"/>
      <c r="LV65" s="53"/>
      <c r="LW65" s="53"/>
      <c r="LX65" s="53"/>
      <c r="LY65" s="53"/>
      <c r="LZ65" s="53"/>
      <c r="MA65" s="53"/>
      <c r="MB65" s="53"/>
      <c r="MC65" s="53"/>
      <c r="MD65" s="53"/>
      <c r="ME65" s="53"/>
      <c r="MF65" s="53"/>
      <c r="MG65" s="53"/>
      <c r="MH65" s="53"/>
      <c r="MI65" s="53"/>
      <c r="MJ65" s="53"/>
      <c r="MK65" s="53"/>
      <c r="ML65" s="53"/>
      <c r="MM65" s="53"/>
      <c r="MN65" s="53"/>
      <c r="MO65" s="53"/>
      <c r="MP65" s="53"/>
      <c r="MQ65" s="53"/>
      <c r="MR65" s="53"/>
      <c r="MS65" s="53"/>
      <c r="MT65" s="53"/>
      <c r="MU65" s="53"/>
      <c r="MV65" s="53"/>
      <c r="MW65" s="53"/>
      <c r="MX65" s="53"/>
      <c r="MY65" s="53"/>
      <c r="MZ65" s="53"/>
      <c r="NA65" s="53"/>
      <c r="NB65" s="53"/>
      <c r="NC65" s="53"/>
      <c r="ND65" s="53"/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3"/>
      <c r="NS65" s="53"/>
      <c r="NT65" s="53"/>
      <c r="NU65" s="53"/>
      <c r="NV65" s="53"/>
      <c r="NW65" s="53"/>
      <c r="NX65" s="53"/>
      <c r="NY65" s="53"/>
      <c r="NZ65" s="53"/>
      <c r="OA65" s="53"/>
      <c r="OB65" s="53"/>
      <c r="OC65" s="53"/>
      <c r="OD65" s="53"/>
      <c r="OE65" s="53"/>
      <c r="OF65" s="53"/>
      <c r="OG65" s="53"/>
      <c r="OH65" s="53"/>
      <c r="OI65" s="53"/>
      <c r="OJ65" s="53"/>
      <c r="OK65" s="53"/>
      <c r="OL65" s="53"/>
      <c r="OM65" s="53"/>
      <c r="ON65" s="53"/>
      <c r="OO65" s="53"/>
      <c r="OP65" s="53"/>
      <c r="OQ65" s="53"/>
      <c r="OR65" s="53"/>
      <c r="OS65" s="53"/>
      <c r="OT65" s="53"/>
      <c r="OU65" s="53"/>
      <c r="OV65" s="53"/>
      <c r="OW65" s="53"/>
      <c r="OX65" s="53"/>
      <c r="OY65" s="53"/>
      <c r="OZ65" s="53"/>
      <c r="PA65" s="53"/>
      <c r="PB65" s="53"/>
      <c r="PC65" s="53"/>
      <c r="PD65" s="53"/>
      <c r="PE65" s="53"/>
      <c r="PF65" s="53"/>
      <c r="PG65" s="53"/>
      <c r="PH65" s="53"/>
      <c r="PI65" s="53"/>
      <c r="PJ65" s="53"/>
      <c r="PK65" s="53"/>
      <c r="PL65" s="53"/>
      <c r="PM65" s="53"/>
      <c r="PN65" s="53"/>
      <c r="PO65" s="53"/>
      <c r="PP65" s="53"/>
      <c r="PQ65" s="53"/>
      <c r="PR65" s="53"/>
      <c r="PS65" s="53"/>
      <c r="PT65" s="53"/>
      <c r="PU65" s="53"/>
      <c r="PV65" s="53"/>
      <c r="PW65" s="53"/>
      <c r="PX65" s="53"/>
      <c r="PY65" s="53"/>
      <c r="PZ65" s="53"/>
      <c r="QA65" s="53"/>
      <c r="QB65" s="53"/>
      <c r="QC65" s="53"/>
      <c r="QD65" s="53"/>
      <c r="QE65" s="53"/>
      <c r="QF65" s="53"/>
      <c r="QG65" s="53"/>
      <c r="QH65" s="53"/>
      <c r="QI65" s="53"/>
      <c r="QJ65" s="53"/>
      <c r="QK65" s="53"/>
      <c r="QL65" s="53"/>
      <c r="QM65" s="53"/>
      <c r="QN65" s="53"/>
      <c r="QO65" s="53"/>
      <c r="QP65" s="53"/>
      <c r="QQ65" s="53"/>
      <c r="QR65" s="53"/>
      <c r="QS65" s="53"/>
      <c r="QT65" s="53"/>
      <c r="QU65" s="53"/>
      <c r="QV65" s="53"/>
      <c r="QW65" s="53"/>
      <c r="QX65" s="53"/>
      <c r="QY65" s="53"/>
      <c r="QZ65" s="53"/>
      <c r="RA65" s="53"/>
      <c r="RB65" s="53"/>
      <c r="RC65" s="53"/>
      <c r="RD65" s="53"/>
      <c r="RE65" s="53"/>
      <c r="RF65" s="53"/>
      <c r="RG65" s="53"/>
      <c r="RH65" s="53"/>
      <c r="RI65" s="53"/>
      <c r="RJ65" s="53"/>
      <c r="RK65" s="53"/>
      <c r="RL65" s="53"/>
      <c r="RM65" s="53"/>
      <c r="RN65" s="53"/>
      <c r="RO65" s="53"/>
      <c r="RP65" s="53"/>
      <c r="RQ65" s="53"/>
      <c r="RR65" s="53"/>
      <c r="RS65" s="53"/>
      <c r="RT65" s="53"/>
      <c r="RU65" s="53"/>
      <c r="RV65" s="53"/>
      <c r="RW65" s="53"/>
      <c r="RX65" s="53"/>
      <c r="RY65" s="53"/>
      <c r="RZ65" s="53"/>
      <c r="SA65" s="53"/>
      <c r="SB65" s="53"/>
      <c r="SC65" s="53"/>
      <c r="SD65" s="53"/>
      <c r="SE65" s="53"/>
      <c r="SF65" s="53"/>
      <c r="SG65" s="53"/>
      <c r="SH65" s="53"/>
      <c r="SI65" s="53"/>
      <c r="SJ65" s="53"/>
      <c r="SK65" s="53"/>
      <c r="SL65" s="53"/>
      <c r="SM65" s="53"/>
      <c r="SN65" s="53"/>
      <c r="SO65" s="53"/>
      <c r="SP65" s="53"/>
      <c r="SQ65" s="53"/>
      <c r="SR65" s="53"/>
      <c r="SS65" s="53"/>
      <c r="ST65" s="53"/>
      <c r="SU65" s="53"/>
      <c r="SV65" s="53"/>
      <c r="SW65" s="53"/>
      <c r="SX65" s="53"/>
      <c r="SY65" s="53"/>
      <c r="SZ65" s="53"/>
      <c r="TA65" s="53"/>
      <c r="TB65" s="53"/>
      <c r="TC65" s="53"/>
      <c r="TD65" s="53"/>
      <c r="TE65" s="53"/>
      <c r="TF65" s="53"/>
      <c r="TG65" s="53"/>
      <c r="TH65" s="53"/>
      <c r="TI65" s="53"/>
      <c r="TJ65" s="53"/>
      <c r="TK65" s="53"/>
      <c r="TL65" s="53"/>
      <c r="TM65" s="53"/>
      <c r="TN65" s="53"/>
      <c r="TO65" s="53"/>
      <c r="TP65" s="53"/>
      <c r="TQ65" s="53"/>
      <c r="TR65" s="53"/>
      <c r="TS65" s="53"/>
      <c r="TT65" s="53"/>
      <c r="TU65" s="53"/>
      <c r="TV65" s="53"/>
      <c r="TW65" s="53"/>
      <c r="TX65" s="53"/>
      <c r="TY65" s="53"/>
      <c r="TZ65" s="53"/>
      <c r="UA65" s="53"/>
      <c r="UB65" s="53"/>
      <c r="UC65" s="53"/>
      <c r="UD65" s="53"/>
      <c r="UE65" s="53"/>
      <c r="UF65" s="53"/>
      <c r="UG65" s="53"/>
      <c r="UH65" s="53"/>
      <c r="UI65" s="53"/>
      <c r="UJ65" s="53"/>
      <c r="UK65" s="53"/>
      <c r="UL65" s="53"/>
      <c r="UM65" s="53"/>
      <c r="UN65" s="53"/>
      <c r="UO65" s="53"/>
      <c r="UP65" s="53"/>
      <c r="UQ65" s="53"/>
      <c r="UR65" s="53"/>
      <c r="US65" s="53"/>
      <c r="UT65" s="53"/>
      <c r="UU65" s="53"/>
      <c r="UV65" s="53"/>
      <c r="UW65" s="53"/>
      <c r="UX65" s="53"/>
      <c r="UY65" s="53"/>
      <c r="UZ65" s="53"/>
      <c r="VA65" s="53"/>
      <c r="VB65" s="53"/>
      <c r="VC65" s="53"/>
      <c r="VD65" s="53"/>
      <c r="VE65" s="53"/>
      <c r="VF65" s="53"/>
      <c r="VG65" s="53"/>
      <c r="VH65" s="53"/>
      <c r="VI65" s="53"/>
      <c r="VJ65" s="53"/>
      <c r="VK65" s="53"/>
      <c r="VL65" s="53"/>
    </row>
    <row r="66" spans="1:584" s="47" customFormat="1" ht="26.25" customHeight="1" x14ac:dyDescent="0.25">
      <c r="A66" s="45" t="s">
        <v>397</v>
      </c>
      <c r="B66" s="91" t="str">
        <f>'дод 3'!A30</f>
        <v>1161</v>
      </c>
      <c r="C66" s="91" t="str">
        <f>'дод 3'!B30</f>
        <v>0990</v>
      </c>
      <c r="D66" s="48" t="s">
        <v>368</v>
      </c>
      <c r="E66" s="115">
        <v>8216180</v>
      </c>
      <c r="F66" s="115">
        <f>6061800+966164-1166764</f>
        <v>5861200</v>
      </c>
      <c r="G66" s="115">
        <f>603390+704-92060+895+29300</f>
        <v>542229</v>
      </c>
      <c r="H66" s="115">
        <v>8077847.71</v>
      </c>
      <c r="I66" s="115">
        <v>5860997.4100000001</v>
      </c>
      <c r="J66" s="115">
        <v>480950.68</v>
      </c>
      <c r="K66" s="164">
        <f t="shared" si="3"/>
        <v>98.316342996380314</v>
      </c>
      <c r="L66" s="115">
        <f t="shared" ref="L66:L122" si="16">N66+Q66</f>
        <v>148000</v>
      </c>
      <c r="M66" s="115">
        <f>170000+8000-30000</f>
        <v>148000</v>
      </c>
      <c r="N66" s="115"/>
      <c r="O66" s="115"/>
      <c r="P66" s="115"/>
      <c r="Q66" s="115">
        <f>170000+8000-30000</f>
        <v>148000</v>
      </c>
      <c r="R66" s="115">
        <f t="shared" si="7"/>
        <v>454201.98</v>
      </c>
      <c r="S66" s="115">
        <v>146056.01999999999</v>
      </c>
      <c r="T66" s="115">
        <v>195224.87</v>
      </c>
      <c r="U66" s="115"/>
      <c r="V66" s="115"/>
      <c r="W66" s="115">
        <v>258977.11</v>
      </c>
      <c r="X66" s="166">
        <f t="shared" si="5"/>
        <v>306.89322972972974</v>
      </c>
      <c r="Y66" s="115">
        <f t="shared" si="15"/>
        <v>8532049.6899999995</v>
      </c>
      <c r="Z66" s="187"/>
      <c r="AA66" s="53"/>
      <c r="AB66" s="53"/>
      <c r="AC66" s="53"/>
      <c r="AD66" s="53"/>
      <c r="AE66" s="79"/>
      <c r="AF66" s="79"/>
      <c r="AG66" s="79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  <c r="IW66" s="53"/>
      <c r="IX66" s="53"/>
      <c r="IY66" s="53"/>
      <c r="IZ66" s="53"/>
      <c r="JA66" s="53"/>
      <c r="JB66" s="53"/>
      <c r="JC66" s="53"/>
      <c r="JD66" s="53"/>
      <c r="JE66" s="53"/>
      <c r="JF66" s="53"/>
      <c r="JG66" s="53"/>
      <c r="JH66" s="53"/>
      <c r="JI66" s="53"/>
      <c r="JJ66" s="53"/>
      <c r="JK66" s="53"/>
      <c r="JL66" s="53"/>
      <c r="JM66" s="53"/>
      <c r="JN66" s="53"/>
      <c r="JO66" s="53"/>
      <c r="JP66" s="53"/>
      <c r="JQ66" s="53"/>
      <c r="JR66" s="53"/>
      <c r="JS66" s="53"/>
      <c r="JT66" s="53"/>
      <c r="JU66" s="53"/>
      <c r="JV66" s="53"/>
      <c r="JW66" s="53"/>
      <c r="JX66" s="53"/>
      <c r="JY66" s="53"/>
      <c r="JZ66" s="53"/>
      <c r="KA66" s="53"/>
      <c r="KB66" s="53"/>
      <c r="KC66" s="53"/>
      <c r="KD66" s="53"/>
      <c r="KE66" s="53"/>
      <c r="KF66" s="53"/>
      <c r="KG66" s="53"/>
      <c r="KH66" s="53"/>
      <c r="KI66" s="53"/>
      <c r="KJ66" s="53"/>
      <c r="KK66" s="53"/>
      <c r="KL66" s="53"/>
      <c r="KM66" s="53"/>
      <c r="KN66" s="53"/>
      <c r="KO66" s="53"/>
      <c r="KP66" s="53"/>
      <c r="KQ66" s="53"/>
      <c r="KR66" s="53"/>
      <c r="KS66" s="53"/>
      <c r="KT66" s="53"/>
      <c r="KU66" s="53"/>
      <c r="KV66" s="53"/>
      <c r="KW66" s="53"/>
      <c r="KX66" s="53"/>
      <c r="KY66" s="53"/>
      <c r="KZ66" s="53"/>
      <c r="LA66" s="53"/>
      <c r="LB66" s="53"/>
      <c r="LC66" s="53"/>
      <c r="LD66" s="53"/>
      <c r="LE66" s="53"/>
      <c r="LF66" s="53"/>
      <c r="LG66" s="53"/>
      <c r="LH66" s="53"/>
      <c r="LI66" s="53"/>
      <c r="LJ66" s="53"/>
      <c r="LK66" s="53"/>
      <c r="LL66" s="53"/>
      <c r="LM66" s="53"/>
      <c r="LN66" s="53"/>
      <c r="LO66" s="53"/>
      <c r="LP66" s="53"/>
      <c r="LQ66" s="53"/>
      <c r="LR66" s="53"/>
      <c r="LS66" s="53"/>
      <c r="LT66" s="53"/>
      <c r="LU66" s="53"/>
      <c r="LV66" s="53"/>
      <c r="LW66" s="53"/>
      <c r="LX66" s="53"/>
      <c r="LY66" s="53"/>
      <c r="LZ66" s="53"/>
      <c r="MA66" s="53"/>
      <c r="MB66" s="53"/>
      <c r="MC66" s="53"/>
      <c r="MD66" s="53"/>
      <c r="ME66" s="53"/>
      <c r="MF66" s="53"/>
      <c r="MG66" s="53"/>
      <c r="MH66" s="53"/>
      <c r="MI66" s="53"/>
      <c r="MJ66" s="53"/>
      <c r="MK66" s="53"/>
      <c r="ML66" s="53"/>
      <c r="MM66" s="53"/>
      <c r="MN66" s="53"/>
      <c r="MO66" s="53"/>
      <c r="MP66" s="53"/>
      <c r="MQ66" s="53"/>
      <c r="MR66" s="53"/>
      <c r="MS66" s="53"/>
      <c r="MT66" s="53"/>
      <c r="MU66" s="53"/>
      <c r="MV66" s="53"/>
      <c r="MW66" s="53"/>
      <c r="MX66" s="53"/>
      <c r="MY66" s="53"/>
      <c r="MZ66" s="53"/>
      <c r="NA66" s="53"/>
      <c r="NB66" s="53"/>
      <c r="NC66" s="53"/>
      <c r="ND66" s="53"/>
      <c r="NE66" s="53"/>
      <c r="NF66" s="53"/>
      <c r="NG66" s="53"/>
      <c r="NH66" s="53"/>
      <c r="NI66" s="53"/>
      <c r="NJ66" s="53"/>
      <c r="NK66" s="53"/>
      <c r="NL66" s="53"/>
      <c r="NM66" s="53"/>
      <c r="NN66" s="53"/>
      <c r="NO66" s="53"/>
      <c r="NP66" s="53"/>
      <c r="NQ66" s="53"/>
      <c r="NR66" s="53"/>
      <c r="NS66" s="53"/>
      <c r="NT66" s="53"/>
      <c r="NU66" s="53"/>
      <c r="NV66" s="53"/>
      <c r="NW66" s="53"/>
      <c r="NX66" s="53"/>
      <c r="NY66" s="53"/>
      <c r="NZ66" s="53"/>
      <c r="OA66" s="53"/>
      <c r="OB66" s="53"/>
      <c r="OC66" s="53"/>
      <c r="OD66" s="53"/>
      <c r="OE66" s="53"/>
      <c r="OF66" s="53"/>
      <c r="OG66" s="53"/>
      <c r="OH66" s="53"/>
      <c r="OI66" s="53"/>
      <c r="OJ66" s="53"/>
      <c r="OK66" s="53"/>
      <c r="OL66" s="53"/>
      <c r="OM66" s="53"/>
      <c r="ON66" s="53"/>
      <c r="OO66" s="53"/>
      <c r="OP66" s="53"/>
      <c r="OQ66" s="53"/>
      <c r="OR66" s="53"/>
      <c r="OS66" s="53"/>
      <c r="OT66" s="53"/>
      <c r="OU66" s="53"/>
      <c r="OV66" s="53"/>
      <c r="OW66" s="53"/>
      <c r="OX66" s="53"/>
      <c r="OY66" s="53"/>
      <c r="OZ66" s="53"/>
      <c r="PA66" s="53"/>
      <c r="PB66" s="53"/>
      <c r="PC66" s="53"/>
      <c r="PD66" s="53"/>
      <c r="PE66" s="53"/>
      <c r="PF66" s="53"/>
      <c r="PG66" s="53"/>
      <c r="PH66" s="53"/>
      <c r="PI66" s="53"/>
      <c r="PJ66" s="53"/>
      <c r="PK66" s="53"/>
      <c r="PL66" s="53"/>
      <c r="PM66" s="53"/>
      <c r="PN66" s="53"/>
      <c r="PO66" s="53"/>
      <c r="PP66" s="53"/>
      <c r="PQ66" s="53"/>
      <c r="PR66" s="53"/>
      <c r="PS66" s="53"/>
      <c r="PT66" s="53"/>
      <c r="PU66" s="53"/>
      <c r="PV66" s="53"/>
      <c r="PW66" s="53"/>
      <c r="PX66" s="53"/>
      <c r="PY66" s="53"/>
      <c r="PZ66" s="53"/>
      <c r="QA66" s="53"/>
      <c r="QB66" s="53"/>
      <c r="QC66" s="53"/>
      <c r="QD66" s="53"/>
      <c r="QE66" s="53"/>
      <c r="QF66" s="53"/>
      <c r="QG66" s="53"/>
      <c r="QH66" s="53"/>
      <c r="QI66" s="53"/>
      <c r="QJ66" s="53"/>
      <c r="QK66" s="53"/>
      <c r="QL66" s="53"/>
      <c r="QM66" s="53"/>
      <c r="QN66" s="53"/>
      <c r="QO66" s="53"/>
      <c r="QP66" s="53"/>
      <c r="QQ66" s="53"/>
      <c r="QR66" s="53"/>
      <c r="QS66" s="53"/>
      <c r="QT66" s="53"/>
      <c r="QU66" s="53"/>
      <c r="QV66" s="53"/>
      <c r="QW66" s="53"/>
      <c r="QX66" s="53"/>
      <c r="QY66" s="53"/>
      <c r="QZ66" s="53"/>
      <c r="RA66" s="53"/>
      <c r="RB66" s="53"/>
      <c r="RC66" s="53"/>
      <c r="RD66" s="53"/>
      <c r="RE66" s="53"/>
      <c r="RF66" s="53"/>
      <c r="RG66" s="53"/>
      <c r="RH66" s="53"/>
      <c r="RI66" s="53"/>
      <c r="RJ66" s="53"/>
      <c r="RK66" s="53"/>
      <c r="RL66" s="53"/>
      <c r="RM66" s="53"/>
      <c r="RN66" s="53"/>
      <c r="RO66" s="53"/>
      <c r="RP66" s="53"/>
      <c r="RQ66" s="53"/>
      <c r="RR66" s="53"/>
      <c r="RS66" s="53"/>
      <c r="RT66" s="53"/>
      <c r="RU66" s="53"/>
      <c r="RV66" s="53"/>
      <c r="RW66" s="53"/>
      <c r="RX66" s="53"/>
      <c r="RY66" s="53"/>
      <c r="RZ66" s="53"/>
      <c r="SA66" s="53"/>
      <c r="SB66" s="53"/>
      <c r="SC66" s="53"/>
      <c r="SD66" s="53"/>
      <c r="SE66" s="53"/>
      <c r="SF66" s="53"/>
      <c r="SG66" s="53"/>
      <c r="SH66" s="53"/>
      <c r="SI66" s="53"/>
      <c r="SJ66" s="53"/>
      <c r="SK66" s="53"/>
      <c r="SL66" s="53"/>
      <c r="SM66" s="53"/>
      <c r="SN66" s="53"/>
      <c r="SO66" s="53"/>
      <c r="SP66" s="53"/>
      <c r="SQ66" s="53"/>
      <c r="SR66" s="53"/>
      <c r="SS66" s="53"/>
      <c r="ST66" s="53"/>
      <c r="SU66" s="53"/>
      <c r="SV66" s="53"/>
      <c r="SW66" s="53"/>
      <c r="SX66" s="53"/>
      <c r="SY66" s="53"/>
      <c r="SZ66" s="53"/>
      <c r="TA66" s="53"/>
      <c r="TB66" s="53"/>
      <c r="TC66" s="53"/>
      <c r="TD66" s="53"/>
      <c r="TE66" s="53"/>
      <c r="TF66" s="53"/>
      <c r="TG66" s="53"/>
      <c r="TH66" s="53"/>
      <c r="TI66" s="53"/>
      <c r="TJ66" s="53"/>
      <c r="TK66" s="53"/>
      <c r="TL66" s="53"/>
      <c r="TM66" s="53"/>
      <c r="TN66" s="53"/>
      <c r="TO66" s="53"/>
      <c r="TP66" s="53"/>
      <c r="TQ66" s="53"/>
      <c r="TR66" s="53"/>
      <c r="TS66" s="53"/>
      <c r="TT66" s="53"/>
      <c r="TU66" s="53"/>
      <c r="TV66" s="53"/>
      <c r="TW66" s="53"/>
      <c r="TX66" s="53"/>
      <c r="TY66" s="53"/>
      <c r="TZ66" s="53"/>
      <c r="UA66" s="53"/>
      <c r="UB66" s="53"/>
      <c r="UC66" s="53"/>
      <c r="UD66" s="53"/>
      <c r="UE66" s="53"/>
      <c r="UF66" s="53"/>
      <c r="UG66" s="53"/>
      <c r="UH66" s="53"/>
      <c r="UI66" s="53"/>
      <c r="UJ66" s="53"/>
      <c r="UK66" s="53"/>
      <c r="UL66" s="53"/>
      <c r="UM66" s="53"/>
      <c r="UN66" s="53"/>
      <c r="UO66" s="53"/>
      <c r="UP66" s="53"/>
      <c r="UQ66" s="53"/>
      <c r="UR66" s="53"/>
      <c r="US66" s="53"/>
      <c r="UT66" s="53"/>
      <c r="UU66" s="53"/>
      <c r="UV66" s="53"/>
      <c r="UW66" s="53"/>
      <c r="UX66" s="53"/>
      <c r="UY66" s="53"/>
      <c r="UZ66" s="53"/>
      <c r="VA66" s="53"/>
      <c r="VB66" s="53"/>
      <c r="VC66" s="53"/>
      <c r="VD66" s="53"/>
      <c r="VE66" s="53"/>
      <c r="VF66" s="53"/>
      <c r="VG66" s="53"/>
      <c r="VH66" s="53"/>
      <c r="VI66" s="53"/>
      <c r="VJ66" s="53"/>
      <c r="VK66" s="53"/>
      <c r="VL66" s="53"/>
    </row>
    <row r="67" spans="1:584" s="47" customFormat="1" ht="15" hidden="1" customHeight="1" x14ac:dyDescent="0.25">
      <c r="A67" s="45"/>
      <c r="B67" s="91"/>
      <c r="C67" s="91"/>
      <c r="D67" s="46" t="s">
        <v>342</v>
      </c>
      <c r="E67" s="115">
        <v>0</v>
      </c>
      <c r="F67" s="115">
        <f>966164-966164</f>
        <v>0</v>
      </c>
      <c r="G67" s="115"/>
      <c r="H67" s="115"/>
      <c r="I67" s="115"/>
      <c r="J67" s="115"/>
      <c r="K67" s="164" t="e">
        <f t="shared" si="3"/>
        <v>#DIV/0!</v>
      </c>
      <c r="L67" s="115">
        <f t="shared" si="16"/>
        <v>0</v>
      </c>
      <c r="M67" s="115"/>
      <c r="N67" s="115"/>
      <c r="O67" s="115"/>
      <c r="P67" s="115"/>
      <c r="Q67" s="115"/>
      <c r="R67" s="115">
        <f t="shared" si="7"/>
        <v>0</v>
      </c>
      <c r="S67" s="115"/>
      <c r="T67" s="115"/>
      <c r="U67" s="115"/>
      <c r="V67" s="115"/>
      <c r="W67" s="115"/>
      <c r="X67" s="149" t="e">
        <f t="shared" si="5"/>
        <v>#DIV/0!</v>
      </c>
      <c r="Y67" s="115">
        <f t="shared" si="15"/>
        <v>0</v>
      </c>
      <c r="Z67" s="187"/>
      <c r="AA67" s="53"/>
      <c r="AB67" s="53"/>
      <c r="AC67" s="53"/>
      <c r="AD67" s="53"/>
      <c r="AE67" s="79"/>
      <c r="AF67" s="79"/>
      <c r="AG67" s="79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53"/>
      <c r="JJ67" s="53"/>
      <c r="JK67" s="53"/>
      <c r="JL67" s="53"/>
      <c r="JM67" s="53"/>
      <c r="JN67" s="53"/>
      <c r="JO67" s="53"/>
      <c r="JP67" s="53"/>
      <c r="JQ67" s="53"/>
      <c r="JR67" s="53"/>
      <c r="JS67" s="53"/>
      <c r="JT67" s="53"/>
      <c r="JU67" s="53"/>
      <c r="JV67" s="53"/>
      <c r="JW67" s="53"/>
      <c r="JX67" s="53"/>
      <c r="JY67" s="53"/>
      <c r="JZ67" s="53"/>
      <c r="KA67" s="53"/>
      <c r="KB67" s="53"/>
      <c r="KC67" s="53"/>
      <c r="KD67" s="53"/>
      <c r="KE67" s="53"/>
      <c r="KF67" s="53"/>
      <c r="KG67" s="53"/>
      <c r="KH67" s="53"/>
      <c r="KI67" s="53"/>
      <c r="KJ67" s="53"/>
      <c r="KK67" s="53"/>
      <c r="KL67" s="53"/>
      <c r="KM67" s="53"/>
      <c r="KN67" s="53"/>
      <c r="KO67" s="53"/>
      <c r="KP67" s="53"/>
      <c r="KQ67" s="53"/>
      <c r="KR67" s="53"/>
      <c r="KS67" s="53"/>
      <c r="KT67" s="53"/>
      <c r="KU67" s="53"/>
      <c r="KV67" s="53"/>
      <c r="KW67" s="53"/>
      <c r="KX67" s="53"/>
      <c r="KY67" s="53"/>
      <c r="KZ67" s="53"/>
      <c r="LA67" s="53"/>
      <c r="LB67" s="53"/>
      <c r="LC67" s="53"/>
      <c r="LD67" s="53"/>
      <c r="LE67" s="53"/>
      <c r="LF67" s="53"/>
      <c r="LG67" s="53"/>
      <c r="LH67" s="53"/>
      <c r="LI67" s="53"/>
      <c r="LJ67" s="53"/>
      <c r="LK67" s="53"/>
      <c r="LL67" s="53"/>
      <c r="LM67" s="53"/>
      <c r="LN67" s="53"/>
      <c r="LO67" s="53"/>
      <c r="LP67" s="53"/>
      <c r="LQ67" s="53"/>
      <c r="LR67" s="53"/>
      <c r="LS67" s="53"/>
      <c r="LT67" s="53"/>
      <c r="LU67" s="53"/>
      <c r="LV67" s="53"/>
      <c r="LW67" s="53"/>
      <c r="LX67" s="53"/>
      <c r="LY67" s="53"/>
      <c r="LZ67" s="53"/>
      <c r="MA67" s="53"/>
      <c r="MB67" s="53"/>
      <c r="MC67" s="53"/>
      <c r="MD67" s="53"/>
      <c r="ME67" s="53"/>
      <c r="MF67" s="53"/>
      <c r="MG67" s="53"/>
      <c r="MH67" s="53"/>
      <c r="MI67" s="53"/>
      <c r="MJ67" s="53"/>
      <c r="MK67" s="53"/>
      <c r="ML67" s="53"/>
      <c r="MM67" s="53"/>
      <c r="MN67" s="53"/>
      <c r="MO67" s="53"/>
      <c r="MP67" s="53"/>
      <c r="MQ67" s="53"/>
      <c r="MR67" s="53"/>
      <c r="MS67" s="53"/>
      <c r="MT67" s="53"/>
      <c r="MU67" s="53"/>
      <c r="MV67" s="53"/>
      <c r="MW67" s="53"/>
      <c r="MX67" s="53"/>
      <c r="MY67" s="53"/>
      <c r="MZ67" s="53"/>
      <c r="NA67" s="53"/>
      <c r="NB67" s="53"/>
      <c r="NC67" s="53"/>
      <c r="ND67" s="53"/>
      <c r="NE67" s="53"/>
      <c r="NF67" s="53"/>
      <c r="NG67" s="53"/>
      <c r="NH67" s="53"/>
      <c r="NI67" s="53"/>
      <c r="NJ67" s="53"/>
      <c r="NK67" s="53"/>
      <c r="NL67" s="53"/>
      <c r="NM67" s="53"/>
      <c r="NN67" s="53"/>
      <c r="NO67" s="53"/>
      <c r="NP67" s="53"/>
      <c r="NQ67" s="53"/>
      <c r="NR67" s="53"/>
      <c r="NS67" s="53"/>
      <c r="NT67" s="53"/>
      <c r="NU67" s="53"/>
      <c r="NV67" s="53"/>
      <c r="NW67" s="53"/>
      <c r="NX67" s="53"/>
      <c r="NY67" s="53"/>
      <c r="NZ67" s="53"/>
      <c r="OA67" s="53"/>
      <c r="OB67" s="53"/>
      <c r="OC67" s="53"/>
      <c r="OD67" s="53"/>
      <c r="OE67" s="53"/>
      <c r="OF67" s="53"/>
      <c r="OG67" s="53"/>
      <c r="OH67" s="53"/>
      <c r="OI67" s="53"/>
      <c r="OJ67" s="53"/>
      <c r="OK67" s="53"/>
      <c r="OL67" s="53"/>
      <c r="OM67" s="53"/>
      <c r="ON67" s="53"/>
      <c r="OO67" s="53"/>
      <c r="OP67" s="53"/>
      <c r="OQ67" s="53"/>
      <c r="OR67" s="53"/>
      <c r="OS67" s="53"/>
      <c r="OT67" s="53"/>
      <c r="OU67" s="53"/>
      <c r="OV67" s="53"/>
      <c r="OW67" s="53"/>
      <c r="OX67" s="53"/>
      <c r="OY67" s="53"/>
      <c r="OZ67" s="53"/>
      <c r="PA67" s="53"/>
      <c r="PB67" s="53"/>
      <c r="PC67" s="53"/>
      <c r="PD67" s="53"/>
      <c r="PE67" s="53"/>
      <c r="PF67" s="53"/>
      <c r="PG67" s="53"/>
      <c r="PH67" s="53"/>
      <c r="PI67" s="53"/>
      <c r="PJ67" s="53"/>
      <c r="PK67" s="53"/>
      <c r="PL67" s="53"/>
      <c r="PM67" s="53"/>
      <c r="PN67" s="53"/>
      <c r="PO67" s="53"/>
      <c r="PP67" s="53"/>
      <c r="PQ67" s="53"/>
      <c r="PR67" s="53"/>
      <c r="PS67" s="53"/>
      <c r="PT67" s="53"/>
      <c r="PU67" s="53"/>
      <c r="PV67" s="53"/>
      <c r="PW67" s="53"/>
      <c r="PX67" s="53"/>
      <c r="PY67" s="53"/>
      <c r="PZ67" s="53"/>
      <c r="QA67" s="53"/>
      <c r="QB67" s="53"/>
      <c r="QC67" s="53"/>
      <c r="QD67" s="53"/>
      <c r="QE67" s="53"/>
      <c r="QF67" s="53"/>
      <c r="QG67" s="53"/>
      <c r="QH67" s="53"/>
      <c r="QI67" s="53"/>
      <c r="QJ67" s="53"/>
      <c r="QK67" s="53"/>
      <c r="QL67" s="53"/>
      <c r="QM67" s="53"/>
      <c r="QN67" s="53"/>
      <c r="QO67" s="53"/>
      <c r="QP67" s="53"/>
      <c r="QQ67" s="53"/>
      <c r="QR67" s="53"/>
      <c r="QS67" s="53"/>
      <c r="QT67" s="53"/>
      <c r="QU67" s="53"/>
      <c r="QV67" s="53"/>
      <c r="QW67" s="53"/>
      <c r="QX67" s="53"/>
      <c r="QY67" s="53"/>
      <c r="QZ67" s="53"/>
      <c r="RA67" s="53"/>
      <c r="RB67" s="53"/>
      <c r="RC67" s="53"/>
      <c r="RD67" s="53"/>
      <c r="RE67" s="53"/>
      <c r="RF67" s="53"/>
      <c r="RG67" s="53"/>
      <c r="RH67" s="53"/>
      <c r="RI67" s="53"/>
      <c r="RJ67" s="53"/>
      <c r="RK67" s="53"/>
      <c r="RL67" s="53"/>
      <c r="RM67" s="53"/>
      <c r="RN67" s="53"/>
      <c r="RO67" s="53"/>
      <c r="RP67" s="53"/>
      <c r="RQ67" s="53"/>
      <c r="RR67" s="53"/>
      <c r="RS67" s="53"/>
      <c r="RT67" s="53"/>
      <c r="RU67" s="53"/>
      <c r="RV67" s="53"/>
      <c r="RW67" s="53"/>
      <c r="RX67" s="53"/>
      <c r="RY67" s="53"/>
      <c r="RZ67" s="53"/>
      <c r="SA67" s="53"/>
      <c r="SB67" s="53"/>
      <c r="SC67" s="53"/>
      <c r="SD67" s="53"/>
      <c r="SE67" s="53"/>
      <c r="SF67" s="53"/>
      <c r="SG67" s="53"/>
      <c r="SH67" s="53"/>
      <c r="SI67" s="53"/>
      <c r="SJ67" s="53"/>
      <c r="SK67" s="53"/>
      <c r="SL67" s="53"/>
      <c r="SM67" s="53"/>
      <c r="SN67" s="53"/>
      <c r="SO67" s="53"/>
      <c r="SP67" s="53"/>
      <c r="SQ67" s="53"/>
      <c r="SR67" s="53"/>
      <c r="SS67" s="53"/>
      <c r="ST67" s="53"/>
      <c r="SU67" s="53"/>
      <c r="SV67" s="53"/>
      <c r="SW67" s="53"/>
      <c r="SX67" s="53"/>
      <c r="SY67" s="53"/>
      <c r="SZ67" s="53"/>
      <c r="TA67" s="53"/>
      <c r="TB67" s="53"/>
      <c r="TC67" s="53"/>
      <c r="TD67" s="53"/>
      <c r="TE67" s="53"/>
      <c r="TF67" s="53"/>
      <c r="TG67" s="53"/>
      <c r="TH67" s="53"/>
      <c r="TI67" s="53"/>
      <c r="TJ67" s="53"/>
      <c r="TK67" s="53"/>
      <c r="TL67" s="53"/>
      <c r="TM67" s="53"/>
      <c r="TN67" s="53"/>
      <c r="TO67" s="53"/>
      <c r="TP67" s="53"/>
      <c r="TQ67" s="53"/>
      <c r="TR67" s="53"/>
      <c r="TS67" s="53"/>
      <c r="TT67" s="53"/>
      <c r="TU67" s="53"/>
      <c r="TV67" s="53"/>
      <c r="TW67" s="53"/>
      <c r="TX67" s="53"/>
      <c r="TY67" s="53"/>
      <c r="TZ67" s="53"/>
      <c r="UA67" s="53"/>
      <c r="UB67" s="53"/>
      <c r="UC67" s="53"/>
      <c r="UD67" s="53"/>
      <c r="UE67" s="53"/>
      <c r="UF67" s="53"/>
      <c r="UG67" s="53"/>
      <c r="UH67" s="53"/>
      <c r="UI67" s="53"/>
      <c r="UJ67" s="53"/>
      <c r="UK67" s="53"/>
      <c r="UL67" s="53"/>
      <c r="UM67" s="53"/>
      <c r="UN67" s="53"/>
      <c r="UO67" s="53"/>
      <c r="UP67" s="53"/>
      <c r="UQ67" s="53"/>
      <c r="UR67" s="53"/>
      <c r="US67" s="53"/>
      <c r="UT67" s="53"/>
      <c r="UU67" s="53"/>
      <c r="UV67" s="53"/>
      <c r="UW67" s="53"/>
      <c r="UX67" s="53"/>
      <c r="UY67" s="53"/>
      <c r="UZ67" s="53"/>
      <c r="VA67" s="53"/>
      <c r="VB67" s="53"/>
      <c r="VC67" s="53"/>
      <c r="VD67" s="53"/>
      <c r="VE67" s="53"/>
      <c r="VF67" s="53"/>
      <c r="VG67" s="53"/>
      <c r="VH67" s="53"/>
      <c r="VI67" s="53"/>
      <c r="VJ67" s="53"/>
      <c r="VK67" s="53"/>
      <c r="VL67" s="53"/>
    </row>
    <row r="68" spans="1:584" s="47" customFormat="1" ht="20.25" customHeight="1" x14ac:dyDescent="0.25">
      <c r="A68" s="45" t="s">
        <v>398</v>
      </c>
      <c r="B68" s="91" t="str">
        <f>'дод 3'!A32</f>
        <v>1162</v>
      </c>
      <c r="C68" s="91" t="str">
        <f>'дод 3'!B32</f>
        <v>0990</v>
      </c>
      <c r="D68" s="48" t="str">
        <f>'дод 3'!C32</f>
        <v>Інші програми та заходи у сфері освіти</v>
      </c>
      <c r="E68" s="115">
        <v>90400</v>
      </c>
      <c r="F68" s="115"/>
      <c r="G68" s="115"/>
      <c r="H68" s="115">
        <v>90000</v>
      </c>
      <c r="I68" s="115"/>
      <c r="J68" s="115"/>
      <c r="K68" s="164">
        <f t="shared" si="3"/>
        <v>99.557522123893804</v>
      </c>
      <c r="L68" s="115">
        <f t="shared" si="16"/>
        <v>0</v>
      </c>
      <c r="M68" s="115"/>
      <c r="N68" s="115"/>
      <c r="O68" s="115"/>
      <c r="P68" s="115"/>
      <c r="Q68" s="115"/>
      <c r="R68" s="115">
        <f t="shared" si="7"/>
        <v>0</v>
      </c>
      <c r="S68" s="115"/>
      <c r="T68" s="115"/>
      <c r="U68" s="115"/>
      <c r="V68" s="115"/>
      <c r="W68" s="115"/>
      <c r="X68" s="149"/>
      <c r="Y68" s="115">
        <f t="shared" si="15"/>
        <v>90000</v>
      </c>
      <c r="Z68" s="187"/>
      <c r="AA68" s="53"/>
      <c r="AB68" s="53"/>
      <c r="AC68" s="53"/>
      <c r="AD68" s="53"/>
      <c r="AE68" s="79"/>
      <c r="AF68" s="79"/>
      <c r="AG68" s="79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53"/>
      <c r="JJ68" s="53"/>
      <c r="JK68" s="53"/>
      <c r="JL68" s="53"/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/>
      <c r="KA68" s="53"/>
      <c r="KB68" s="53"/>
      <c r="KC68" s="53"/>
      <c r="KD68" s="53"/>
      <c r="KE68" s="53"/>
      <c r="KF68" s="53"/>
      <c r="KG68" s="53"/>
      <c r="KH68" s="53"/>
      <c r="KI68" s="53"/>
      <c r="KJ68" s="53"/>
      <c r="KK68" s="53"/>
      <c r="KL68" s="53"/>
      <c r="KM68" s="53"/>
      <c r="KN68" s="53"/>
      <c r="KO68" s="53"/>
      <c r="KP68" s="53"/>
      <c r="KQ68" s="53"/>
      <c r="KR68" s="53"/>
      <c r="KS68" s="53"/>
      <c r="KT68" s="53"/>
      <c r="KU68" s="53"/>
      <c r="KV68" s="53"/>
      <c r="KW68" s="53"/>
      <c r="KX68" s="53"/>
      <c r="KY68" s="53"/>
      <c r="KZ68" s="53"/>
      <c r="LA68" s="53"/>
      <c r="LB68" s="53"/>
      <c r="LC68" s="53"/>
      <c r="LD68" s="53"/>
      <c r="LE68" s="53"/>
      <c r="LF68" s="53"/>
      <c r="LG68" s="53"/>
      <c r="LH68" s="53"/>
      <c r="LI68" s="53"/>
      <c r="LJ68" s="53"/>
      <c r="LK68" s="53"/>
      <c r="LL68" s="53"/>
      <c r="LM68" s="53"/>
      <c r="LN68" s="53"/>
      <c r="LO68" s="53"/>
      <c r="LP68" s="53"/>
      <c r="LQ68" s="53"/>
      <c r="LR68" s="53"/>
      <c r="LS68" s="53"/>
      <c r="LT68" s="53"/>
      <c r="LU68" s="53"/>
      <c r="LV68" s="53"/>
      <c r="LW68" s="53"/>
      <c r="LX68" s="53"/>
      <c r="LY68" s="53"/>
      <c r="LZ68" s="53"/>
      <c r="MA68" s="53"/>
      <c r="MB68" s="53"/>
      <c r="MC68" s="53"/>
      <c r="MD68" s="53"/>
      <c r="ME68" s="53"/>
      <c r="MF68" s="53"/>
      <c r="MG68" s="53"/>
      <c r="MH68" s="53"/>
      <c r="MI68" s="53"/>
      <c r="MJ68" s="53"/>
      <c r="MK68" s="53"/>
      <c r="ML68" s="53"/>
      <c r="MM68" s="53"/>
      <c r="MN68" s="53"/>
      <c r="MO68" s="53"/>
      <c r="MP68" s="53"/>
      <c r="MQ68" s="53"/>
      <c r="MR68" s="53"/>
      <c r="MS68" s="53"/>
      <c r="MT68" s="53"/>
      <c r="MU68" s="53"/>
      <c r="MV68" s="53"/>
      <c r="MW68" s="53"/>
      <c r="MX68" s="53"/>
      <c r="MY68" s="53"/>
      <c r="MZ68" s="53"/>
      <c r="NA68" s="53"/>
      <c r="NB68" s="53"/>
      <c r="NC68" s="53"/>
      <c r="ND68" s="53"/>
      <c r="NE68" s="53"/>
      <c r="NF68" s="53"/>
      <c r="NG68" s="53"/>
      <c r="NH68" s="53"/>
      <c r="NI68" s="53"/>
      <c r="NJ68" s="53"/>
      <c r="NK68" s="53"/>
      <c r="NL68" s="53"/>
      <c r="NM68" s="53"/>
      <c r="NN68" s="53"/>
      <c r="NO68" s="53"/>
      <c r="NP68" s="53"/>
      <c r="NQ68" s="53"/>
      <c r="NR68" s="53"/>
      <c r="NS68" s="53"/>
      <c r="NT68" s="53"/>
      <c r="NU68" s="53"/>
      <c r="NV68" s="53"/>
      <c r="NW68" s="53"/>
      <c r="NX68" s="53"/>
      <c r="NY68" s="53"/>
      <c r="NZ68" s="53"/>
      <c r="OA68" s="53"/>
      <c r="OB68" s="53"/>
      <c r="OC68" s="53"/>
      <c r="OD68" s="53"/>
      <c r="OE68" s="53"/>
      <c r="OF68" s="53"/>
      <c r="OG68" s="53"/>
      <c r="OH68" s="53"/>
      <c r="OI68" s="53"/>
      <c r="OJ68" s="53"/>
      <c r="OK68" s="53"/>
      <c r="OL68" s="53"/>
      <c r="OM68" s="53"/>
      <c r="ON68" s="53"/>
      <c r="OO68" s="53"/>
      <c r="OP68" s="53"/>
      <c r="OQ68" s="53"/>
      <c r="OR68" s="53"/>
      <c r="OS68" s="53"/>
      <c r="OT68" s="53"/>
      <c r="OU68" s="53"/>
      <c r="OV68" s="53"/>
      <c r="OW68" s="53"/>
      <c r="OX68" s="53"/>
      <c r="OY68" s="53"/>
      <c r="OZ68" s="53"/>
      <c r="PA68" s="53"/>
      <c r="PB68" s="53"/>
      <c r="PC68" s="53"/>
      <c r="PD68" s="53"/>
      <c r="PE68" s="53"/>
      <c r="PF68" s="53"/>
      <c r="PG68" s="53"/>
      <c r="PH68" s="53"/>
      <c r="PI68" s="53"/>
      <c r="PJ68" s="53"/>
      <c r="PK68" s="53"/>
      <c r="PL68" s="53"/>
      <c r="PM68" s="53"/>
      <c r="PN68" s="53"/>
      <c r="PO68" s="53"/>
      <c r="PP68" s="53"/>
      <c r="PQ68" s="53"/>
      <c r="PR68" s="53"/>
      <c r="PS68" s="53"/>
      <c r="PT68" s="53"/>
      <c r="PU68" s="53"/>
      <c r="PV68" s="53"/>
      <c r="PW68" s="53"/>
      <c r="PX68" s="53"/>
      <c r="PY68" s="53"/>
      <c r="PZ68" s="53"/>
      <c r="QA68" s="53"/>
      <c r="QB68" s="53"/>
      <c r="QC68" s="53"/>
      <c r="QD68" s="53"/>
      <c r="QE68" s="53"/>
      <c r="QF68" s="53"/>
      <c r="QG68" s="53"/>
      <c r="QH68" s="53"/>
      <c r="QI68" s="53"/>
      <c r="QJ68" s="53"/>
      <c r="QK68" s="53"/>
      <c r="QL68" s="53"/>
      <c r="QM68" s="53"/>
      <c r="QN68" s="53"/>
      <c r="QO68" s="53"/>
      <c r="QP68" s="53"/>
      <c r="QQ68" s="53"/>
      <c r="QR68" s="53"/>
      <c r="QS68" s="53"/>
      <c r="QT68" s="53"/>
      <c r="QU68" s="53"/>
      <c r="QV68" s="53"/>
      <c r="QW68" s="53"/>
      <c r="QX68" s="53"/>
      <c r="QY68" s="53"/>
      <c r="QZ68" s="53"/>
      <c r="RA68" s="53"/>
      <c r="RB68" s="53"/>
      <c r="RC68" s="53"/>
      <c r="RD68" s="53"/>
      <c r="RE68" s="53"/>
      <c r="RF68" s="53"/>
      <c r="RG68" s="53"/>
      <c r="RH68" s="53"/>
      <c r="RI68" s="53"/>
      <c r="RJ68" s="53"/>
      <c r="RK68" s="53"/>
      <c r="RL68" s="53"/>
      <c r="RM68" s="53"/>
      <c r="RN68" s="53"/>
      <c r="RO68" s="53"/>
      <c r="RP68" s="53"/>
      <c r="RQ68" s="53"/>
      <c r="RR68" s="53"/>
      <c r="RS68" s="53"/>
      <c r="RT68" s="53"/>
      <c r="RU68" s="53"/>
      <c r="RV68" s="53"/>
      <c r="RW68" s="53"/>
      <c r="RX68" s="53"/>
      <c r="RY68" s="53"/>
      <c r="RZ68" s="53"/>
      <c r="SA68" s="53"/>
      <c r="SB68" s="53"/>
      <c r="SC68" s="53"/>
      <c r="SD68" s="53"/>
      <c r="SE68" s="53"/>
      <c r="SF68" s="53"/>
      <c r="SG68" s="53"/>
      <c r="SH68" s="53"/>
      <c r="SI68" s="53"/>
      <c r="SJ68" s="53"/>
      <c r="SK68" s="53"/>
      <c r="SL68" s="53"/>
      <c r="SM68" s="53"/>
      <c r="SN68" s="53"/>
      <c r="SO68" s="53"/>
      <c r="SP68" s="53"/>
      <c r="SQ68" s="53"/>
      <c r="SR68" s="53"/>
      <c r="SS68" s="53"/>
      <c r="ST68" s="53"/>
      <c r="SU68" s="53"/>
      <c r="SV68" s="53"/>
      <c r="SW68" s="53"/>
      <c r="SX68" s="53"/>
      <c r="SY68" s="53"/>
      <c r="SZ68" s="53"/>
      <c r="TA68" s="53"/>
      <c r="TB68" s="53"/>
      <c r="TC68" s="53"/>
      <c r="TD68" s="53"/>
      <c r="TE68" s="53"/>
      <c r="TF68" s="53"/>
      <c r="TG68" s="53"/>
      <c r="TH68" s="53"/>
      <c r="TI68" s="53"/>
      <c r="TJ68" s="53"/>
      <c r="TK68" s="53"/>
      <c r="TL68" s="53"/>
      <c r="TM68" s="53"/>
      <c r="TN68" s="53"/>
      <c r="TO68" s="53"/>
      <c r="TP68" s="53"/>
      <c r="TQ68" s="53"/>
      <c r="TR68" s="53"/>
      <c r="TS68" s="53"/>
      <c r="TT68" s="53"/>
      <c r="TU68" s="53"/>
      <c r="TV68" s="53"/>
      <c r="TW68" s="53"/>
      <c r="TX68" s="53"/>
      <c r="TY68" s="53"/>
      <c r="TZ68" s="53"/>
      <c r="UA68" s="53"/>
      <c r="UB68" s="53"/>
      <c r="UC68" s="53"/>
      <c r="UD68" s="53"/>
      <c r="UE68" s="53"/>
      <c r="UF68" s="53"/>
      <c r="UG68" s="53"/>
      <c r="UH68" s="53"/>
      <c r="UI68" s="53"/>
      <c r="UJ68" s="53"/>
      <c r="UK68" s="53"/>
      <c r="UL68" s="53"/>
      <c r="UM68" s="53"/>
      <c r="UN68" s="53"/>
      <c r="UO68" s="53"/>
      <c r="UP68" s="53"/>
      <c r="UQ68" s="53"/>
      <c r="UR68" s="53"/>
      <c r="US68" s="53"/>
      <c r="UT68" s="53"/>
      <c r="UU68" s="53"/>
      <c r="UV68" s="53"/>
      <c r="UW68" s="53"/>
      <c r="UX68" s="53"/>
      <c r="UY68" s="53"/>
      <c r="UZ68" s="53"/>
      <c r="VA68" s="53"/>
      <c r="VB68" s="53"/>
      <c r="VC68" s="53"/>
      <c r="VD68" s="53"/>
      <c r="VE68" s="53"/>
      <c r="VF68" s="53"/>
      <c r="VG68" s="53"/>
      <c r="VH68" s="53"/>
      <c r="VI68" s="53"/>
      <c r="VJ68" s="53"/>
      <c r="VK68" s="53"/>
      <c r="VL68" s="53"/>
    </row>
    <row r="69" spans="1:584" s="47" customFormat="1" ht="15" hidden="1" customHeight="1" x14ac:dyDescent="0.25">
      <c r="A69" s="45"/>
      <c r="B69" s="91"/>
      <c r="C69" s="91"/>
      <c r="D69" s="46" t="s">
        <v>342</v>
      </c>
      <c r="E69" s="115">
        <v>0</v>
      </c>
      <c r="F69" s="115"/>
      <c r="G69" s="115"/>
      <c r="H69" s="115"/>
      <c r="I69" s="115"/>
      <c r="J69" s="115"/>
      <c r="K69" s="164" t="e">
        <f t="shared" si="3"/>
        <v>#DIV/0!</v>
      </c>
      <c r="L69" s="115">
        <f t="shared" si="16"/>
        <v>0</v>
      </c>
      <c r="M69" s="115"/>
      <c r="N69" s="115"/>
      <c r="O69" s="115"/>
      <c r="P69" s="115"/>
      <c r="Q69" s="115"/>
      <c r="R69" s="115">
        <f t="shared" si="7"/>
        <v>0</v>
      </c>
      <c r="S69" s="115"/>
      <c r="T69" s="115"/>
      <c r="U69" s="115"/>
      <c r="V69" s="115"/>
      <c r="W69" s="115"/>
      <c r="X69" s="149" t="e">
        <f t="shared" si="5"/>
        <v>#DIV/0!</v>
      </c>
      <c r="Y69" s="115">
        <f t="shared" si="15"/>
        <v>0</v>
      </c>
      <c r="Z69" s="187"/>
      <c r="AA69" s="53"/>
      <c r="AB69" s="53"/>
      <c r="AC69" s="53"/>
      <c r="AD69" s="53"/>
      <c r="AE69" s="79"/>
      <c r="AF69" s="79"/>
      <c r="AG69" s="79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  <c r="KK69" s="53"/>
      <c r="KL69" s="53"/>
      <c r="KM69" s="53"/>
      <c r="KN69" s="53"/>
      <c r="KO69" s="53"/>
      <c r="KP69" s="53"/>
      <c r="KQ69" s="53"/>
      <c r="KR69" s="53"/>
      <c r="KS69" s="53"/>
      <c r="KT69" s="53"/>
      <c r="KU69" s="53"/>
      <c r="KV69" s="53"/>
      <c r="KW69" s="53"/>
      <c r="KX69" s="53"/>
      <c r="KY69" s="53"/>
      <c r="KZ69" s="53"/>
      <c r="LA69" s="53"/>
      <c r="LB69" s="53"/>
      <c r="LC69" s="53"/>
      <c r="LD69" s="53"/>
      <c r="LE69" s="53"/>
      <c r="LF69" s="53"/>
      <c r="LG69" s="53"/>
      <c r="LH69" s="53"/>
      <c r="LI69" s="53"/>
      <c r="LJ69" s="53"/>
      <c r="LK69" s="53"/>
      <c r="LL69" s="53"/>
      <c r="LM69" s="53"/>
      <c r="LN69" s="53"/>
      <c r="LO69" s="53"/>
      <c r="LP69" s="53"/>
      <c r="LQ69" s="53"/>
      <c r="LR69" s="53"/>
      <c r="LS69" s="53"/>
      <c r="LT69" s="53"/>
      <c r="LU69" s="53"/>
      <c r="LV69" s="53"/>
      <c r="LW69" s="53"/>
      <c r="LX69" s="53"/>
      <c r="LY69" s="53"/>
      <c r="LZ69" s="53"/>
      <c r="MA69" s="53"/>
      <c r="MB69" s="53"/>
      <c r="MC69" s="53"/>
      <c r="MD69" s="53"/>
      <c r="ME69" s="53"/>
      <c r="MF69" s="53"/>
      <c r="MG69" s="53"/>
      <c r="MH69" s="53"/>
      <c r="MI69" s="53"/>
      <c r="MJ69" s="53"/>
      <c r="MK69" s="53"/>
      <c r="ML69" s="53"/>
      <c r="MM69" s="53"/>
      <c r="MN69" s="53"/>
      <c r="MO69" s="53"/>
      <c r="MP69" s="53"/>
      <c r="MQ69" s="53"/>
      <c r="MR69" s="53"/>
      <c r="MS69" s="53"/>
      <c r="MT69" s="53"/>
      <c r="MU69" s="53"/>
      <c r="MV69" s="53"/>
      <c r="MW69" s="53"/>
      <c r="MX69" s="53"/>
      <c r="MY69" s="53"/>
      <c r="MZ69" s="53"/>
      <c r="NA69" s="53"/>
      <c r="NB69" s="53"/>
      <c r="NC69" s="53"/>
      <c r="ND69" s="53"/>
      <c r="NE69" s="53"/>
      <c r="NF69" s="53"/>
      <c r="NG69" s="53"/>
      <c r="NH69" s="53"/>
      <c r="NI69" s="53"/>
      <c r="NJ69" s="53"/>
      <c r="NK69" s="53"/>
      <c r="NL69" s="53"/>
      <c r="NM69" s="53"/>
      <c r="NN69" s="53"/>
      <c r="NO69" s="53"/>
      <c r="NP69" s="53"/>
      <c r="NQ69" s="53"/>
      <c r="NR69" s="53"/>
      <c r="NS69" s="53"/>
      <c r="NT69" s="53"/>
      <c r="NU69" s="53"/>
      <c r="NV69" s="53"/>
      <c r="NW69" s="53"/>
      <c r="NX69" s="53"/>
      <c r="NY69" s="53"/>
      <c r="NZ69" s="53"/>
      <c r="OA69" s="53"/>
      <c r="OB69" s="53"/>
      <c r="OC69" s="53"/>
      <c r="OD69" s="53"/>
      <c r="OE69" s="53"/>
      <c r="OF69" s="53"/>
      <c r="OG69" s="53"/>
      <c r="OH69" s="53"/>
      <c r="OI69" s="53"/>
      <c r="OJ69" s="53"/>
      <c r="OK69" s="53"/>
      <c r="OL69" s="53"/>
      <c r="OM69" s="53"/>
      <c r="ON69" s="53"/>
      <c r="OO69" s="53"/>
      <c r="OP69" s="53"/>
      <c r="OQ69" s="53"/>
      <c r="OR69" s="53"/>
      <c r="OS69" s="53"/>
      <c r="OT69" s="53"/>
      <c r="OU69" s="53"/>
      <c r="OV69" s="53"/>
      <c r="OW69" s="53"/>
      <c r="OX69" s="53"/>
      <c r="OY69" s="53"/>
      <c r="OZ69" s="53"/>
      <c r="PA69" s="53"/>
      <c r="PB69" s="53"/>
      <c r="PC69" s="53"/>
      <c r="PD69" s="53"/>
      <c r="PE69" s="53"/>
      <c r="PF69" s="53"/>
      <c r="PG69" s="53"/>
      <c r="PH69" s="53"/>
      <c r="PI69" s="53"/>
      <c r="PJ69" s="53"/>
      <c r="PK69" s="53"/>
      <c r="PL69" s="53"/>
      <c r="PM69" s="53"/>
      <c r="PN69" s="53"/>
      <c r="PO69" s="53"/>
      <c r="PP69" s="53"/>
      <c r="PQ69" s="53"/>
      <c r="PR69" s="53"/>
      <c r="PS69" s="53"/>
      <c r="PT69" s="53"/>
      <c r="PU69" s="53"/>
      <c r="PV69" s="53"/>
      <c r="PW69" s="53"/>
      <c r="PX69" s="53"/>
      <c r="PY69" s="53"/>
      <c r="PZ69" s="53"/>
      <c r="QA69" s="53"/>
      <c r="QB69" s="53"/>
      <c r="QC69" s="53"/>
      <c r="QD69" s="53"/>
      <c r="QE69" s="53"/>
      <c r="QF69" s="53"/>
      <c r="QG69" s="53"/>
      <c r="QH69" s="53"/>
      <c r="QI69" s="53"/>
      <c r="QJ69" s="53"/>
      <c r="QK69" s="53"/>
      <c r="QL69" s="53"/>
      <c r="QM69" s="53"/>
      <c r="QN69" s="53"/>
      <c r="QO69" s="53"/>
      <c r="QP69" s="53"/>
      <c r="QQ69" s="53"/>
      <c r="QR69" s="53"/>
      <c r="QS69" s="53"/>
      <c r="QT69" s="53"/>
      <c r="QU69" s="53"/>
      <c r="QV69" s="53"/>
      <c r="QW69" s="53"/>
      <c r="QX69" s="53"/>
      <c r="QY69" s="53"/>
      <c r="QZ69" s="53"/>
      <c r="RA69" s="53"/>
      <c r="RB69" s="53"/>
      <c r="RC69" s="53"/>
      <c r="RD69" s="53"/>
      <c r="RE69" s="53"/>
      <c r="RF69" s="53"/>
      <c r="RG69" s="53"/>
      <c r="RH69" s="53"/>
      <c r="RI69" s="53"/>
      <c r="RJ69" s="53"/>
      <c r="RK69" s="53"/>
      <c r="RL69" s="53"/>
      <c r="RM69" s="53"/>
      <c r="RN69" s="53"/>
      <c r="RO69" s="53"/>
      <c r="RP69" s="53"/>
      <c r="RQ69" s="53"/>
      <c r="RR69" s="53"/>
      <c r="RS69" s="53"/>
      <c r="RT69" s="53"/>
      <c r="RU69" s="53"/>
      <c r="RV69" s="53"/>
      <c r="RW69" s="53"/>
      <c r="RX69" s="53"/>
      <c r="RY69" s="53"/>
      <c r="RZ69" s="53"/>
      <c r="SA69" s="53"/>
      <c r="SB69" s="53"/>
      <c r="SC69" s="53"/>
      <c r="SD69" s="53"/>
      <c r="SE69" s="53"/>
      <c r="SF69" s="53"/>
      <c r="SG69" s="53"/>
      <c r="SH69" s="53"/>
      <c r="SI69" s="53"/>
      <c r="SJ69" s="53"/>
      <c r="SK69" s="53"/>
      <c r="SL69" s="53"/>
      <c r="SM69" s="53"/>
      <c r="SN69" s="53"/>
      <c r="SO69" s="53"/>
      <c r="SP69" s="53"/>
      <c r="SQ69" s="53"/>
      <c r="SR69" s="53"/>
      <c r="SS69" s="53"/>
      <c r="ST69" s="53"/>
      <c r="SU69" s="53"/>
      <c r="SV69" s="53"/>
      <c r="SW69" s="53"/>
      <c r="SX69" s="53"/>
      <c r="SY69" s="53"/>
      <c r="SZ69" s="53"/>
      <c r="TA69" s="53"/>
      <c r="TB69" s="53"/>
      <c r="TC69" s="53"/>
      <c r="TD69" s="53"/>
      <c r="TE69" s="53"/>
      <c r="TF69" s="53"/>
      <c r="TG69" s="53"/>
      <c r="TH69" s="53"/>
      <c r="TI69" s="53"/>
      <c r="TJ69" s="53"/>
      <c r="TK69" s="53"/>
      <c r="TL69" s="53"/>
      <c r="TM69" s="53"/>
      <c r="TN69" s="53"/>
      <c r="TO69" s="53"/>
      <c r="TP69" s="53"/>
      <c r="TQ69" s="53"/>
      <c r="TR69" s="53"/>
      <c r="TS69" s="53"/>
      <c r="TT69" s="53"/>
      <c r="TU69" s="53"/>
      <c r="TV69" s="53"/>
      <c r="TW69" s="53"/>
      <c r="TX69" s="53"/>
      <c r="TY69" s="53"/>
      <c r="TZ69" s="53"/>
      <c r="UA69" s="53"/>
      <c r="UB69" s="53"/>
      <c r="UC69" s="53"/>
      <c r="UD69" s="53"/>
      <c r="UE69" s="53"/>
      <c r="UF69" s="53"/>
      <c r="UG69" s="53"/>
      <c r="UH69" s="53"/>
      <c r="UI69" s="53"/>
      <c r="UJ69" s="53"/>
      <c r="UK69" s="53"/>
      <c r="UL69" s="53"/>
      <c r="UM69" s="53"/>
      <c r="UN69" s="53"/>
      <c r="UO69" s="53"/>
      <c r="UP69" s="53"/>
      <c r="UQ69" s="53"/>
      <c r="UR69" s="53"/>
      <c r="US69" s="53"/>
      <c r="UT69" s="53"/>
      <c r="UU69" s="53"/>
      <c r="UV69" s="53"/>
      <c r="UW69" s="53"/>
      <c r="UX69" s="53"/>
      <c r="UY69" s="53"/>
      <c r="UZ69" s="53"/>
      <c r="VA69" s="53"/>
      <c r="VB69" s="53"/>
      <c r="VC69" s="53"/>
      <c r="VD69" s="53"/>
      <c r="VE69" s="53"/>
      <c r="VF69" s="53"/>
      <c r="VG69" s="53"/>
      <c r="VH69" s="53"/>
      <c r="VI69" s="53"/>
      <c r="VJ69" s="53"/>
      <c r="VK69" s="53"/>
      <c r="VL69" s="53"/>
    </row>
    <row r="70" spans="1:584" s="47" customFormat="1" ht="20.25" customHeight="1" x14ac:dyDescent="0.25">
      <c r="A70" s="71" t="s">
        <v>588</v>
      </c>
      <c r="B70" s="91">
        <v>1170</v>
      </c>
      <c r="C70" s="91" t="s">
        <v>84</v>
      </c>
      <c r="D70" s="46" t="s">
        <v>569</v>
      </c>
      <c r="E70" s="115">
        <v>1451420</v>
      </c>
      <c r="F70" s="115">
        <f>1166764-30000-86000</f>
        <v>1050764</v>
      </c>
      <c r="G70" s="115">
        <v>92060</v>
      </c>
      <c r="H70" s="115">
        <v>706739.19</v>
      </c>
      <c r="I70" s="115">
        <v>476166.78</v>
      </c>
      <c r="J70" s="115">
        <v>64250.27</v>
      </c>
      <c r="K70" s="164">
        <f t="shared" si="3"/>
        <v>48.692948285127663</v>
      </c>
      <c r="L70" s="115">
        <f t="shared" si="16"/>
        <v>30000</v>
      </c>
      <c r="M70" s="115">
        <v>30000</v>
      </c>
      <c r="N70" s="115"/>
      <c r="O70" s="115"/>
      <c r="P70" s="115"/>
      <c r="Q70" s="115">
        <v>30000</v>
      </c>
      <c r="R70" s="115">
        <f t="shared" si="7"/>
        <v>170340</v>
      </c>
      <c r="S70" s="115">
        <v>29000</v>
      </c>
      <c r="T70" s="115">
        <v>5390</v>
      </c>
      <c r="U70" s="115"/>
      <c r="V70" s="115"/>
      <c r="W70" s="115">
        <v>164950</v>
      </c>
      <c r="X70" s="166">
        <f t="shared" si="5"/>
        <v>567.79999999999995</v>
      </c>
      <c r="Y70" s="115">
        <f t="shared" si="15"/>
        <v>877079.19</v>
      </c>
      <c r="Z70" s="187"/>
      <c r="AA70" s="53"/>
      <c r="AB70" s="53"/>
      <c r="AC70" s="53"/>
      <c r="AD70" s="53"/>
      <c r="AE70" s="79"/>
      <c r="AF70" s="79"/>
      <c r="AG70" s="79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  <c r="IX70" s="53"/>
      <c r="IY70" s="53"/>
      <c r="IZ70" s="53"/>
      <c r="JA70" s="53"/>
      <c r="JB70" s="53"/>
      <c r="JC70" s="53"/>
      <c r="JD70" s="53"/>
      <c r="JE70" s="53"/>
      <c r="JF70" s="53"/>
      <c r="JG70" s="53"/>
      <c r="JH70" s="53"/>
      <c r="JI70" s="53"/>
      <c r="JJ70" s="53"/>
      <c r="JK70" s="53"/>
      <c r="JL70" s="53"/>
      <c r="JM70" s="53"/>
      <c r="JN70" s="53"/>
      <c r="JO70" s="53"/>
      <c r="JP70" s="53"/>
      <c r="JQ70" s="53"/>
      <c r="JR70" s="53"/>
      <c r="JS70" s="53"/>
      <c r="JT70" s="53"/>
      <c r="JU70" s="53"/>
      <c r="JV70" s="53"/>
      <c r="JW70" s="53"/>
      <c r="JX70" s="53"/>
      <c r="JY70" s="53"/>
      <c r="JZ70" s="53"/>
      <c r="KA70" s="53"/>
      <c r="KB70" s="53"/>
      <c r="KC70" s="53"/>
      <c r="KD70" s="53"/>
      <c r="KE70" s="53"/>
      <c r="KF70" s="53"/>
      <c r="KG70" s="53"/>
      <c r="KH70" s="53"/>
      <c r="KI70" s="53"/>
      <c r="KJ70" s="53"/>
      <c r="KK70" s="53"/>
      <c r="KL70" s="53"/>
      <c r="KM70" s="53"/>
      <c r="KN70" s="53"/>
      <c r="KO70" s="53"/>
      <c r="KP70" s="53"/>
      <c r="KQ70" s="53"/>
      <c r="KR70" s="53"/>
      <c r="KS70" s="53"/>
      <c r="KT70" s="53"/>
      <c r="KU70" s="53"/>
      <c r="KV70" s="53"/>
      <c r="KW70" s="53"/>
      <c r="KX70" s="53"/>
      <c r="KY70" s="53"/>
      <c r="KZ70" s="53"/>
      <c r="LA70" s="53"/>
      <c r="LB70" s="53"/>
      <c r="LC70" s="53"/>
      <c r="LD70" s="53"/>
      <c r="LE70" s="53"/>
      <c r="LF70" s="53"/>
      <c r="LG70" s="53"/>
      <c r="LH70" s="53"/>
      <c r="LI70" s="53"/>
      <c r="LJ70" s="53"/>
      <c r="LK70" s="53"/>
      <c r="LL70" s="53"/>
      <c r="LM70" s="53"/>
      <c r="LN70" s="53"/>
      <c r="LO70" s="53"/>
      <c r="LP70" s="53"/>
      <c r="LQ70" s="53"/>
      <c r="LR70" s="53"/>
      <c r="LS70" s="53"/>
      <c r="LT70" s="53"/>
      <c r="LU70" s="53"/>
      <c r="LV70" s="53"/>
      <c r="LW70" s="53"/>
      <c r="LX70" s="53"/>
      <c r="LY70" s="53"/>
      <c r="LZ70" s="53"/>
      <c r="MA70" s="53"/>
      <c r="MB70" s="53"/>
      <c r="MC70" s="53"/>
      <c r="MD70" s="53"/>
      <c r="ME70" s="53"/>
      <c r="MF70" s="53"/>
      <c r="MG70" s="53"/>
      <c r="MH70" s="53"/>
      <c r="MI70" s="53"/>
      <c r="MJ70" s="53"/>
      <c r="MK70" s="53"/>
      <c r="ML70" s="53"/>
      <c r="MM70" s="53"/>
      <c r="MN70" s="53"/>
      <c r="MO70" s="53"/>
      <c r="MP70" s="53"/>
      <c r="MQ70" s="53"/>
      <c r="MR70" s="53"/>
      <c r="MS70" s="53"/>
      <c r="MT70" s="53"/>
      <c r="MU70" s="53"/>
      <c r="MV70" s="53"/>
      <c r="MW70" s="53"/>
      <c r="MX70" s="53"/>
      <c r="MY70" s="53"/>
      <c r="MZ70" s="53"/>
      <c r="NA70" s="53"/>
      <c r="NB70" s="53"/>
      <c r="NC70" s="53"/>
      <c r="ND70" s="53"/>
      <c r="NE70" s="53"/>
      <c r="NF70" s="53"/>
      <c r="NG70" s="53"/>
      <c r="NH70" s="53"/>
      <c r="NI70" s="53"/>
      <c r="NJ70" s="53"/>
      <c r="NK70" s="53"/>
      <c r="NL70" s="53"/>
      <c r="NM70" s="53"/>
      <c r="NN70" s="53"/>
      <c r="NO70" s="53"/>
      <c r="NP70" s="53"/>
      <c r="NQ70" s="53"/>
      <c r="NR70" s="53"/>
      <c r="NS70" s="53"/>
      <c r="NT70" s="53"/>
      <c r="NU70" s="53"/>
      <c r="NV70" s="53"/>
      <c r="NW70" s="53"/>
      <c r="NX70" s="53"/>
      <c r="NY70" s="53"/>
      <c r="NZ70" s="53"/>
      <c r="OA70" s="53"/>
      <c r="OB70" s="53"/>
      <c r="OC70" s="53"/>
      <c r="OD70" s="53"/>
      <c r="OE70" s="53"/>
      <c r="OF70" s="53"/>
      <c r="OG70" s="53"/>
      <c r="OH70" s="53"/>
      <c r="OI70" s="53"/>
      <c r="OJ70" s="53"/>
      <c r="OK70" s="53"/>
      <c r="OL70" s="53"/>
      <c r="OM70" s="53"/>
      <c r="ON70" s="53"/>
      <c r="OO70" s="53"/>
      <c r="OP70" s="53"/>
      <c r="OQ70" s="53"/>
      <c r="OR70" s="53"/>
      <c r="OS70" s="53"/>
      <c r="OT70" s="53"/>
      <c r="OU70" s="53"/>
      <c r="OV70" s="53"/>
      <c r="OW70" s="53"/>
      <c r="OX70" s="53"/>
      <c r="OY70" s="53"/>
      <c r="OZ70" s="53"/>
      <c r="PA70" s="53"/>
      <c r="PB70" s="53"/>
      <c r="PC70" s="53"/>
      <c r="PD70" s="53"/>
      <c r="PE70" s="53"/>
      <c r="PF70" s="53"/>
      <c r="PG70" s="53"/>
      <c r="PH70" s="53"/>
      <c r="PI70" s="53"/>
      <c r="PJ70" s="53"/>
      <c r="PK70" s="53"/>
      <c r="PL70" s="53"/>
      <c r="PM70" s="53"/>
      <c r="PN70" s="53"/>
      <c r="PO70" s="53"/>
      <c r="PP70" s="53"/>
      <c r="PQ70" s="53"/>
      <c r="PR70" s="53"/>
      <c r="PS70" s="53"/>
      <c r="PT70" s="53"/>
      <c r="PU70" s="53"/>
      <c r="PV70" s="53"/>
      <c r="PW70" s="53"/>
      <c r="PX70" s="53"/>
      <c r="PY70" s="53"/>
      <c r="PZ70" s="53"/>
      <c r="QA70" s="53"/>
      <c r="QB70" s="53"/>
      <c r="QC70" s="53"/>
      <c r="QD70" s="53"/>
      <c r="QE70" s="53"/>
      <c r="QF70" s="53"/>
      <c r="QG70" s="53"/>
      <c r="QH70" s="53"/>
      <c r="QI70" s="53"/>
      <c r="QJ70" s="53"/>
      <c r="QK70" s="53"/>
      <c r="QL70" s="53"/>
      <c r="QM70" s="53"/>
      <c r="QN70" s="53"/>
      <c r="QO70" s="53"/>
      <c r="QP70" s="53"/>
      <c r="QQ70" s="53"/>
      <c r="QR70" s="53"/>
      <c r="QS70" s="53"/>
      <c r="QT70" s="53"/>
      <c r="QU70" s="53"/>
      <c r="QV70" s="53"/>
      <c r="QW70" s="53"/>
      <c r="QX70" s="53"/>
      <c r="QY70" s="53"/>
      <c r="QZ70" s="53"/>
      <c r="RA70" s="53"/>
      <c r="RB70" s="53"/>
      <c r="RC70" s="53"/>
      <c r="RD70" s="53"/>
      <c r="RE70" s="53"/>
      <c r="RF70" s="53"/>
      <c r="RG70" s="53"/>
      <c r="RH70" s="53"/>
      <c r="RI70" s="53"/>
      <c r="RJ70" s="53"/>
      <c r="RK70" s="53"/>
      <c r="RL70" s="53"/>
      <c r="RM70" s="53"/>
      <c r="RN70" s="53"/>
      <c r="RO70" s="53"/>
      <c r="RP70" s="53"/>
      <c r="RQ70" s="53"/>
      <c r="RR70" s="53"/>
      <c r="RS70" s="53"/>
      <c r="RT70" s="53"/>
      <c r="RU70" s="53"/>
      <c r="RV70" s="53"/>
      <c r="RW70" s="53"/>
      <c r="RX70" s="53"/>
      <c r="RY70" s="53"/>
      <c r="RZ70" s="53"/>
      <c r="SA70" s="53"/>
      <c r="SB70" s="53"/>
      <c r="SC70" s="53"/>
      <c r="SD70" s="53"/>
      <c r="SE70" s="53"/>
      <c r="SF70" s="53"/>
      <c r="SG70" s="53"/>
      <c r="SH70" s="53"/>
      <c r="SI70" s="53"/>
      <c r="SJ70" s="53"/>
      <c r="SK70" s="53"/>
      <c r="SL70" s="53"/>
      <c r="SM70" s="53"/>
      <c r="SN70" s="53"/>
      <c r="SO70" s="53"/>
      <c r="SP70" s="53"/>
      <c r="SQ70" s="53"/>
      <c r="SR70" s="53"/>
      <c r="SS70" s="53"/>
      <c r="ST70" s="53"/>
      <c r="SU70" s="53"/>
      <c r="SV70" s="53"/>
      <c r="SW70" s="53"/>
      <c r="SX70" s="53"/>
      <c r="SY70" s="53"/>
      <c r="SZ70" s="53"/>
      <c r="TA70" s="53"/>
      <c r="TB70" s="53"/>
      <c r="TC70" s="53"/>
      <c r="TD70" s="53"/>
      <c r="TE70" s="53"/>
      <c r="TF70" s="53"/>
      <c r="TG70" s="53"/>
      <c r="TH70" s="53"/>
      <c r="TI70" s="53"/>
      <c r="TJ70" s="53"/>
      <c r="TK70" s="53"/>
      <c r="TL70" s="53"/>
      <c r="TM70" s="53"/>
      <c r="TN70" s="53"/>
      <c r="TO70" s="53"/>
      <c r="TP70" s="53"/>
      <c r="TQ70" s="53"/>
      <c r="TR70" s="53"/>
      <c r="TS70" s="53"/>
      <c r="TT70" s="53"/>
      <c r="TU70" s="53"/>
      <c r="TV70" s="53"/>
      <c r="TW70" s="53"/>
      <c r="TX70" s="53"/>
      <c r="TY70" s="53"/>
      <c r="TZ70" s="53"/>
      <c r="UA70" s="53"/>
      <c r="UB70" s="53"/>
      <c r="UC70" s="53"/>
      <c r="UD70" s="53"/>
      <c r="UE70" s="53"/>
      <c r="UF70" s="53"/>
      <c r="UG70" s="53"/>
      <c r="UH70" s="53"/>
      <c r="UI70" s="53"/>
      <c r="UJ70" s="53"/>
      <c r="UK70" s="53"/>
      <c r="UL70" s="53"/>
      <c r="UM70" s="53"/>
      <c r="UN70" s="53"/>
      <c r="UO70" s="53"/>
      <c r="UP70" s="53"/>
      <c r="UQ70" s="53"/>
      <c r="UR70" s="53"/>
      <c r="US70" s="53"/>
      <c r="UT70" s="53"/>
      <c r="UU70" s="53"/>
      <c r="UV70" s="53"/>
      <c r="UW70" s="53"/>
      <c r="UX70" s="53"/>
      <c r="UY70" s="53"/>
      <c r="UZ70" s="53"/>
      <c r="VA70" s="53"/>
      <c r="VB70" s="53"/>
      <c r="VC70" s="53"/>
      <c r="VD70" s="53"/>
      <c r="VE70" s="53"/>
      <c r="VF70" s="53"/>
      <c r="VG70" s="53"/>
      <c r="VH70" s="53"/>
      <c r="VI70" s="53"/>
      <c r="VJ70" s="53"/>
      <c r="VK70" s="53"/>
      <c r="VL70" s="53"/>
    </row>
    <row r="71" spans="1:584" s="47" customFormat="1" ht="20.25" customHeight="1" x14ac:dyDescent="0.25">
      <c r="A71" s="45"/>
      <c r="B71" s="91"/>
      <c r="C71" s="91"/>
      <c r="D71" s="46" t="s">
        <v>342</v>
      </c>
      <c r="E71" s="115">
        <v>1178720</v>
      </c>
      <c r="F71" s="115">
        <v>966164</v>
      </c>
      <c r="G71" s="115"/>
      <c r="H71" s="115">
        <v>581910.49</v>
      </c>
      <c r="I71" s="115">
        <v>476166.78</v>
      </c>
      <c r="J71" s="115"/>
      <c r="K71" s="164">
        <f t="shared" si="3"/>
        <v>49.368000033935118</v>
      </c>
      <c r="L71" s="115">
        <f t="shared" si="16"/>
        <v>0</v>
      </c>
      <c r="M71" s="115"/>
      <c r="N71" s="115"/>
      <c r="O71" s="115"/>
      <c r="P71" s="115"/>
      <c r="Q71" s="115"/>
      <c r="R71" s="115">
        <f t="shared" si="7"/>
        <v>0</v>
      </c>
      <c r="S71" s="115"/>
      <c r="T71" s="115"/>
      <c r="U71" s="115"/>
      <c r="V71" s="115"/>
      <c r="W71" s="115"/>
      <c r="X71" s="166"/>
      <c r="Y71" s="115">
        <f t="shared" si="15"/>
        <v>581910.49</v>
      </c>
      <c r="Z71" s="187"/>
      <c r="AA71" s="53"/>
      <c r="AB71" s="53"/>
      <c r="AC71" s="53"/>
      <c r="AD71" s="53"/>
      <c r="AE71" s="79"/>
      <c r="AF71" s="79"/>
      <c r="AG71" s="79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  <c r="IW71" s="53"/>
      <c r="IX71" s="53"/>
      <c r="IY71" s="53"/>
      <c r="IZ71" s="53"/>
      <c r="JA71" s="53"/>
      <c r="JB71" s="53"/>
      <c r="JC71" s="53"/>
      <c r="JD71" s="53"/>
      <c r="JE71" s="53"/>
      <c r="JF71" s="53"/>
      <c r="JG71" s="53"/>
      <c r="JH71" s="53"/>
      <c r="JI71" s="53"/>
      <c r="JJ71" s="53"/>
      <c r="JK71" s="53"/>
      <c r="JL71" s="53"/>
      <c r="JM71" s="53"/>
      <c r="JN71" s="53"/>
      <c r="JO71" s="53"/>
      <c r="JP71" s="53"/>
      <c r="JQ71" s="53"/>
      <c r="JR71" s="53"/>
      <c r="JS71" s="53"/>
      <c r="JT71" s="53"/>
      <c r="JU71" s="53"/>
      <c r="JV71" s="53"/>
      <c r="JW71" s="53"/>
      <c r="JX71" s="53"/>
      <c r="JY71" s="53"/>
      <c r="JZ71" s="53"/>
      <c r="KA71" s="53"/>
      <c r="KB71" s="53"/>
      <c r="KC71" s="53"/>
      <c r="KD71" s="53"/>
      <c r="KE71" s="53"/>
      <c r="KF71" s="53"/>
      <c r="KG71" s="53"/>
      <c r="KH71" s="53"/>
      <c r="KI71" s="53"/>
      <c r="KJ71" s="53"/>
      <c r="KK71" s="53"/>
      <c r="KL71" s="53"/>
      <c r="KM71" s="53"/>
      <c r="KN71" s="53"/>
      <c r="KO71" s="53"/>
      <c r="KP71" s="53"/>
      <c r="KQ71" s="53"/>
      <c r="KR71" s="53"/>
      <c r="KS71" s="53"/>
      <c r="KT71" s="53"/>
      <c r="KU71" s="53"/>
      <c r="KV71" s="53"/>
      <c r="KW71" s="53"/>
      <c r="KX71" s="53"/>
      <c r="KY71" s="53"/>
      <c r="KZ71" s="53"/>
      <c r="LA71" s="53"/>
      <c r="LB71" s="53"/>
      <c r="LC71" s="53"/>
      <c r="LD71" s="53"/>
      <c r="LE71" s="53"/>
      <c r="LF71" s="53"/>
      <c r="LG71" s="53"/>
      <c r="LH71" s="53"/>
      <c r="LI71" s="53"/>
      <c r="LJ71" s="53"/>
      <c r="LK71" s="53"/>
      <c r="LL71" s="53"/>
      <c r="LM71" s="53"/>
      <c r="LN71" s="53"/>
      <c r="LO71" s="53"/>
      <c r="LP71" s="53"/>
      <c r="LQ71" s="53"/>
      <c r="LR71" s="53"/>
      <c r="LS71" s="53"/>
      <c r="LT71" s="53"/>
      <c r="LU71" s="53"/>
      <c r="LV71" s="53"/>
      <c r="LW71" s="53"/>
      <c r="LX71" s="53"/>
      <c r="LY71" s="53"/>
      <c r="LZ71" s="53"/>
      <c r="MA71" s="53"/>
      <c r="MB71" s="53"/>
      <c r="MC71" s="53"/>
      <c r="MD71" s="53"/>
      <c r="ME71" s="53"/>
      <c r="MF71" s="53"/>
      <c r="MG71" s="53"/>
      <c r="MH71" s="53"/>
      <c r="MI71" s="53"/>
      <c r="MJ71" s="53"/>
      <c r="MK71" s="53"/>
      <c r="ML71" s="53"/>
      <c r="MM71" s="53"/>
      <c r="MN71" s="53"/>
      <c r="MO71" s="53"/>
      <c r="MP71" s="53"/>
      <c r="MQ71" s="53"/>
      <c r="MR71" s="53"/>
      <c r="MS71" s="53"/>
      <c r="MT71" s="53"/>
      <c r="MU71" s="53"/>
      <c r="MV71" s="53"/>
      <c r="MW71" s="53"/>
      <c r="MX71" s="53"/>
      <c r="MY71" s="53"/>
      <c r="MZ71" s="53"/>
      <c r="NA71" s="53"/>
      <c r="NB71" s="53"/>
      <c r="NC71" s="53"/>
      <c r="ND71" s="53"/>
      <c r="NE71" s="53"/>
      <c r="NF71" s="53"/>
      <c r="NG71" s="53"/>
      <c r="NH71" s="53"/>
      <c r="NI71" s="53"/>
      <c r="NJ71" s="53"/>
      <c r="NK71" s="53"/>
      <c r="NL71" s="53"/>
      <c r="NM71" s="53"/>
      <c r="NN71" s="53"/>
      <c r="NO71" s="53"/>
      <c r="NP71" s="53"/>
      <c r="NQ71" s="53"/>
      <c r="NR71" s="53"/>
      <c r="NS71" s="53"/>
      <c r="NT71" s="53"/>
      <c r="NU71" s="53"/>
      <c r="NV71" s="53"/>
      <c r="NW71" s="53"/>
      <c r="NX71" s="53"/>
      <c r="NY71" s="53"/>
      <c r="NZ71" s="53"/>
      <c r="OA71" s="53"/>
      <c r="OB71" s="53"/>
      <c r="OC71" s="53"/>
      <c r="OD71" s="53"/>
      <c r="OE71" s="53"/>
      <c r="OF71" s="53"/>
      <c r="OG71" s="53"/>
      <c r="OH71" s="53"/>
      <c r="OI71" s="53"/>
      <c r="OJ71" s="53"/>
      <c r="OK71" s="53"/>
      <c r="OL71" s="53"/>
      <c r="OM71" s="53"/>
      <c r="ON71" s="53"/>
      <c r="OO71" s="53"/>
      <c r="OP71" s="53"/>
      <c r="OQ71" s="53"/>
      <c r="OR71" s="53"/>
      <c r="OS71" s="53"/>
      <c r="OT71" s="53"/>
      <c r="OU71" s="53"/>
      <c r="OV71" s="53"/>
      <c r="OW71" s="53"/>
      <c r="OX71" s="53"/>
      <c r="OY71" s="53"/>
      <c r="OZ71" s="53"/>
      <c r="PA71" s="53"/>
      <c r="PB71" s="53"/>
      <c r="PC71" s="53"/>
      <c r="PD71" s="53"/>
      <c r="PE71" s="53"/>
      <c r="PF71" s="53"/>
      <c r="PG71" s="53"/>
      <c r="PH71" s="53"/>
      <c r="PI71" s="53"/>
      <c r="PJ71" s="53"/>
      <c r="PK71" s="53"/>
      <c r="PL71" s="53"/>
      <c r="PM71" s="53"/>
      <c r="PN71" s="53"/>
      <c r="PO71" s="53"/>
      <c r="PP71" s="53"/>
      <c r="PQ71" s="53"/>
      <c r="PR71" s="53"/>
      <c r="PS71" s="53"/>
      <c r="PT71" s="53"/>
      <c r="PU71" s="53"/>
      <c r="PV71" s="53"/>
      <c r="PW71" s="53"/>
      <c r="PX71" s="53"/>
      <c r="PY71" s="53"/>
      <c r="PZ71" s="53"/>
      <c r="QA71" s="53"/>
      <c r="QB71" s="53"/>
      <c r="QC71" s="53"/>
      <c r="QD71" s="53"/>
      <c r="QE71" s="53"/>
      <c r="QF71" s="53"/>
      <c r="QG71" s="53"/>
      <c r="QH71" s="53"/>
      <c r="QI71" s="53"/>
      <c r="QJ71" s="53"/>
      <c r="QK71" s="53"/>
      <c r="QL71" s="53"/>
      <c r="QM71" s="53"/>
      <c r="QN71" s="53"/>
      <c r="QO71" s="53"/>
      <c r="QP71" s="53"/>
      <c r="QQ71" s="53"/>
      <c r="QR71" s="53"/>
      <c r="QS71" s="53"/>
      <c r="QT71" s="53"/>
      <c r="QU71" s="53"/>
      <c r="QV71" s="53"/>
      <c r="QW71" s="53"/>
      <c r="QX71" s="53"/>
      <c r="QY71" s="53"/>
      <c r="QZ71" s="53"/>
      <c r="RA71" s="53"/>
      <c r="RB71" s="53"/>
      <c r="RC71" s="53"/>
      <c r="RD71" s="53"/>
      <c r="RE71" s="53"/>
      <c r="RF71" s="53"/>
      <c r="RG71" s="53"/>
      <c r="RH71" s="53"/>
      <c r="RI71" s="53"/>
      <c r="RJ71" s="53"/>
      <c r="RK71" s="53"/>
      <c r="RL71" s="53"/>
      <c r="RM71" s="53"/>
      <c r="RN71" s="53"/>
      <c r="RO71" s="53"/>
      <c r="RP71" s="53"/>
      <c r="RQ71" s="53"/>
      <c r="RR71" s="53"/>
      <c r="RS71" s="53"/>
      <c r="RT71" s="53"/>
      <c r="RU71" s="53"/>
      <c r="RV71" s="53"/>
      <c r="RW71" s="53"/>
      <c r="RX71" s="53"/>
      <c r="RY71" s="53"/>
      <c r="RZ71" s="53"/>
      <c r="SA71" s="53"/>
      <c r="SB71" s="53"/>
      <c r="SC71" s="53"/>
      <c r="SD71" s="53"/>
      <c r="SE71" s="53"/>
      <c r="SF71" s="53"/>
      <c r="SG71" s="53"/>
      <c r="SH71" s="53"/>
      <c r="SI71" s="53"/>
      <c r="SJ71" s="53"/>
      <c r="SK71" s="53"/>
      <c r="SL71" s="53"/>
      <c r="SM71" s="53"/>
      <c r="SN71" s="53"/>
      <c r="SO71" s="53"/>
      <c r="SP71" s="53"/>
      <c r="SQ71" s="53"/>
      <c r="SR71" s="53"/>
      <c r="SS71" s="53"/>
      <c r="ST71" s="53"/>
      <c r="SU71" s="53"/>
      <c r="SV71" s="53"/>
      <c r="SW71" s="53"/>
      <c r="SX71" s="53"/>
      <c r="SY71" s="53"/>
      <c r="SZ71" s="53"/>
      <c r="TA71" s="53"/>
      <c r="TB71" s="53"/>
      <c r="TC71" s="53"/>
      <c r="TD71" s="53"/>
      <c r="TE71" s="53"/>
      <c r="TF71" s="53"/>
      <c r="TG71" s="53"/>
      <c r="TH71" s="53"/>
      <c r="TI71" s="53"/>
      <c r="TJ71" s="53"/>
      <c r="TK71" s="53"/>
      <c r="TL71" s="53"/>
      <c r="TM71" s="53"/>
      <c r="TN71" s="53"/>
      <c r="TO71" s="53"/>
      <c r="TP71" s="53"/>
      <c r="TQ71" s="53"/>
      <c r="TR71" s="53"/>
      <c r="TS71" s="53"/>
      <c r="TT71" s="53"/>
      <c r="TU71" s="53"/>
      <c r="TV71" s="53"/>
      <c r="TW71" s="53"/>
      <c r="TX71" s="53"/>
      <c r="TY71" s="53"/>
      <c r="TZ71" s="53"/>
      <c r="UA71" s="53"/>
      <c r="UB71" s="53"/>
      <c r="UC71" s="53"/>
      <c r="UD71" s="53"/>
      <c r="UE71" s="53"/>
      <c r="UF71" s="53"/>
      <c r="UG71" s="53"/>
      <c r="UH71" s="53"/>
      <c r="UI71" s="53"/>
      <c r="UJ71" s="53"/>
      <c r="UK71" s="53"/>
      <c r="UL71" s="53"/>
      <c r="UM71" s="53"/>
      <c r="UN71" s="53"/>
      <c r="UO71" s="53"/>
      <c r="UP71" s="53"/>
      <c r="UQ71" s="53"/>
      <c r="UR71" s="53"/>
      <c r="US71" s="53"/>
      <c r="UT71" s="53"/>
      <c r="UU71" s="53"/>
      <c r="UV71" s="53"/>
      <c r="UW71" s="53"/>
      <c r="UX71" s="53"/>
      <c r="UY71" s="53"/>
      <c r="UZ71" s="53"/>
      <c r="VA71" s="53"/>
      <c r="VB71" s="53"/>
      <c r="VC71" s="53"/>
      <c r="VD71" s="53"/>
      <c r="VE71" s="53"/>
      <c r="VF71" s="53"/>
      <c r="VG71" s="53"/>
      <c r="VH71" s="53"/>
      <c r="VI71" s="53"/>
      <c r="VJ71" s="53"/>
      <c r="VK71" s="53"/>
      <c r="VL71" s="53"/>
    </row>
    <row r="72" spans="1:584" s="47" customFormat="1" ht="64.5" customHeight="1" x14ac:dyDescent="0.25">
      <c r="A72" s="45" t="s">
        <v>226</v>
      </c>
      <c r="B72" s="91" t="str">
        <f>'дод 3'!A109</f>
        <v>3140</v>
      </c>
      <c r="C72" s="91" t="str">
        <f>'дод 3'!B109</f>
        <v>1040</v>
      </c>
      <c r="D72" s="48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2" s="115">
        <v>6692180</v>
      </c>
      <c r="F72" s="115"/>
      <c r="G72" s="115"/>
      <c r="H72" s="115">
        <v>6655551.1699999999</v>
      </c>
      <c r="I72" s="115"/>
      <c r="J72" s="115"/>
      <c r="K72" s="164">
        <f t="shared" si="3"/>
        <v>99.452662211715761</v>
      </c>
      <c r="L72" s="115">
        <f t="shared" si="16"/>
        <v>0</v>
      </c>
      <c r="M72" s="115"/>
      <c r="N72" s="115"/>
      <c r="O72" s="115"/>
      <c r="P72" s="115"/>
      <c r="Q72" s="115"/>
      <c r="R72" s="115">
        <f t="shared" si="7"/>
        <v>1276046.8500000001</v>
      </c>
      <c r="S72" s="115"/>
      <c r="T72" s="115">
        <v>1276046.8500000001</v>
      </c>
      <c r="U72" s="115"/>
      <c r="V72" s="115"/>
      <c r="W72" s="115"/>
      <c r="X72" s="166"/>
      <c r="Y72" s="115">
        <f t="shared" si="15"/>
        <v>7931598.0199999996</v>
      </c>
      <c r="Z72" s="187"/>
      <c r="AA72" s="53"/>
      <c r="AB72" s="53"/>
      <c r="AC72" s="53"/>
      <c r="AD72" s="53"/>
      <c r="AE72" s="79"/>
      <c r="AF72" s="79"/>
      <c r="AG72" s="79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  <c r="IW72" s="53"/>
      <c r="IX72" s="53"/>
      <c r="IY72" s="53"/>
      <c r="IZ72" s="53"/>
      <c r="JA72" s="53"/>
      <c r="JB72" s="53"/>
      <c r="JC72" s="53"/>
      <c r="JD72" s="53"/>
      <c r="JE72" s="53"/>
      <c r="JF72" s="53"/>
      <c r="JG72" s="53"/>
      <c r="JH72" s="53"/>
      <c r="JI72" s="53"/>
      <c r="JJ72" s="53"/>
      <c r="JK72" s="53"/>
      <c r="JL72" s="53"/>
      <c r="JM72" s="53"/>
      <c r="JN72" s="53"/>
      <c r="JO72" s="53"/>
      <c r="JP72" s="53"/>
      <c r="JQ72" s="53"/>
      <c r="JR72" s="53"/>
      <c r="JS72" s="53"/>
      <c r="JT72" s="53"/>
      <c r="JU72" s="53"/>
      <c r="JV72" s="53"/>
      <c r="JW72" s="53"/>
      <c r="JX72" s="53"/>
      <c r="JY72" s="53"/>
      <c r="JZ72" s="53"/>
      <c r="KA72" s="53"/>
      <c r="KB72" s="53"/>
      <c r="KC72" s="53"/>
      <c r="KD72" s="53"/>
      <c r="KE72" s="53"/>
      <c r="KF72" s="53"/>
      <c r="KG72" s="53"/>
      <c r="KH72" s="53"/>
      <c r="KI72" s="53"/>
      <c r="KJ72" s="53"/>
      <c r="KK72" s="53"/>
      <c r="KL72" s="53"/>
      <c r="KM72" s="53"/>
      <c r="KN72" s="53"/>
      <c r="KO72" s="53"/>
      <c r="KP72" s="53"/>
      <c r="KQ72" s="53"/>
      <c r="KR72" s="53"/>
      <c r="KS72" s="53"/>
      <c r="KT72" s="53"/>
      <c r="KU72" s="53"/>
      <c r="KV72" s="53"/>
      <c r="KW72" s="53"/>
      <c r="KX72" s="53"/>
      <c r="KY72" s="53"/>
      <c r="KZ72" s="53"/>
      <c r="LA72" s="53"/>
      <c r="LB72" s="53"/>
      <c r="LC72" s="53"/>
      <c r="LD72" s="53"/>
      <c r="LE72" s="53"/>
      <c r="LF72" s="53"/>
      <c r="LG72" s="53"/>
      <c r="LH72" s="53"/>
      <c r="LI72" s="53"/>
      <c r="LJ72" s="53"/>
      <c r="LK72" s="53"/>
      <c r="LL72" s="53"/>
      <c r="LM72" s="53"/>
      <c r="LN72" s="53"/>
      <c r="LO72" s="53"/>
      <c r="LP72" s="53"/>
      <c r="LQ72" s="53"/>
      <c r="LR72" s="53"/>
      <c r="LS72" s="53"/>
      <c r="LT72" s="53"/>
      <c r="LU72" s="53"/>
      <c r="LV72" s="53"/>
      <c r="LW72" s="53"/>
      <c r="LX72" s="53"/>
      <c r="LY72" s="53"/>
      <c r="LZ72" s="53"/>
      <c r="MA72" s="53"/>
      <c r="MB72" s="53"/>
      <c r="MC72" s="53"/>
      <c r="MD72" s="53"/>
      <c r="ME72" s="53"/>
      <c r="MF72" s="53"/>
      <c r="MG72" s="53"/>
      <c r="MH72" s="53"/>
      <c r="MI72" s="53"/>
      <c r="MJ72" s="53"/>
      <c r="MK72" s="53"/>
      <c r="ML72" s="53"/>
      <c r="MM72" s="53"/>
      <c r="MN72" s="53"/>
      <c r="MO72" s="53"/>
      <c r="MP72" s="53"/>
      <c r="MQ72" s="53"/>
      <c r="MR72" s="53"/>
      <c r="MS72" s="53"/>
      <c r="MT72" s="53"/>
      <c r="MU72" s="53"/>
      <c r="MV72" s="53"/>
      <c r="MW72" s="53"/>
      <c r="MX72" s="53"/>
      <c r="MY72" s="53"/>
      <c r="MZ72" s="53"/>
      <c r="NA72" s="53"/>
      <c r="NB72" s="53"/>
      <c r="NC72" s="53"/>
      <c r="ND72" s="53"/>
      <c r="NE72" s="53"/>
      <c r="NF72" s="53"/>
      <c r="NG72" s="53"/>
      <c r="NH72" s="53"/>
      <c r="NI72" s="53"/>
      <c r="NJ72" s="53"/>
      <c r="NK72" s="53"/>
      <c r="NL72" s="53"/>
      <c r="NM72" s="53"/>
      <c r="NN72" s="53"/>
      <c r="NO72" s="53"/>
      <c r="NP72" s="53"/>
      <c r="NQ72" s="53"/>
      <c r="NR72" s="53"/>
      <c r="NS72" s="53"/>
      <c r="NT72" s="53"/>
      <c r="NU72" s="53"/>
      <c r="NV72" s="53"/>
      <c r="NW72" s="53"/>
      <c r="NX72" s="53"/>
      <c r="NY72" s="53"/>
      <c r="NZ72" s="53"/>
      <c r="OA72" s="53"/>
      <c r="OB72" s="53"/>
      <c r="OC72" s="53"/>
      <c r="OD72" s="53"/>
      <c r="OE72" s="53"/>
      <c r="OF72" s="53"/>
      <c r="OG72" s="53"/>
      <c r="OH72" s="53"/>
      <c r="OI72" s="53"/>
      <c r="OJ72" s="53"/>
      <c r="OK72" s="53"/>
      <c r="OL72" s="53"/>
      <c r="OM72" s="53"/>
      <c r="ON72" s="53"/>
      <c r="OO72" s="53"/>
      <c r="OP72" s="53"/>
      <c r="OQ72" s="53"/>
      <c r="OR72" s="53"/>
      <c r="OS72" s="53"/>
      <c r="OT72" s="53"/>
      <c r="OU72" s="53"/>
      <c r="OV72" s="53"/>
      <c r="OW72" s="53"/>
      <c r="OX72" s="53"/>
      <c r="OY72" s="53"/>
      <c r="OZ72" s="53"/>
      <c r="PA72" s="53"/>
      <c r="PB72" s="53"/>
      <c r="PC72" s="53"/>
      <c r="PD72" s="53"/>
      <c r="PE72" s="53"/>
      <c r="PF72" s="53"/>
      <c r="PG72" s="53"/>
      <c r="PH72" s="53"/>
      <c r="PI72" s="53"/>
      <c r="PJ72" s="53"/>
      <c r="PK72" s="53"/>
      <c r="PL72" s="53"/>
      <c r="PM72" s="53"/>
      <c r="PN72" s="53"/>
      <c r="PO72" s="53"/>
      <c r="PP72" s="53"/>
      <c r="PQ72" s="53"/>
      <c r="PR72" s="53"/>
      <c r="PS72" s="53"/>
      <c r="PT72" s="53"/>
      <c r="PU72" s="53"/>
      <c r="PV72" s="53"/>
      <c r="PW72" s="53"/>
      <c r="PX72" s="53"/>
      <c r="PY72" s="53"/>
      <c r="PZ72" s="53"/>
      <c r="QA72" s="53"/>
      <c r="QB72" s="53"/>
      <c r="QC72" s="53"/>
      <c r="QD72" s="53"/>
      <c r="QE72" s="53"/>
      <c r="QF72" s="53"/>
      <c r="QG72" s="53"/>
      <c r="QH72" s="53"/>
      <c r="QI72" s="53"/>
      <c r="QJ72" s="53"/>
      <c r="QK72" s="53"/>
      <c r="QL72" s="53"/>
      <c r="QM72" s="53"/>
      <c r="QN72" s="53"/>
      <c r="QO72" s="53"/>
      <c r="QP72" s="53"/>
      <c r="QQ72" s="53"/>
      <c r="QR72" s="53"/>
      <c r="QS72" s="53"/>
      <c r="QT72" s="53"/>
      <c r="QU72" s="53"/>
      <c r="QV72" s="53"/>
      <c r="QW72" s="53"/>
      <c r="QX72" s="53"/>
      <c r="QY72" s="53"/>
      <c r="QZ72" s="53"/>
      <c r="RA72" s="53"/>
      <c r="RB72" s="53"/>
      <c r="RC72" s="53"/>
      <c r="RD72" s="53"/>
      <c r="RE72" s="53"/>
      <c r="RF72" s="53"/>
      <c r="RG72" s="53"/>
      <c r="RH72" s="53"/>
      <c r="RI72" s="53"/>
      <c r="RJ72" s="53"/>
      <c r="RK72" s="53"/>
      <c r="RL72" s="53"/>
      <c r="RM72" s="53"/>
      <c r="RN72" s="53"/>
      <c r="RO72" s="53"/>
      <c r="RP72" s="53"/>
      <c r="RQ72" s="53"/>
      <c r="RR72" s="53"/>
      <c r="RS72" s="53"/>
      <c r="RT72" s="53"/>
      <c r="RU72" s="53"/>
      <c r="RV72" s="53"/>
      <c r="RW72" s="53"/>
      <c r="RX72" s="53"/>
      <c r="RY72" s="53"/>
      <c r="RZ72" s="53"/>
      <c r="SA72" s="53"/>
      <c r="SB72" s="53"/>
      <c r="SC72" s="53"/>
      <c r="SD72" s="53"/>
      <c r="SE72" s="53"/>
      <c r="SF72" s="53"/>
      <c r="SG72" s="53"/>
      <c r="SH72" s="53"/>
      <c r="SI72" s="53"/>
      <c r="SJ72" s="53"/>
      <c r="SK72" s="53"/>
      <c r="SL72" s="53"/>
      <c r="SM72" s="53"/>
      <c r="SN72" s="53"/>
      <c r="SO72" s="53"/>
      <c r="SP72" s="53"/>
      <c r="SQ72" s="53"/>
      <c r="SR72" s="53"/>
      <c r="SS72" s="53"/>
      <c r="ST72" s="53"/>
      <c r="SU72" s="53"/>
      <c r="SV72" s="53"/>
      <c r="SW72" s="53"/>
      <c r="SX72" s="53"/>
      <c r="SY72" s="53"/>
      <c r="SZ72" s="53"/>
      <c r="TA72" s="53"/>
      <c r="TB72" s="53"/>
      <c r="TC72" s="53"/>
      <c r="TD72" s="53"/>
      <c r="TE72" s="53"/>
      <c r="TF72" s="53"/>
      <c r="TG72" s="53"/>
      <c r="TH72" s="53"/>
      <c r="TI72" s="53"/>
      <c r="TJ72" s="53"/>
      <c r="TK72" s="53"/>
      <c r="TL72" s="53"/>
      <c r="TM72" s="53"/>
      <c r="TN72" s="53"/>
      <c r="TO72" s="53"/>
      <c r="TP72" s="53"/>
      <c r="TQ72" s="53"/>
      <c r="TR72" s="53"/>
      <c r="TS72" s="53"/>
      <c r="TT72" s="53"/>
      <c r="TU72" s="53"/>
      <c r="TV72" s="53"/>
      <c r="TW72" s="53"/>
      <c r="TX72" s="53"/>
      <c r="TY72" s="53"/>
      <c r="TZ72" s="53"/>
      <c r="UA72" s="53"/>
      <c r="UB72" s="53"/>
      <c r="UC72" s="53"/>
      <c r="UD72" s="53"/>
      <c r="UE72" s="53"/>
      <c r="UF72" s="53"/>
      <c r="UG72" s="53"/>
      <c r="UH72" s="53"/>
      <c r="UI72" s="53"/>
      <c r="UJ72" s="53"/>
      <c r="UK72" s="53"/>
      <c r="UL72" s="53"/>
      <c r="UM72" s="53"/>
      <c r="UN72" s="53"/>
      <c r="UO72" s="53"/>
      <c r="UP72" s="53"/>
      <c r="UQ72" s="53"/>
      <c r="UR72" s="53"/>
      <c r="US72" s="53"/>
      <c r="UT72" s="53"/>
      <c r="UU72" s="53"/>
      <c r="UV72" s="53"/>
      <c r="UW72" s="53"/>
      <c r="UX72" s="53"/>
      <c r="UY72" s="53"/>
      <c r="UZ72" s="53"/>
      <c r="VA72" s="53"/>
      <c r="VB72" s="53"/>
      <c r="VC72" s="53"/>
      <c r="VD72" s="53"/>
      <c r="VE72" s="53"/>
      <c r="VF72" s="53"/>
      <c r="VG72" s="53"/>
      <c r="VH72" s="53"/>
      <c r="VI72" s="53"/>
      <c r="VJ72" s="53"/>
      <c r="VK72" s="53"/>
      <c r="VL72" s="53"/>
    </row>
    <row r="73" spans="1:584" s="47" customFormat="1" ht="31.5" customHeight="1" x14ac:dyDescent="0.25">
      <c r="A73" s="45" t="s">
        <v>476</v>
      </c>
      <c r="B73" s="91" t="str">
        <f>'дод 3'!A129</f>
        <v>3242</v>
      </c>
      <c r="C73" s="91" t="str">
        <f>'дод 3'!B129</f>
        <v>1090</v>
      </c>
      <c r="D73" s="48" t="str">
        <f>'дод 3'!C129</f>
        <v>Інші заходи у сфері соціального захисту і соціального забезпечення</v>
      </c>
      <c r="E73" s="115">
        <v>57920</v>
      </c>
      <c r="F73" s="115"/>
      <c r="G73" s="115"/>
      <c r="H73" s="115">
        <v>57920</v>
      </c>
      <c r="I73" s="115"/>
      <c r="J73" s="115"/>
      <c r="K73" s="164">
        <f t="shared" si="3"/>
        <v>100</v>
      </c>
      <c r="L73" s="115">
        <f t="shared" si="16"/>
        <v>0</v>
      </c>
      <c r="M73" s="115"/>
      <c r="N73" s="115"/>
      <c r="O73" s="115"/>
      <c r="P73" s="115"/>
      <c r="Q73" s="115"/>
      <c r="R73" s="115">
        <f t="shared" si="7"/>
        <v>0</v>
      </c>
      <c r="S73" s="115"/>
      <c r="T73" s="115"/>
      <c r="U73" s="115"/>
      <c r="V73" s="115"/>
      <c r="W73" s="115"/>
      <c r="X73" s="166"/>
      <c r="Y73" s="115">
        <f t="shared" si="15"/>
        <v>57920</v>
      </c>
      <c r="Z73" s="187"/>
      <c r="AA73" s="53"/>
      <c r="AB73" s="53"/>
      <c r="AC73" s="53"/>
      <c r="AD73" s="53"/>
      <c r="AE73" s="79"/>
      <c r="AF73" s="79"/>
      <c r="AG73" s="79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/>
      <c r="KZ73" s="53"/>
      <c r="LA73" s="53"/>
      <c r="LB73" s="53"/>
      <c r="LC73" s="53"/>
      <c r="LD73" s="53"/>
      <c r="LE73" s="53"/>
      <c r="LF73" s="53"/>
      <c r="LG73" s="53"/>
      <c r="LH73" s="53"/>
      <c r="LI73" s="53"/>
      <c r="LJ73" s="53"/>
      <c r="LK73" s="53"/>
      <c r="LL73" s="53"/>
      <c r="LM73" s="53"/>
      <c r="LN73" s="53"/>
      <c r="LO73" s="53"/>
      <c r="LP73" s="53"/>
      <c r="LQ73" s="53"/>
      <c r="LR73" s="53"/>
      <c r="LS73" s="53"/>
      <c r="LT73" s="53"/>
      <c r="LU73" s="53"/>
      <c r="LV73" s="53"/>
      <c r="LW73" s="53"/>
      <c r="LX73" s="53"/>
      <c r="LY73" s="53"/>
      <c r="LZ73" s="53"/>
      <c r="MA73" s="53"/>
      <c r="MB73" s="53"/>
      <c r="MC73" s="53"/>
      <c r="MD73" s="53"/>
      <c r="ME73" s="53"/>
      <c r="MF73" s="53"/>
      <c r="MG73" s="53"/>
      <c r="MH73" s="53"/>
      <c r="MI73" s="53"/>
      <c r="MJ73" s="53"/>
      <c r="MK73" s="53"/>
      <c r="ML73" s="53"/>
      <c r="MM73" s="53"/>
      <c r="MN73" s="53"/>
      <c r="MO73" s="53"/>
      <c r="MP73" s="53"/>
      <c r="MQ73" s="53"/>
      <c r="MR73" s="53"/>
      <c r="MS73" s="53"/>
      <c r="MT73" s="53"/>
      <c r="MU73" s="53"/>
      <c r="MV73" s="53"/>
      <c r="MW73" s="53"/>
      <c r="MX73" s="53"/>
      <c r="MY73" s="53"/>
      <c r="MZ73" s="53"/>
      <c r="NA73" s="53"/>
      <c r="NB73" s="53"/>
      <c r="NC73" s="53"/>
      <c r="ND73" s="53"/>
      <c r="NE73" s="53"/>
      <c r="NF73" s="53"/>
      <c r="NG73" s="53"/>
      <c r="NH73" s="53"/>
      <c r="NI73" s="53"/>
      <c r="NJ73" s="53"/>
      <c r="NK73" s="53"/>
      <c r="NL73" s="53"/>
      <c r="NM73" s="53"/>
      <c r="NN73" s="53"/>
      <c r="NO73" s="53"/>
      <c r="NP73" s="53"/>
      <c r="NQ73" s="53"/>
      <c r="NR73" s="53"/>
      <c r="NS73" s="53"/>
      <c r="NT73" s="53"/>
      <c r="NU73" s="53"/>
      <c r="NV73" s="5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53"/>
      <c r="OK73" s="53"/>
      <c r="OL73" s="53"/>
      <c r="OM73" s="53"/>
      <c r="ON73" s="53"/>
      <c r="OO73" s="53"/>
      <c r="OP73" s="53"/>
      <c r="OQ73" s="53"/>
      <c r="OR73" s="53"/>
      <c r="OS73" s="53"/>
      <c r="OT73" s="53"/>
      <c r="OU73" s="53"/>
      <c r="OV73" s="53"/>
      <c r="OW73" s="53"/>
      <c r="OX73" s="53"/>
      <c r="OY73" s="53"/>
      <c r="OZ73" s="53"/>
      <c r="PA73" s="53"/>
      <c r="PB73" s="53"/>
      <c r="PC73" s="53"/>
      <c r="PD73" s="53"/>
      <c r="PE73" s="53"/>
      <c r="PF73" s="53"/>
      <c r="PG73" s="53"/>
      <c r="PH73" s="53"/>
      <c r="PI73" s="53"/>
      <c r="PJ73" s="53"/>
      <c r="PK73" s="53"/>
      <c r="PL73" s="53"/>
      <c r="PM73" s="53"/>
      <c r="PN73" s="53"/>
      <c r="PO73" s="53"/>
      <c r="PP73" s="53"/>
      <c r="PQ73" s="53"/>
      <c r="PR73" s="53"/>
      <c r="PS73" s="53"/>
      <c r="PT73" s="53"/>
      <c r="PU73" s="53"/>
      <c r="PV73" s="53"/>
      <c r="PW73" s="53"/>
      <c r="PX73" s="53"/>
      <c r="PY73" s="53"/>
      <c r="PZ73" s="53"/>
      <c r="QA73" s="53"/>
      <c r="QB73" s="53"/>
      <c r="QC73" s="53"/>
      <c r="QD73" s="53"/>
      <c r="QE73" s="53"/>
      <c r="QF73" s="53"/>
      <c r="QG73" s="53"/>
      <c r="QH73" s="53"/>
      <c r="QI73" s="53"/>
      <c r="QJ73" s="53"/>
      <c r="QK73" s="53"/>
      <c r="QL73" s="53"/>
      <c r="QM73" s="53"/>
      <c r="QN73" s="53"/>
      <c r="QO73" s="53"/>
      <c r="QP73" s="53"/>
      <c r="QQ73" s="53"/>
      <c r="QR73" s="53"/>
      <c r="QS73" s="53"/>
      <c r="QT73" s="53"/>
      <c r="QU73" s="53"/>
      <c r="QV73" s="53"/>
      <c r="QW73" s="53"/>
      <c r="QX73" s="53"/>
      <c r="QY73" s="53"/>
      <c r="QZ73" s="53"/>
      <c r="RA73" s="53"/>
      <c r="RB73" s="53"/>
      <c r="RC73" s="53"/>
      <c r="RD73" s="53"/>
      <c r="RE73" s="53"/>
      <c r="RF73" s="53"/>
      <c r="RG73" s="53"/>
      <c r="RH73" s="53"/>
      <c r="RI73" s="53"/>
      <c r="RJ73" s="53"/>
      <c r="RK73" s="53"/>
      <c r="RL73" s="53"/>
      <c r="RM73" s="53"/>
      <c r="RN73" s="53"/>
      <c r="RO73" s="53"/>
      <c r="RP73" s="53"/>
      <c r="RQ73" s="53"/>
      <c r="RR73" s="53"/>
      <c r="RS73" s="53"/>
      <c r="RT73" s="53"/>
      <c r="RU73" s="53"/>
      <c r="RV73" s="53"/>
      <c r="RW73" s="53"/>
      <c r="RX73" s="53"/>
      <c r="RY73" s="53"/>
      <c r="RZ73" s="53"/>
      <c r="SA73" s="53"/>
      <c r="SB73" s="53"/>
      <c r="SC73" s="53"/>
      <c r="SD73" s="53"/>
      <c r="SE73" s="53"/>
      <c r="SF73" s="53"/>
      <c r="SG73" s="53"/>
      <c r="SH73" s="53"/>
      <c r="SI73" s="53"/>
      <c r="SJ73" s="53"/>
      <c r="SK73" s="53"/>
      <c r="SL73" s="53"/>
      <c r="SM73" s="53"/>
      <c r="SN73" s="53"/>
      <c r="SO73" s="53"/>
      <c r="SP73" s="53"/>
      <c r="SQ73" s="53"/>
      <c r="SR73" s="53"/>
      <c r="SS73" s="53"/>
      <c r="ST73" s="53"/>
      <c r="SU73" s="53"/>
      <c r="SV73" s="53"/>
      <c r="SW73" s="53"/>
      <c r="SX73" s="53"/>
      <c r="SY73" s="53"/>
      <c r="SZ73" s="53"/>
      <c r="TA73" s="53"/>
      <c r="TB73" s="53"/>
      <c r="TC73" s="53"/>
      <c r="TD73" s="53"/>
      <c r="TE73" s="53"/>
      <c r="TF73" s="53"/>
      <c r="TG73" s="53"/>
      <c r="TH73" s="53"/>
      <c r="TI73" s="53"/>
      <c r="TJ73" s="53"/>
      <c r="TK73" s="53"/>
      <c r="TL73" s="53"/>
      <c r="TM73" s="53"/>
      <c r="TN73" s="53"/>
      <c r="TO73" s="53"/>
      <c r="TP73" s="53"/>
      <c r="TQ73" s="53"/>
      <c r="TR73" s="53"/>
      <c r="TS73" s="53"/>
      <c r="TT73" s="53"/>
      <c r="TU73" s="53"/>
      <c r="TV73" s="53"/>
      <c r="TW73" s="53"/>
      <c r="TX73" s="53"/>
      <c r="TY73" s="53"/>
      <c r="TZ73" s="53"/>
      <c r="UA73" s="53"/>
      <c r="UB73" s="53"/>
      <c r="UC73" s="53"/>
      <c r="UD73" s="53"/>
      <c r="UE73" s="53"/>
      <c r="UF73" s="53"/>
      <c r="UG73" s="53"/>
      <c r="UH73" s="53"/>
      <c r="UI73" s="53"/>
      <c r="UJ73" s="53"/>
      <c r="UK73" s="53"/>
      <c r="UL73" s="53"/>
      <c r="UM73" s="53"/>
      <c r="UN73" s="53"/>
      <c r="UO73" s="53"/>
      <c r="UP73" s="53"/>
      <c r="UQ73" s="53"/>
      <c r="UR73" s="53"/>
      <c r="US73" s="53"/>
      <c r="UT73" s="53"/>
      <c r="UU73" s="53"/>
      <c r="UV73" s="53"/>
      <c r="UW73" s="53"/>
      <c r="UX73" s="53"/>
      <c r="UY73" s="53"/>
      <c r="UZ73" s="53"/>
      <c r="VA73" s="53"/>
      <c r="VB73" s="53"/>
      <c r="VC73" s="53"/>
      <c r="VD73" s="53"/>
      <c r="VE73" s="53"/>
      <c r="VF73" s="53"/>
      <c r="VG73" s="53"/>
      <c r="VH73" s="53"/>
      <c r="VI73" s="53"/>
      <c r="VJ73" s="53"/>
      <c r="VK73" s="53"/>
      <c r="VL73" s="53"/>
    </row>
    <row r="74" spans="1:584" s="47" customFormat="1" ht="33" customHeight="1" x14ac:dyDescent="0.25">
      <c r="A74" s="45" t="s">
        <v>227</v>
      </c>
      <c r="B74" s="91" t="str">
        <f>'дод 3'!A138</f>
        <v>5031</v>
      </c>
      <c r="C74" s="91" t="str">
        <f>'дод 3'!B138</f>
        <v>0810</v>
      </c>
      <c r="D74" s="48" t="str">
        <f>'дод 3'!C138</f>
        <v>Утримання та навчально-тренувальна робота комунальних дитячо-юнацьких спортивних шкіл</v>
      </c>
      <c r="E74" s="115">
        <v>4858100</v>
      </c>
      <c r="F74" s="115">
        <v>3511500</v>
      </c>
      <c r="G74" s="115">
        <v>219600</v>
      </c>
      <c r="H74" s="115">
        <v>4785975.4400000004</v>
      </c>
      <c r="I74" s="115">
        <v>3511495.21</v>
      </c>
      <c r="J74" s="115">
        <v>167155.28</v>
      </c>
      <c r="K74" s="164">
        <f t="shared" si="3"/>
        <v>98.515375146662294</v>
      </c>
      <c r="L74" s="115">
        <f t="shared" si="16"/>
        <v>50000</v>
      </c>
      <c r="M74" s="115">
        <v>50000</v>
      </c>
      <c r="N74" s="115"/>
      <c r="O74" s="115"/>
      <c r="P74" s="115"/>
      <c r="Q74" s="115">
        <f>50000</f>
        <v>50000</v>
      </c>
      <c r="R74" s="115">
        <f t="shared" si="7"/>
        <v>61301.96</v>
      </c>
      <c r="S74" s="115">
        <v>49061.96</v>
      </c>
      <c r="T74" s="115">
        <v>12240</v>
      </c>
      <c r="U74" s="115"/>
      <c r="V74" s="115"/>
      <c r="W74" s="115">
        <v>49061.96</v>
      </c>
      <c r="X74" s="166">
        <f t="shared" si="5"/>
        <v>122.60392</v>
      </c>
      <c r="Y74" s="115">
        <f t="shared" si="15"/>
        <v>4847277.4000000004</v>
      </c>
      <c r="Z74" s="187"/>
      <c r="AA74" s="53"/>
      <c r="AB74" s="53"/>
      <c r="AC74" s="53"/>
      <c r="AD74" s="53"/>
      <c r="AE74" s="79"/>
      <c r="AF74" s="79"/>
      <c r="AG74" s="79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3"/>
      <c r="LR74" s="53"/>
      <c r="LS74" s="53"/>
      <c r="LT74" s="53"/>
      <c r="LU74" s="53"/>
      <c r="LV74" s="53"/>
      <c r="LW74" s="53"/>
      <c r="LX74" s="53"/>
      <c r="LY74" s="53"/>
      <c r="LZ74" s="53"/>
      <c r="MA74" s="53"/>
      <c r="MB74" s="53"/>
      <c r="MC74" s="53"/>
      <c r="MD74" s="53"/>
      <c r="ME74" s="53"/>
      <c r="MF74" s="53"/>
      <c r="MG74" s="53"/>
      <c r="MH74" s="53"/>
      <c r="MI74" s="53"/>
      <c r="MJ74" s="53"/>
      <c r="MK74" s="53"/>
      <c r="ML74" s="53"/>
      <c r="MM74" s="53"/>
      <c r="MN74" s="53"/>
      <c r="MO74" s="53"/>
      <c r="MP74" s="53"/>
      <c r="MQ74" s="53"/>
      <c r="MR74" s="53"/>
      <c r="MS74" s="53"/>
      <c r="MT74" s="53"/>
      <c r="MU74" s="53"/>
      <c r="MV74" s="53"/>
      <c r="MW74" s="53"/>
      <c r="MX74" s="53"/>
      <c r="MY74" s="53"/>
      <c r="MZ74" s="53"/>
      <c r="NA74" s="53"/>
      <c r="NB74" s="53"/>
      <c r="NC74" s="53"/>
      <c r="ND74" s="53"/>
      <c r="NE74" s="53"/>
      <c r="NF74" s="53"/>
      <c r="NG74" s="53"/>
      <c r="NH74" s="53"/>
      <c r="NI74" s="53"/>
      <c r="NJ74" s="53"/>
      <c r="NK74" s="53"/>
      <c r="NL74" s="53"/>
      <c r="NM74" s="53"/>
      <c r="NN74" s="53"/>
      <c r="NO74" s="53"/>
      <c r="NP74" s="53"/>
      <c r="NQ74" s="53"/>
      <c r="NR74" s="53"/>
      <c r="NS74" s="53"/>
      <c r="NT74" s="53"/>
      <c r="NU74" s="53"/>
      <c r="NV74" s="53"/>
      <c r="NW74" s="53"/>
      <c r="NX74" s="53"/>
      <c r="NY74" s="53"/>
      <c r="NZ74" s="53"/>
      <c r="OA74" s="53"/>
      <c r="OB74" s="53"/>
      <c r="OC74" s="53"/>
      <c r="OD74" s="53"/>
      <c r="OE74" s="53"/>
      <c r="OF74" s="53"/>
      <c r="OG74" s="53"/>
      <c r="OH74" s="53"/>
      <c r="OI74" s="53"/>
      <c r="OJ74" s="53"/>
      <c r="OK74" s="53"/>
      <c r="OL74" s="53"/>
      <c r="OM74" s="53"/>
      <c r="ON74" s="53"/>
      <c r="OO74" s="53"/>
      <c r="OP74" s="53"/>
      <c r="OQ74" s="53"/>
      <c r="OR74" s="53"/>
      <c r="OS74" s="53"/>
      <c r="OT74" s="53"/>
      <c r="OU74" s="53"/>
      <c r="OV74" s="53"/>
      <c r="OW74" s="53"/>
      <c r="OX74" s="53"/>
      <c r="OY74" s="53"/>
      <c r="OZ74" s="53"/>
      <c r="PA74" s="53"/>
      <c r="PB74" s="53"/>
      <c r="PC74" s="53"/>
      <c r="PD74" s="53"/>
      <c r="PE74" s="53"/>
      <c r="PF74" s="53"/>
      <c r="PG74" s="53"/>
      <c r="PH74" s="53"/>
      <c r="PI74" s="53"/>
      <c r="PJ74" s="53"/>
      <c r="PK74" s="53"/>
      <c r="PL74" s="53"/>
      <c r="PM74" s="53"/>
      <c r="PN74" s="53"/>
      <c r="PO74" s="53"/>
      <c r="PP74" s="53"/>
      <c r="PQ74" s="53"/>
      <c r="PR74" s="53"/>
      <c r="PS74" s="53"/>
      <c r="PT74" s="53"/>
      <c r="PU74" s="53"/>
      <c r="PV74" s="53"/>
      <c r="PW74" s="53"/>
      <c r="PX74" s="53"/>
      <c r="PY74" s="53"/>
      <c r="PZ74" s="53"/>
      <c r="QA74" s="53"/>
      <c r="QB74" s="53"/>
      <c r="QC74" s="53"/>
      <c r="QD74" s="53"/>
      <c r="QE74" s="53"/>
      <c r="QF74" s="53"/>
      <c r="QG74" s="53"/>
      <c r="QH74" s="53"/>
      <c r="QI74" s="53"/>
      <c r="QJ74" s="53"/>
      <c r="QK74" s="53"/>
      <c r="QL74" s="53"/>
      <c r="QM74" s="53"/>
      <c r="QN74" s="53"/>
      <c r="QO74" s="53"/>
      <c r="QP74" s="53"/>
      <c r="QQ74" s="53"/>
      <c r="QR74" s="53"/>
      <c r="QS74" s="53"/>
      <c r="QT74" s="53"/>
      <c r="QU74" s="53"/>
      <c r="QV74" s="53"/>
      <c r="QW74" s="53"/>
      <c r="QX74" s="53"/>
      <c r="QY74" s="53"/>
      <c r="QZ74" s="53"/>
      <c r="RA74" s="53"/>
      <c r="RB74" s="53"/>
      <c r="RC74" s="53"/>
      <c r="RD74" s="53"/>
      <c r="RE74" s="53"/>
      <c r="RF74" s="53"/>
      <c r="RG74" s="53"/>
      <c r="RH74" s="53"/>
      <c r="RI74" s="53"/>
      <c r="RJ74" s="53"/>
      <c r="RK74" s="53"/>
      <c r="RL74" s="53"/>
      <c r="RM74" s="53"/>
      <c r="RN74" s="53"/>
      <c r="RO74" s="53"/>
      <c r="RP74" s="53"/>
      <c r="RQ74" s="53"/>
      <c r="RR74" s="53"/>
      <c r="RS74" s="53"/>
      <c r="RT74" s="53"/>
      <c r="RU74" s="53"/>
      <c r="RV74" s="53"/>
      <c r="RW74" s="53"/>
      <c r="RX74" s="53"/>
      <c r="RY74" s="53"/>
      <c r="RZ74" s="53"/>
      <c r="SA74" s="53"/>
      <c r="SB74" s="53"/>
      <c r="SC74" s="53"/>
      <c r="SD74" s="53"/>
      <c r="SE74" s="53"/>
      <c r="SF74" s="53"/>
      <c r="SG74" s="53"/>
      <c r="SH74" s="53"/>
      <c r="SI74" s="53"/>
      <c r="SJ74" s="53"/>
      <c r="SK74" s="53"/>
      <c r="SL74" s="53"/>
      <c r="SM74" s="53"/>
      <c r="SN74" s="53"/>
      <c r="SO74" s="53"/>
      <c r="SP74" s="53"/>
      <c r="SQ74" s="53"/>
      <c r="SR74" s="53"/>
      <c r="SS74" s="53"/>
      <c r="ST74" s="53"/>
      <c r="SU74" s="53"/>
      <c r="SV74" s="53"/>
      <c r="SW74" s="53"/>
      <c r="SX74" s="53"/>
      <c r="SY74" s="53"/>
      <c r="SZ74" s="53"/>
      <c r="TA74" s="53"/>
      <c r="TB74" s="53"/>
      <c r="TC74" s="53"/>
      <c r="TD74" s="53"/>
      <c r="TE74" s="53"/>
      <c r="TF74" s="53"/>
      <c r="TG74" s="53"/>
      <c r="TH74" s="53"/>
      <c r="TI74" s="53"/>
      <c r="TJ74" s="53"/>
      <c r="TK74" s="53"/>
      <c r="TL74" s="53"/>
      <c r="TM74" s="53"/>
      <c r="TN74" s="53"/>
      <c r="TO74" s="53"/>
      <c r="TP74" s="53"/>
      <c r="TQ74" s="53"/>
      <c r="TR74" s="53"/>
      <c r="TS74" s="53"/>
      <c r="TT74" s="53"/>
      <c r="TU74" s="53"/>
      <c r="TV74" s="53"/>
      <c r="TW74" s="53"/>
      <c r="TX74" s="53"/>
      <c r="TY74" s="53"/>
      <c r="TZ74" s="53"/>
      <c r="UA74" s="53"/>
      <c r="UB74" s="53"/>
      <c r="UC74" s="53"/>
      <c r="UD74" s="53"/>
      <c r="UE74" s="53"/>
      <c r="UF74" s="53"/>
      <c r="UG74" s="53"/>
      <c r="UH74" s="53"/>
      <c r="UI74" s="53"/>
      <c r="UJ74" s="53"/>
      <c r="UK74" s="53"/>
      <c r="UL74" s="53"/>
      <c r="UM74" s="53"/>
      <c r="UN74" s="53"/>
      <c r="UO74" s="53"/>
      <c r="UP74" s="53"/>
      <c r="UQ74" s="53"/>
      <c r="UR74" s="53"/>
      <c r="US74" s="53"/>
      <c r="UT74" s="53"/>
      <c r="UU74" s="53"/>
      <c r="UV74" s="53"/>
      <c r="UW74" s="53"/>
      <c r="UX74" s="53"/>
      <c r="UY74" s="53"/>
      <c r="UZ74" s="53"/>
      <c r="VA74" s="53"/>
      <c r="VB74" s="53"/>
      <c r="VC74" s="53"/>
      <c r="VD74" s="53"/>
      <c r="VE74" s="53"/>
      <c r="VF74" s="53"/>
      <c r="VG74" s="53"/>
      <c r="VH74" s="53"/>
      <c r="VI74" s="53"/>
      <c r="VJ74" s="53"/>
      <c r="VK74" s="53"/>
      <c r="VL74" s="53"/>
    </row>
    <row r="75" spans="1:584" s="47" customFormat="1" ht="45" x14ac:dyDescent="0.25">
      <c r="A75" s="45" t="s">
        <v>497</v>
      </c>
      <c r="B75" s="91" t="str">
        <f>'дод 3'!A172</f>
        <v>7363</v>
      </c>
      <c r="C75" s="91" t="str">
        <f>'дод 3'!B172</f>
        <v>0490</v>
      </c>
      <c r="D75" s="48" t="str">
        <f>'дод 3'!C172</f>
        <v>Виконання інвестиційних проектів в рамках здійснення заходів щодо соціально-економічного розвитку окремих територій</v>
      </c>
      <c r="E75" s="115">
        <v>0</v>
      </c>
      <c r="F75" s="115"/>
      <c r="G75" s="115"/>
      <c r="H75" s="115"/>
      <c r="I75" s="115"/>
      <c r="J75" s="115"/>
      <c r="K75" s="135"/>
      <c r="L75" s="115">
        <f t="shared" si="16"/>
        <v>14122436.43</v>
      </c>
      <c r="M75" s="115">
        <f>6305000+4331074.49+172387.94+1989000+3405000-2080026</f>
        <v>14122436.43</v>
      </c>
      <c r="N75" s="115"/>
      <c r="O75" s="115"/>
      <c r="P75" s="115"/>
      <c r="Q75" s="115">
        <f>6305000+4331074.49+172387.94+1989000+3405000-2080026</f>
        <v>14122436.43</v>
      </c>
      <c r="R75" s="115">
        <f t="shared" si="7"/>
        <v>13851353.66</v>
      </c>
      <c r="S75" s="115">
        <v>13851353.66</v>
      </c>
      <c r="T75" s="115"/>
      <c r="U75" s="115"/>
      <c r="V75" s="115"/>
      <c r="W75" s="115">
        <v>13851353.66</v>
      </c>
      <c r="X75" s="166">
        <f t="shared" si="5"/>
        <v>98.080481570275339</v>
      </c>
      <c r="Y75" s="115">
        <f t="shared" si="15"/>
        <v>13851353.66</v>
      </c>
      <c r="Z75" s="187"/>
      <c r="AA75" s="53"/>
      <c r="AB75" s="53"/>
      <c r="AC75" s="53"/>
      <c r="AD75" s="53"/>
      <c r="AE75" s="79"/>
      <c r="AF75" s="79"/>
      <c r="AG75" s="79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  <c r="KO75" s="53"/>
      <c r="KP75" s="53"/>
      <c r="KQ75" s="53"/>
      <c r="KR75" s="53"/>
      <c r="KS75" s="53"/>
      <c r="KT75" s="53"/>
      <c r="KU75" s="53"/>
      <c r="KV75" s="53"/>
      <c r="KW75" s="53"/>
      <c r="KX75" s="53"/>
      <c r="KY75" s="53"/>
      <c r="KZ75" s="53"/>
      <c r="LA75" s="53"/>
      <c r="LB75" s="53"/>
      <c r="LC75" s="53"/>
      <c r="LD75" s="53"/>
      <c r="LE75" s="53"/>
      <c r="LF75" s="53"/>
      <c r="LG75" s="53"/>
      <c r="LH75" s="53"/>
      <c r="LI75" s="53"/>
      <c r="LJ75" s="53"/>
      <c r="LK75" s="53"/>
      <c r="LL75" s="53"/>
      <c r="LM75" s="53"/>
      <c r="LN75" s="53"/>
      <c r="LO75" s="53"/>
      <c r="LP75" s="53"/>
      <c r="LQ75" s="53"/>
      <c r="LR75" s="53"/>
      <c r="LS75" s="53"/>
      <c r="LT75" s="53"/>
      <c r="LU75" s="53"/>
      <c r="LV75" s="53"/>
      <c r="LW75" s="53"/>
      <c r="LX75" s="53"/>
      <c r="LY75" s="53"/>
      <c r="LZ75" s="53"/>
      <c r="MA75" s="53"/>
      <c r="MB75" s="53"/>
      <c r="MC75" s="53"/>
      <c r="MD75" s="53"/>
      <c r="ME75" s="53"/>
      <c r="MF75" s="53"/>
      <c r="MG75" s="53"/>
      <c r="MH75" s="53"/>
      <c r="MI75" s="53"/>
      <c r="MJ75" s="53"/>
      <c r="MK75" s="53"/>
      <c r="ML75" s="53"/>
      <c r="MM75" s="53"/>
      <c r="MN75" s="53"/>
      <c r="MO75" s="53"/>
      <c r="MP75" s="53"/>
      <c r="MQ75" s="53"/>
      <c r="MR75" s="53"/>
      <c r="MS75" s="53"/>
      <c r="MT75" s="53"/>
      <c r="MU75" s="53"/>
      <c r="MV75" s="53"/>
      <c r="MW75" s="53"/>
      <c r="MX75" s="53"/>
      <c r="MY75" s="53"/>
      <c r="MZ75" s="53"/>
      <c r="NA75" s="53"/>
      <c r="NB75" s="53"/>
      <c r="NC75" s="53"/>
      <c r="ND75" s="53"/>
      <c r="NE75" s="53"/>
      <c r="NF75" s="53"/>
      <c r="NG75" s="53"/>
      <c r="NH75" s="53"/>
      <c r="NI75" s="53"/>
      <c r="NJ75" s="53"/>
      <c r="NK75" s="53"/>
      <c r="NL75" s="53"/>
      <c r="NM75" s="53"/>
      <c r="NN75" s="53"/>
      <c r="NO75" s="53"/>
      <c r="NP75" s="53"/>
      <c r="NQ75" s="53"/>
      <c r="NR75" s="53"/>
      <c r="NS75" s="53"/>
      <c r="NT75" s="53"/>
      <c r="NU75" s="53"/>
      <c r="NV75" s="53"/>
      <c r="NW75" s="53"/>
      <c r="NX75" s="53"/>
      <c r="NY75" s="53"/>
      <c r="NZ75" s="53"/>
      <c r="OA75" s="53"/>
      <c r="OB75" s="53"/>
      <c r="OC75" s="53"/>
      <c r="OD75" s="53"/>
      <c r="OE75" s="53"/>
      <c r="OF75" s="53"/>
      <c r="OG75" s="53"/>
      <c r="OH75" s="53"/>
      <c r="OI75" s="53"/>
      <c r="OJ75" s="53"/>
      <c r="OK75" s="53"/>
      <c r="OL75" s="53"/>
      <c r="OM75" s="53"/>
      <c r="ON75" s="53"/>
      <c r="OO75" s="53"/>
      <c r="OP75" s="53"/>
      <c r="OQ75" s="53"/>
      <c r="OR75" s="53"/>
      <c r="OS75" s="53"/>
      <c r="OT75" s="53"/>
      <c r="OU75" s="53"/>
      <c r="OV75" s="53"/>
      <c r="OW75" s="53"/>
      <c r="OX75" s="53"/>
      <c r="OY75" s="53"/>
      <c r="OZ75" s="53"/>
      <c r="PA75" s="53"/>
      <c r="PB75" s="53"/>
      <c r="PC75" s="53"/>
      <c r="PD75" s="53"/>
      <c r="PE75" s="53"/>
      <c r="PF75" s="53"/>
      <c r="PG75" s="53"/>
      <c r="PH75" s="53"/>
      <c r="PI75" s="53"/>
      <c r="PJ75" s="53"/>
      <c r="PK75" s="53"/>
      <c r="PL75" s="53"/>
      <c r="PM75" s="53"/>
      <c r="PN75" s="53"/>
      <c r="PO75" s="53"/>
      <c r="PP75" s="53"/>
      <c r="PQ75" s="53"/>
      <c r="PR75" s="53"/>
      <c r="PS75" s="53"/>
      <c r="PT75" s="53"/>
      <c r="PU75" s="53"/>
      <c r="PV75" s="53"/>
      <c r="PW75" s="53"/>
      <c r="PX75" s="53"/>
      <c r="PY75" s="53"/>
      <c r="PZ75" s="53"/>
      <c r="QA75" s="53"/>
      <c r="QB75" s="53"/>
      <c r="QC75" s="53"/>
      <c r="QD75" s="53"/>
      <c r="QE75" s="53"/>
      <c r="QF75" s="53"/>
      <c r="QG75" s="53"/>
      <c r="QH75" s="53"/>
      <c r="QI75" s="53"/>
      <c r="QJ75" s="53"/>
      <c r="QK75" s="53"/>
      <c r="QL75" s="53"/>
      <c r="QM75" s="53"/>
      <c r="QN75" s="53"/>
      <c r="QO75" s="53"/>
      <c r="QP75" s="53"/>
      <c r="QQ75" s="53"/>
      <c r="QR75" s="53"/>
      <c r="QS75" s="53"/>
      <c r="QT75" s="53"/>
      <c r="QU75" s="53"/>
      <c r="QV75" s="53"/>
      <c r="QW75" s="53"/>
      <c r="QX75" s="53"/>
      <c r="QY75" s="53"/>
      <c r="QZ75" s="53"/>
      <c r="RA75" s="53"/>
      <c r="RB75" s="53"/>
      <c r="RC75" s="53"/>
      <c r="RD75" s="53"/>
      <c r="RE75" s="53"/>
      <c r="RF75" s="53"/>
      <c r="RG75" s="53"/>
      <c r="RH75" s="53"/>
      <c r="RI75" s="53"/>
      <c r="RJ75" s="53"/>
      <c r="RK75" s="53"/>
      <c r="RL75" s="53"/>
      <c r="RM75" s="53"/>
      <c r="RN75" s="53"/>
      <c r="RO75" s="53"/>
      <c r="RP75" s="53"/>
      <c r="RQ75" s="53"/>
      <c r="RR75" s="53"/>
      <c r="RS75" s="53"/>
      <c r="RT75" s="53"/>
      <c r="RU75" s="53"/>
      <c r="RV75" s="53"/>
      <c r="RW75" s="53"/>
      <c r="RX75" s="53"/>
      <c r="RY75" s="53"/>
      <c r="RZ75" s="53"/>
      <c r="SA75" s="53"/>
      <c r="SB75" s="53"/>
      <c r="SC75" s="53"/>
      <c r="SD75" s="53"/>
      <c r="SE75" s="53"/>
      <c r="SF75" s="53"/>
      <c r="SG75" s="53"/>
      <c r="SH75" s="53"/>
      <c r="SI75" s="53"/>
      <c r="SJ75" s="53"/>
      <c r="SK75" s="53"/>
      <c r="SL75" s="53"/>
      <c r="SM75" s="53"/>
      <c r="SN75" s="53"/>
      <c r="SO75" s="53"/>
      <c r="SP75" s="53"/>
      <c r="SQ75" s="53"/>
      <c r="SR75" s="53"/>
      <c r="SS75" s="53"/>
      <c r="ST75" s="53"/>
      <c r="SU75" s="53"/>
      <c r="SV75" s="53"/>
      <c r="SW75" s="53"/>
      <c r="SX75" s="53"/>
      <c r="SY75" s="53"/>
      <c r="SZ75" s="53"/>
      <c r="TA75" s="53"/>
      <c r="TB75" s="53"/>
      <c r="TC75" s="53"/>
      <c r="TD75" s="53"/>
      <c r="TE75" s="53"/>
      <c r="TF75" s="53"/>
      <c r="TG75" s="53"/>
      <c r="TH75" s="53"/>
      <c r="TI75" s="53"/>
      <c r="TJ75" s="53"/>
      <c r="TK75" s="53"/>
      <c r="TL75" s="53"/>
      <c r="TM75" s="53"/>
      <c r="TN75" s="53"/>
      <c r="TO75" s="53"/>
      <c r="TP75" s="53"/>
      <c r="TQ75" s="53"/>
      <c r="TR75" s="53"/>
      <c r="TS75" s="53"/>
      <c r="TT75" s="53"/>
      <c r="TU75" s="53"/>
      <c r="TV75" s="53"/>
      <c r="TW75" s="53"/>
      <c r="TX75" s="53"/>
      <c r="TY75" s="53"/>
      <c r="TZ75" s="53"/>
      <c r="UA75" s="53"/>
      <c r="UB75" s="53"/>
      <c r="UC75" s="53"/>
      <c r="UD75" s="53"/>
      <c r="UE75" s="53"/>
      <c r="UF75" s="53"/>
      <c r="UG75" s="53"/>
      <c r="UH75" s="53"/>
      <c r="UI75" s="53"/>
      <c r="UJ75" s="53"/>
      <c r="UK75" s="53"/>
      <c r="UL75" s="53"/>
      <c r="UM75" s="53"/>
      <c r="UN75" s="53"/>
      <c r="UO75" s="53"/>
      <c r="UP75" s="53"/>
      <c r="UQ75" s="53"/>
      <c r="UR75" s="53"/>
      <c r="US75" s="53"/>
      <c r="UT75" s="53"/>
      <c r="UU75" s="53"/>
      <c r="UV75" s="53"/>
      <c r="UW75" s="53"/>
      <c r="UX75" s="53"/>
      <c r="UY75" s="53"/>
      <c r="UZ75" s="53"/>
      <c r="VA75" s="53"/>
      <c r="VB75" s="53"/>
      <c r="VC75" s="53"/>
      <c r="VD75" s="53"/>
      <c r="VE75" s="53"/>
      <c r="VF75" s="53"/>
      <c r="VG75" s="53"/>
      <c r="VH75" s="53"/>
      <c r="VI75" s="53"/>
      <c r="VJ75" s="53"/>
      <c r="VK75" s="53"/>
      <c r="VL75" s="53"/>
    </row>
    <row r="76" spans="1:584" s="47" customFormat="1" ht="20.25" customHeight="1" x14ac:dyDescent="0.25">
      <c r="A76" s="45"/>
      <c r="B76" s="91"/>
      <c r="C76" s="91"/>
      <c r="D76" s="46" t="s">
        <v>342</v>
      </c>
      <c r="E76" s="115">
        <v>0</v>
      </c>
      <c r="F76" s="115"/>
      <c r="G76" s="115"/>
      <c r="H76" s="115"/>
      <c r="I76" s="115"/>
      <c r="J76" s="115"/>
      <c r="K76" s="135"/>
      <c r="L76" s="115">
        <f t="shared" si="16"/>
        <v>13950048.49</v>
      </c>
      <c r="M76" s="115">
        <f>6305000+4331074.49+1989000+3405000-2080026</f>
        <v>13950048.49</v>
      </c>
      <c r="N76" s="115"/>
      <c r="O76" s="115"/>
      <c r="P76" s="115"/>
      <c r="Q76" s="115">
        <f>6305000+4331074.49+1989000+3405000-2080026</f>
        <v>13950048.49</v>
      </c>
      <c r="R76" s="115">
        <f t="shared" si="7"/>
        <v>13692145.060000001</v>
      </c>
      <c r="S76" s="115">
        <v>13692145.060000001</v>
      </c>
      <c r="T76" s="115"/>
      <c r="U76" s="115"/>
      <c r="V76" s="115"/>
      <c r="W76" s="115">
        <v>13692145.060000001</v>
      </c>
      <c r="X76" s="166">
        <f t="shared" si="5"/>
        <v>98.15123631874917</v>
      </c>
      <c r="Y76" s="115">
        <f t="shared" si="15"/>
        <v>13692145.060000001</v>
      </c>
      <c r="Z76" s="187"/>
      <c r="AA76" s="53"/>
      <c r="AB76" s="53"/>
      <c r="AC76" s="53"/>
      <c r="AD76" s="53"/>
      <c r="AE76" s="79"/>
      <c r="AF76" s="79"/>
      <c r="AG76" s="79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  <c r="IW76" s="53"/>
      <c r="IX76" s="53"/>
      <c r="IY76" s="53"/>
      <c r="IZ76" s="53"/>
      <c r="JA76" s="53"/>
      <c r="JB76" s="53"/>
      <c r="JC76" s="53"/>
      <c r="JD76" s="53"/>
      <c r="JE76" s="53"/>
      <c r="JF76" s="53"/>
      <c r="JG76" s="53"/>
      <c r="JH76" s="53"/>
      <c r="JI76" s="53"/>
      <c r="JJ76" s="53"/>
      <c r="JK76" s="53"/>
      <c r="JL76" s="53"/>
      <c r="JM76" s="53"/>
      <c r="JN76" s="53"/>
      <c r="JO76" s="53"/>
      <c r="JP76" s="53"/>
      <c r="JQ76" s="53"/>
      <c r="JR76" s="53"/>
      <c r="JS76" s="53"/>
      <c r="JT76" s="53"/>
      <c r="JU76" s="53"/>
      <c r="JV76" s="53"/>
      <c r="JW76" s="53"/>
      <c r="JX76" s="53"/>
      <c r="JY76" s="53"/>
      <c r="JZ76" s="53"/>
      <c r="KA76" s="53"/>
      <c r="KB76" s="53"/>
      <c r="KC76" s="53"/>
      <c r="KD76" s="53"/>
      <c r="KE76" s="53"/>
      <c r="KF76" s="53"/>
      <c r="KG76" s="53"/>
      <c r="KH76" s="53"/>
      <c r="KI76" s="53"/>
      <c r="KJ76" s="53"/>
      <c r="KK76" s="53"/>
      <c r="KL76" s="53"/>
      <c r="KM76" s="53"/>
      <c r="KN76" s="53"/>
      <c r="KO76" s="53"/>
      <c r="KP76" s="53"/>
      <c r="KQ76" s="53"/>
      <c r="KR76" s="53"/>
      <c r="KS76" s="53"/>
      <c r="KT76" s="53"/>
      <c r="KU76" s="53"/>
      <c r="KV76" s="53"/>
      <c r="KW76" s="53"/>
      <c r="KX76" s="53"/>
      <c r="KY76" s="53"/>
      <c r="KZ76" s="53"/>
      <c r="LA76" s="53"/>
      <c r="LB76" s="53"/>
      <c r="LC76" s="53"/>
      <c r="LD76" s="53"/>
      <c r="LE76" s="53"/>
      <c r="LF76" s="53"/>
      <c r="LG76" s="53"/>
      <c r="LH76" s="53"/>
      <c r="LI76" s="53"/>
      <c r="LJ76" s="53"/>
      <c r="LK76" s="53"/>
      <c r="LL76" s="53"/>
      <c r="LM76" s="53"/>
      <c r="LN76" s="53"/>
      <c r="LO76" s="53"/>
      <c r="LP76" s="53"/>
      <c r="LQ76" s="53"/>
      <c r="LR76" s="53"/>
      <c r="LS76" s="53"/>
      <c r="LT76" s="53"/>
      <c r="LU76" s="53"/>
      <c r="LV76" s="53"/>
      <c r="LW76" s="53"/>
      <c r="LX76" s="53"/>
      <c r="LY76" s="53"/>
      <c r="LZ76" s="53"/>
      <c r="MA76" s="53"/>
      <c r="MB76" s="53"/>
      <c r="MC76" s="53"/>
      <c r="MD76" s="53"/>
      <c r="ME76" s="53"/>
      <c r="MF76" s="53"/>
      <c r="MG76" s="53"/>
      <c r="MH76" s="53"/>
      <c r="MI76" s="53"/>
      <c r="MJ76" s="53"/>
      <c r="MK76" s="53"/>
      <c r="ML76" s="53"/>
      <c r="MM76" s="53"/>
      <c r="MN76" s="53"/>
      <c r="MO76" s="53"/>
      <c r="MP76" s="53"/>
      <c r="MQ76" s="53"/>
      <c r="MR76" s="53"/>
      <c r="MS76" s="53"/>
      <c r="MT76" s="53"/>
      <c r="MU76" s="53"/>
      <c r="MV76" s="53"/>
      <c r="MW76" s="53"/>
      <c r="MX76" s="53"/>
      <c r="MY76" s="53"/>
      <c r="MZ76" s="53"/>
      <c r="NA76" s="53"/>
      <c r="NB76" s="53"/>
      <c r="NC76" s="53"/>
      <c r="ND76" s="53"/>
      <c r="NE76" s="53"/>
      <c r="NF76" s="53"/>
      <c r="NG76" s="53"/>
      <c r="NH76" s="53"/>
      <c r="NI76" s="53"/>
      <c r="NJ76" s="53"/>
      <c r="NK76" s="53"/>
      <c r="NL76" s="53"/>
      <c r="NM76" s="53"/>
      <c r="NN76" s="53"/>
      <c r="NO76" s="53"/>
      <c r="NP76" s="53"/>
      <c r="NQ76" s="53"/>
      <c r="NR76" s="53"/>
      <c r="NS76" s="53"/>
      <c r="NT76" s="53"/>
      <c r="NU76" s="53"/>
      <c r="NV76" s="53"/>
      <c r="NW76" s="53"/>
      <c r="NX76" s="53"/>
      <c r="NY76" s="53"/>
      <c r="NZ76" s="53"/>
      <c r="OA76" s="53"/>
      <c r="OB76" s="53"/>
      <c r="OC76" s="53"/>
      <c r="OD76" s="53"/>
      <c r="OE76" s="53"/>
      <c r="OF76" s="53"/>
      <c r="OG76" s="53"/>
      <c r="OH76" s="53"/>
      <c r="OI76" s="53"/>
      <c r="OJ76" s="53"/>
      <c r="OK76" s="53"/>
      <c r="OL76" s="53"/>
      <c r="OM76" s="53"/>
      <c r="ON76" s="53"/>
      <c r="OO76" s="53"/>
      <c r="OP76" s="53"/>
      <c r="OQ76" s="53"/>
      <c r="OR76" s="53"/>
      <c r="OS76" s="53"/>
      <c r="OT76" s="53"/>
      <c r="OU76" s="53"/>
      <c r="OV76" s="53"/>
      <c r="OW76" s="53"/>
      <c r="OX76" s="53"/>
      <c r="OY76" s="53"/>
      <c r="OZ76" s="53"/>
      <c r="PA76" s="53"/>
      <c r="PB76" s="53"/>
      <c r="PC76" s="53"/>
      <c r="PD76" s="53"/>
      <c r="PE76" s="53"/>
      <c r="PF76" s="53"/>
      <c r="PG76" s="53"/>
      <c r="PH76" s="53"/>
      <c r="PI76" s="53"/>
      <c r="PJ76" s="53"/>
      <c r="PK76" s="53"/>
      <c r="PL76" s="53"/>
      <c r="PM76" s="53"/>
      <c r="PN76" s="53"/>
      <c r="PO76" s="53"/>
      <c r="PP76" s="53"/>
      <c r="PQ76" s="53"/>
      <c r="PR76" s="53"/>
      <c r="PS76" s="53"/>
      <c r="PT76" s="53"/>
      <c r="PU76" s="53"/>
      <c r="PV76" s="53"/>
      <c r="PW76" s="53"/>
      <c r="PX76" s="53"/>
      <c r="PY76" s="53"/>
      <c r="PZ76" s="53"/>
      <c r="QA76" s="53"/>
      <c r="QB76" s="53"/>
      <c r="QC76" s="53"/>
      <c r="QD76" s="53"/>
      <c r="QE76" s="53"/>
      <c r="QF76" s="53"/>
      <c r="QG76" s="53"/>
      <c r="QH76" s="53"/>
      <c r="QI76" s="53"/>
      <c r="QJ76" s="53"/>
      <c r="QK76" s="53"/>
      <c r="QL76" s="53"/>
      <c r="QM76" s="53"/>
      <c r="QN76" s="53"/>
      <c r="QO76" s="53"/>
      <c r="QP76" s="53"/>
      <c r="QQ76" s="53"/>
      <c r="QR76" s="53"/>
      <c r="QS76" s="53"/>
      <c r="QT76" s="53"/>
      <c r="QU76" s="53"/>
      <c r="QV76" s="53"/>
      <c r="QW76" s="53"/>
      <c r="QX76" s="53"/>
      <c r="QY76" s="53"/>
      <c r="QZ76" s="53"/>
      <c r="RA76" s="53"/>
      <c r="RB76" s="53"/>
      <c r="RC76" s="53"/>
      <c r="RD76" s="53"/>
      <c r="RE76" s="53"/>
      <c r="RF76" s="53"/>
      <c r="RG76" s="53"/>
      <c r="RH76" s="53"/>
      <c r="RI76" s="53"/>
      <c r="RJ76" s="53"/>
      <c r="RK76" s="53"/>
      <c r="RL76" s="53"/>
      <c r="RM76" s="53"/>
      <c r="RN76" s="53"/>
      <c r="RO76" s="53"/>
      <c r="RP76" s="53"/>
      <c r="RQ76" s="53"/>
      <c r="RR76" s="53"/>
      <c r="RS76" s="53"/>
      <c r="RT76" s="53"/>
      <c r="RU76" s="53"/>
      <c r="RV76" s="53"/>
      <c r="RW76" s="53"/>
      <c r="RX76" s="53"/>
      <c r="RY76" s="53"/>
      <c r="RZ76" s="53"/>
      <c r="SA76" s="53"/>
      <c r="SB76" s="53"/>
      <c r="SC76" s="53"/>
      <c r="SD76" s="53"/>
      <c r="SE76" s="53"/>
      <c r="SF76" s="53"/>
      <c r="SG76" s="53"/>
      <c r="SH76" s="53"/>
      <c r="SI76" s="53"/>
      <c r="SJ76" s="53"/>
      <c r="SK76" s="53"/>
      <c r="SL76" s="53"/>
      <c r="SM76" s="53"/>
      <c r="SN76" s="53"/>
      <c r="SO76" s="53"/>
      <c r="SP76" s="53"/>
      <c r="SQ76" s="53"/>
      <c r="SR76" s="53"/>
      <c r="SS76" s="53"/>
      <c r="ST76" s="53"/>
      <c r="SU76" s="53"/>
      <c r="SV76" s="53"/>
      <c r="SW76" s="53"/>
      <c r="SX76" s="53"/>
      <c r="SY76" s="53"/>
      <c r="SZ76" s="53"/>
      <c r="TA76" s="53"/>
      <c r="TB76" s="53"/>
      <c r="TC76" s="53"/>
      <c r="TD76" s="53"/>
      <c r="TE76" s="53"/>
      <c r="TF76" s="53"/>
      <c r="TG76" s="53"/>
      <c r="TH76" s="53"/>
      <c r="TI76" s="53"/>
      <c r="TJ76" s="53"/>
      <c r="TK76" s="53"/>
      <c r="TL76" s="53"/>
      <c r="TM76" s="53"/>
      <c r="TN76" s="53"/>
      <c r="TO76" s="53"/>
      <c r="TP76" s="53"/>
      <c r="TQ76" s="53"/>
      <c r="TR76" s="53"/>
      <c r="TS76" s="53"/>
      <c r="TT76" s="53"/>
      <c r="TU76" s="53"/>
      <c r="TV76" s="53"/>
      <c r="TW76" s="53"/>
      <c r="TX76" s="53"/>
      <c r="TY76" s="53"/>
      <c r="TZ76" s="53"/>
      <c r="UA76" s="53"/>
      <c r="UB76" s="53"/>
      <c r="UC76" s="53"/>
      <c r="UD76" s="53"/>
      <c r="UE76" s="53"/>
      <c r="UF76" s="53"/>
      <c r="UG76" s="53"/>
      <c r="UH76" s="53"/>
      <c r="UI76" s="53"/>
      <c r="UJ76" s="53"/>
      <c r="UK76" s="53"/>
      <c r="UL76" s="53"/>
      <c r="UM76" s="53"/>
      <c r="UN76" s="53"/>
      <c r="UO76" s="53"/>
      <c r="UP76" s="53"/>
      <c r="UQ76" s="53"/>
      <c r="UR76" s="53"/>
      <c r="US76" s="53"/>
      <c r="UT76" s="53"/>
      <c r="UU76" s="53"/>
      <c r="UV76" s="53"/>
      <c r="UW76" s="53"/>
      <c r="UX76" s="53"/>
      <c r="UY76" s="53"/>
      <c r="UZ76" s="53"/>
      <c r="VA76" s="53"/>
      <c r="VB76" s="53"/>
      <c r="VC76" s="53"/>
      <c r="VD76" s="53"/>
      <c r="VE76" s="53"/>
      <c r="VF76" s="53"/>
      <c r="VG76" s="53"/>
      <c r="VH76" s="53"/>
      <c r="VI76" s="53"/>
      <c r="VJ76" s="53"/>
      <c r="VK76" s="53"/>
      <c r="VL76" s="53"/>
    </row>
    <row r="77" spans="1:584" s="47" customFormat="1" ht="18" customHeight="1" x14ac:dyDescent="0.25">
      <c r="A77" s="45" t="s">
        <v>228</v>
      </c>
      <c r="B77" s="91" t="str">
        <f>'дод 3'!A189</f>
        <v>7640</v>
      </c>
      <c r="C77" s="91" t="str">
        <f>'дод 3'!B189</f>
        <v>0470</v>
      </c>
      <c r="D77" s="48" t="str">
        <f>'дод 3'!C189</f>
        <v>Заходи з енергозбереження</v>
      </c>
      <c r="E77" s="115">
        <v>427000</v>
      </c>
      <c r="F77" s="115"/>
      <c r="G77" s="115"/>
      <c r="H77" s="115">
        <v>419999</v>
      </c>
      <c r="I77" s="115"/>
      <c r="J77" s="115"/>
      <c r="K77" s="164">
        <f t="shared" ref="K77:K140" si="17">H77/E77*100</f>
        <v>98.360421545667435</v>
      </c>
      <c r="L77" s="115">
        <f t="shared" si="16"/>
        <v>4451714.3499999996</v>
      </c>
      <c r="M77" s="115">
        <f>4046000+3900000-3900000-450000+1300000-444285.65</f>
        <v>4451714.3499999996</v>
      </c>
      <c r="N77" s="115"/>
      <c r="O77" s="115"/>
      <c r="P77" s="115"/>
      <c r="Q77" s="115">
        <f>4046000+3900000-3900000-450000+1300000-444285.65</f>
        <v>4451714.3499999996</v>
      </c>
      <c r="R77" s="115">
        <f t="shared" si="7"/>
        <v>4291694.29</v>
      </c>
      <c r="S77" s="115">
        <v>4291694.29</v>
      </c>
      <c r="T77" s="115"/>
      <c r="U77" s="115"/>
      <c r="V77" s="115"/>
      <c r="W77" s="115">
        <v>4291694.29</v>
      </c>
      <c r="X77" s="166">
        <f t="shared" ref="X77:X118" si="18">R77/L77*100</f>
        <v>96.405428394119681</v>
      </c>
      <c r="Y77" s="115">
        <f t="shared" si="15"/>
        <v>4711693.29</v>
      </c>
      <c r="Z77" s="187"/>
      <c r="AA77" s="53"/>
      <c r="AB77" s="53"/>
      <c r="AC77" s="53"/>
      <c r="AD77" s="53"/>
      <c r="AE77" s="79"/>
      <c r="AF77" s="79"/>
      <c r="AG77" s="79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  <c r="IX77" s="53"/>
      <c r="IY77" s="53"/>
      <c r="IZ77" s="53"/>
      <c r="JA77" s="53"/>
      <c r="JB77" s="53"/>
      <c r="JC77" s="53"/>
      <c r="JD77" s="53"/>
      <c r="JE77" s="53"/>
      <c r="JF77" s="53"/>
      <c r="JG77" s="53"/>
      <c r="JH77" s="53"/>
      <c r="JI77" s="53"/>
      <c r="JJ77" s="53"/>
      <c r="JK77" s="53"/>
      <c r="JL77" s="53"/>
      <c r="JM77" s="53"/>
      <c r="JN77" s="53"/>
      <c r="JO77" s="53"/>
      <c r="JP77" s="53"/>
      <c r="JQ77" s="53"/>
      <c r="JR77" s="53"/>
      <c r="JS77" s="53"/>
      <c r="JT77" s="53"/>
      <c r="JU77" s="53"/>
      <c r="JV77" s="53"/>
      <c r="JW77" s="53"/>
      <c r="JX77" s="53"/>
      <c r="JY77" s="53"/>
      <c r="JZ77" s="53"/>
      <c r="KA77" s="53"/>
      <c r="KB77" s="53"/>
      <c r="KC77" s="53"/>
      <c r="KD77" s="53"/>
      <c r="KE77" s="53"/>
      <c r="KF77" s="53"/>
      <c r="KG77" s="53"/>
      <c r="KH77" s="53"/>
      <c r="KI77" s="53"/>
      <c r="KJ77" s="53"/>
      <c r="KK77" s="53"/>
      <c r="KL77" s="53"/>
      <c r="KM77" s="53"/>
      <c r="KN77" s="53"/>
      <c r="KO77" s="53"/>
      <c r="KP77" s="53"/>
      <c r="KQ77" s="53"/>
      <c r="KR77" s="53"/>
      <c r="KS77" s="53"/>
      <c r="KT77" s="53"/>
      <c r="KU77" s="53"/>
      <c r="KV77" s="53"/>
      <c r="KW77" s="53"/>
      <c r="KX77" s="53"/>
      <c r="KY77" s="53"/>
      <c r="KZ77" s="53"/>
      <c r="LA77" s="53"/>
      <c r="LB77" s="53"/>
      <c r="LC77" s="53"/>
      <c r="LD77" s="53"/>
      <c r="LE77" s="53"/>
      <c r="LF77" s="53"/>
      <c r="LG77" s="53"/>
      <c r="LH77" s="53"/>
      <c r="LI77" s="53"/>
      <c r="LJ77" s="53"/>
      <c r="LK77" s="53"/>
      <c r="LL77" s="53"/>
      <c r="LM77" s="53"/>
      <c r="LN77" s="53"/>
      <c r="LO77" s="53"/>
      <c r="LP77" s="53"/>
      <c r="LQ77" s="53"/>
      <c r="LR77" s="53"/>
      <c r="LS77" s="53"/>
      <c r="LT77" s="53"/>
      <c r="LU77" s="53"/>
      <c r="LV77" s="53"/>
      <c r="LW77" s="53"/>
      <c r="LX77" s="53"/>
      <c r="LY77" s="53"/>
      <c r="LZ77" s="53"/>
      <c r="MA77" s="53"/>
      <c r="MB77" s="53"/>
      <c r="MC77" s="53"/>
      <c r="MD77" s="53"/>
      <c r="ME77" s="53"/>
      <c r="MF77" s="53"/>
      <c r="MG77" s="53"/>
      <c r="MH77" s="53"/>
      <c r="MI77" s="53"/>
      <c r="MJ77" s="53"/>
      <c r="MK77" s="53"/>
      <c r="ML77" s="53"/>
      <c r="MM77" s="53"/>
      <c r="MN77" s="53"/>
      <c r="MO77" s="53"/>
      <c r="MP77" s="53"/>
      <c r="MQ77" s="53"/>
      <c r="MR77" s="53"/>
      <c r="MS77" s="53"/>
      <c r="MT77" s="53"/>
      <c r="MU77" s="53"/>
      <c r="MV77" s="53"/>
      <c r="MW77" s="53"/>
      <c r="MX77" s="53"/>
      <c r="MY77" s="53"/>
      <c r="MZ77" s="53"/>
      <c r="NA77" s="53"/>
      <c r="NB77" s="53"/>
      <c r="NC77" s="53"/>
      <c r="ND77" s="53"/>
      <c r="NE77" s="53"/>
      <c r="NF77" s="53"/>
      <c r="NG77" s="53"/>
      <c r="NH77" s="53"/>
      <c r="NI77" s="53"/>
      <c r="NJ77" s="53"/>
      <c r="NK77" s="53"/>
      <c r="NL77" s="53"/>
      <c r="NM77" s="53"/>
      <c r="NN77" s="53"/>
      <c r="NO77" s="53"/>
      <c r="NP77" s="53"/>
      <c r="NQ77" s="53"/>
      <c r="NR77" s="53"/>
      <c r="NS77" s="53"/>
      <c r="NT77" s="53"/>
      <c r="NU77" s="53"/>
      <c r="NV77" s="53"/>
      <c r="NW77" s="53"/>
      <c r="NX77" s="53"/>
      <c r="NY77" s="53"/>
      <c r="NZ77" s="53"/>
      <c r="OA77" s="53"/>
      <c r="OB77" s="53"/>
      <c r="OC77" s="53"/>
      <c r="OD77" s="53"/>
      <c r="OE77" s="53"/>
      <c r="OF77" s="53"/>
      <c r="OG77" s="53"/>
      <c r="OH77" s="53"/>
      <c r="OI77" s="53"/>
      <c r="OJ77" s="53"/>
      <c r="OK77" s="53"/>
      <c r="OL77" s="53"/>
      <c r="OM77" s="53"/>
      <c r="ON77" s="53"/>
      <c r="OO77" s="53"/>
      <c r="OP77" s="53"/>
      <c r="OQ77" s="53"/>
      <c r="OR77" s="53"/>
      <c r="OS77" s="53"/>
      <c r="OT77" s="53"/>
      <c r="OU77" s="53"/>
      <c r="OV77" s="53"/>
      <c r="OW77" s="53"/>
      <c r="OX77" s="53"/>
      <c r="OY77" s="53"/>
      <c r="OZ77" s="53"/>
      <c r="PA77" s="53"/>
      <c r="PB77" s="53"/>
      <c r="PC77" s="53"/>
      <c r="PD77" s="53"/>
      <c r="PE77" s="53"/>
      <c r="PF77" s="53"/>
      <c r="PG77" s="53"/>
      <c r="PH77" s="53"/>
      <c r="PI77" s="53"/>
      <c r="PJ77" s="53"/>
      <c r="PK77" s="53"/>
      <c r="PL77" s="53"/>
      <c r="PM77" s="53"/>
      <c r="PN77" s="53"/>
      <c r="PO77" s="53"/>
      <c r="PP77" s="53"/>
      <c r="PQ77" s="53"/>
      <c r="PR77" s="53"/>
      <c r="PS77" s="53"/>
      <c r="PT77" s="53"/>
      <c r="PU77" s="53"/>
      <c r="PV77" s="53"/>
      <c r="PW77" s="53"/>
      <c r="PX77" s="53"/>
      <c r="PY77" s="53"/>
      <c r="PZ77" s="53"/>
      <c r="QA77" s="53"/>
      <c r="QB77" s="53"/>
      <c r="QC77" s="53"/>
      <c r="QD77" s="53"/>
      <c r="QE77" s="53"/>
      <c r="QF77" s="53"/>
      <c r="QG77" s="53"/>
      <c r="QH77" s="53"/>
      <c r="QI77" s="53"/>
      <c r="QJ77" s="53"/>
      <c r="QK77" s="53"/>
      <c r="QL77" s="53"/>
      <c r="QM77" s="53"/>
      <c r="QN77" s="53"/>
      <c r="QO77" s="53"/>
      <c r="QP77" s="53"/>
      <c r="QQ77" s="53"/>
      <c r="QR77" s="53"/>
      <c r="QS77" s="53"/>
      <c r="QT77" s="53"/>
      <c r="QU77" s="53"/>
      <c r="QV77" s="53"/>
      <c r="QW77" s="53"/>
      <c r="QX77" s="53"/>
      <c r="QY77" s="53"/>
      <c r="QZ77" s="53"/>
      <c r="RA77" s="53"/>
      <c r="RB77" s="53"/>
      <c r="RC77" s="53"/>
      <c r="RD77" s="53"/>
      <c r="RE77" s="53"/>
      <c r="RF77" s="53"/>
      <c r="RG77" s="53"/>
      <c r="RH77" s="53"/>
      <c r="RI77" s="53"/>
      <c r="RJ77" s="53"/>
      <c r="RK77" s="53"/>
      <c r="RL77" s="53"/>
      <c r="RM77" s="53"/>
      <c r="RN77" s="53"/>
      <c r="RO77" s="53"/>
      <c r="RP77" s="53"/>
      <c r="RQ77" s="53"/>
      <c r="RR77" s="53"/>
      <c r="RS77" s="53"/>
      <c r="RT77" s="53"/>
      <c r="RU77" s="53"/>
      <c r="RV77" s="53"/>
      <c r="RW77" s="53"/>
      <c r="RX77" s="53"/>
      <c r="RY77" s="53"/>
      <c r="RZ77" s="53"/>
      <c r="SA77" s="53"/>
      <c r="SB77" s="53"/>
      <c r="SC77" s="53"/>
      <c r="SD77" s="53"/>
      <c r="SE77" s="53"/>
      <c r="SF77" s="53"/>
      <c r="SG77" s="53"/>
      <c r="SH77" s="53"/>
      <c r="SI77" s="53"/>
      <c r="SJ77" s="53"/>
      <c r="SK77" s="53"/>
      <c r="SL77" s="53"/>
      <c r="SM77" s="53"/>
      <c r="SN77" s="53"/>
      <c r="SO77" s="53"/>
      <c r="SP77" s="53"/>
      <c r="SQ77" s="53"/>
      <c r="SR77" s="53"/>
      <c r="SS77" s="53"/>
      <c r="ST77" s="53"/>
      <c r="SU77" s="53"/>
      <c r="SV77" s="53"/>
      <c r="SW77" s="53"/>
      <c r="SX77" s="53"/>
      <c r="SY77" s="53"/>
      <c r="SZ77" s="53"/>
      <c r="TA77" s="53"/>
      <c r="TB77" s="53"/>
      <c r="TC77" s="53"/>
      <c r="TD77" s="53"/>
      <c r="TE77" s="53"/>
      <c r="TF77" s="53"/>
      <c r="TG77" s="53"/>
      <c r="TH77" s="53"/>
      <c r="TI77" s="53"/>
      <c r="TJ77" s="53"/>
      <c r="TK77" s="53"/>
      <c r="TL77" s="53"/>
      <c r="TM77" s="53"/>
      <c r="TN77" s="53"/>
      <c r="TO77" s="53"/>
      <c r="TP77" s="53"/>
      <c r="TQ77" s="53"/>
      <c r="TR77" s="53"/>
      <c r="TS77" s="53"/>
      <c r="TT77" s="53"/>
      <c r="TU77" s="53"/>
      <c r="TV77" s="53"/>
      <c r="TW77" s="53"/>
      <c r="TX77" s="53"/>
      <c r="TY77" s="53"/>
      <c r="TZ77" s="53"/>
      <c r="UA77" s="53"/>
      <c r="UB77" s="53"/>
      <c r="UC77" s="53"/>
      <c r="UD77" s="53"/>
      <c r="UE77" s="53"/>
      <c r="UF77" s="53"/>
      <c r="UG77" s="53"/>
      <c r="UH77" s="53"/>
      <c r="UI77" s="53"/>
      <c r="UJ77" s="53"/>
      <c r="UK77" s="53"/>
      <c r="UL77" s="53"/>
      <c r="UM77" s="53"/>
      <c r="UN77" s="53"/>
      <c r="UO77" s="53"/>
      <c r="UP77" s="53"/>
      <c r="UQ77" s="53"/>
      <c r="UR77" s="53"/>
      <c r="US77" s="53"/>
      <c r="UT77" s="53"/>
      <c r="UU77" s="53"/>
      <c r="UV77" s="53"/>
      <c r="UW77" s="53"/>
      <c r="UX77" s="53"/>
      <c r="UY77" s="53"/>
      <c r="UZ77" s="53"/>
      <c r="VA77" s="53"/>
      <c r="VB77" s="53"/>
      <c r="VC77" s="53"/>
      <c r="VD77" s="53"/>
      <c r="VE77" s="53"/>
      <c r="VF77" s="53"/>
      <c r="VG77" s="53"/>
      <c r="VH77" s="53"/>
      <c r="VI77" s="53"/>
      <c r="VJ77" s="53"/>
      <c r="VK77" s="53"/>
      <c r="VL77" s="53"/>
    </row>
    <row r="78" spans="1:584" s="47" customFormat="1" ht="23.25" customHeight="1" x14ac:dyDescent="0.25">
      <c r="A78" s="45" t="s">
        <v>229</v>
      </c>
      <c r="B78" s="91" t="str">
        <f>'дод 3'!A207</f>
        <v>8340</v>
      </c>
      <c r="C78" s="91" t="str">
        <f>'дод 3'!B207</f>
        <v>0540</v>
      </c>
      <c r="D78" s="48" t="str">
        <f>'дод 3'!C207</f>
        <v>Природоохоронні заходи за рахунок цільових фондів</v>
      </c>
      <c r="E78" s="115">
        <v>0</v>
      </c>
      <c r="F78" s="115"/>
      <c r="G78" s="115"/>
      <c r="H78" s="115"/>
      <c r="I78" s="115"/>
      <c r="J78" s="115"/>
      <c r="K78" s="164"/>
      <c r="L78" s="115">
        <f t="shared" si="16"/>
        <v>485000</v>
      </c>
      <c r="M78" s="115"/>
      <c r="N78" s="115">
        <f>445000-14500</f>
        <v>430500</v>
      </c>
      <c r="O78" s="115"/>
      <c r="P78" s="115"/>
      <c r="Q78" s="115">
        <f>40000+14500</f>
        <v>54500</v>
      </c>
      <c r="R78" s="115">
        <f t="shared" ref="R78:R141" si="19">T78+W78</f>
        <v>477016.14</v>
      </c>
      <c r="S78" s="115"/>
      <c r="T78" s="115">
        <v>422516.14</v>
      </c>
      <c r="U78" s="115"/>
      <c r="V78" s="115"/>
      <c r="W78" s="115">
        <v>54500</v>
      </c>
      <c r="X78" s="166">
        <f t="shared" si="18"/>
        <v>98.353843298969082</v>
      </c>
      <c r="Y78" s="115">
        <f t="shared" si="15"/>
        <v>477016.14</v>
      </c>
      <c r="Z78" s="187"/>
      <c r="AA78" s="53"/>
      <c r="AB78" s="53"/>
      <c r="AC78" s="53"/>
      <c r="AD78" s="53"/>
      <c r="AE78" s="79"/>
      <c r="AF78" s="79"/>
      <c r="AG78" s="79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  <c r="IX78" s="53"/>
      <c r="IY78" s="53"/>
      <c r="IZ78" s="53"/>
      <c r="JA78" s="53"/>
      <c r="JB78" s="53"/>
      <c r="JC78" s="53"/>
      <c r="JD78" s="53"/>
      <c r="JE78" s="53"/>
      <c r="JF78" s="53"/>
      <c r="JG78" s="53"/>
      <c r="JH78" s="53"/>
      <c r="JI78" s="53"/>
      <c r="JJ78" s="53"/>
      <c r="JK78" s="53"/>
      <c r="JL78" s="53"/>
      <c r="JM78" s="53"/>
      <c r="JN78" s="53"/>
      <c r="JO78" s="53"/>
      <c r="JP78" s="53"/>
      <c r="JQ78" s="53"/>
      <c r="JR78" s="53"/>
      <c r="JS78" s="53"/>
      <c r="JT78" s="53"/>
      <c r="JU78" s="53"/>
      <c r="JV78" s="53"/>
      <c r="JW78" s="53"/>
      <c r="JX78" s="53"/>
      <c r="JY78" s="53"/>
      <c r="JZ78" s="53"/>
      <c r="KA78" s="53"/>
      <c r="KB78" s="53"/>
      <c r="KC78" s="53"/>
      <c r="KD78" s="53"/>
      <c r="KE78" s="53"/>
      <c r="KF78" s="53"/>
      <c r="KG78" s="53"/>
      <c r="KH78" s="53"/>
      <c r="KI78" s="53"/>
      <c r="KJ78" s="53"/>
      <c r="KK78" s="53"/>
      <c r="KL78" s="53"/>
      <c r="KM78" s="53"/>
      <c r="KN78" s="53"/>
      <c r="KO78" s="53"/>
      <c r="KP78" s="53"/>
      <c r="KQ78" s="53"/>
      <c r="KR78" s="53"/>
      <c r="KS78" s="53"/>
      <c r="KT78" s="53"/>
      <c r="KU78" s="53"/>
      <c r="KV78" s="53"/>
      <c r="KW78" s="53"/>
      <c r="KX78" s="53"/>
      <c r="KY78" s="53"/>
      <c r="KZ78" s="53"/>
      <c r="LA78" s="53"/>
      <c r="LB78" s="53"/>
      <c r="LC78" s="53"/>
      <c r="LD78" s="53"/>
      <c r="LE78" s="53"/>
      <c r="LF78" s="53"/>
      <c r="LG78" s="53"/>
      <c r="LH78" s="53"/>
      <c r="LI78" s="53"/>
      <c r="LJ78" s="53"/>
      <c r="LK78" s="53"/>
      <c r="LL78" s="53"/>
      <c r="LM78" s="53"/>
      <c r="LN78" s="53"/>
      <c r="LO78" s="53"/>
      <c r="LP78" s="53"/>
      <c r="LQ78" s="53"/>
      <c r="LR78" s="53"/>
      <c r="LS78" s="53"/>
      <c r="LT78" s="53"/>
      <c r="LU78" s="53"/>
      <c r="LV78" s="53"/>
      <c r="LW78" s="53"/>
      <c r="LX78" s="53"/>
      <c r="LY78" s="53"/>
      <c r="LZ78" s="53"/>
      <c r="MA78" s="53"/>
      <c r="MB78" s="53"/>
      <c r="MC78" s="53"/>
      <c r="MD78" s="53"/>
      <c r="ME78" s="53"/>
      <c r="MF78" s="53"/>
      <c r="MG78" s="53"/>
      <c r="MH78" s="53"/>
      <c r="MI78" s="53"/>
      <c r="MJ78" s="53"/>
      <c r="MK78" s="53"/>
      <c r="ML78" s="53"/>
      <c r="MM78" s="53"/>
      <c r="MN78" s="53"/>
      <c r="MO78" s="53"/>
      <c r="MP78" s="53"/>
      <c r="MQ78" s="53"/>
      <c r="MR78" s="53"/>
      <c r="MS78" s="53"/>
      <c r="MT78" s="53"/>
      <c r="MU78" s="53"/>
      <c r="MV78" s="53"/>
      <c r="MW78" s="53"/>
      <c r="MX78" s="53"/>
      <c r="MY78" s="53"/>
      <c r="MZ78" s="53"/>
      <c r="NA78" s="53"/>
      <c r="NB78" s="53"/>
      <c r="NC78" s="53"/>
      <c r="ND78" s="53"/>
      <c r="NE78" s="53"/>
      <c r="NF78" s="53"/>
      <c r="NG78" s="53"/>
      <c r="NH78" s="53"/>
      <c r="NI78" s="53"/>
      <c r="NJ78" s="53"/>
      <c r="NK78" s="53"/>
      <c r="NL78" s="53"/>
      <c r="NM78" s="53"/>
      <c r="NN78" s="53"/>
      <c r="NO78" s="53"/>
      <c r="NP78" s="53"/>
      <c r="NQ78" s="53"/>
      <c r="NR78" s="53"/>
      <c r="NS78" s="53"/>
      <c r="NT78" s="53"/>
      <c r="NU78" s="53"/>
      <c r="NV78" s="53"/>
      <c r="NW78" s="53"/>
      <c r="NX78" s="53"/>
      <c r="NY78" s="53"/>
      <c r="NZ78" s="53"/>
      <c r="OA78" s="53"/>
      <c r="OB78" s="53"/>
      <c r="OC78" s="53"/>
      <c r="OD78" s="53"/>
      <c r="OE78" s="53"/>
      <c r="OF78" s="53"/>
      <c r="OG78" s="53"/>
      <c r="OH78" s="53"/>
      <c r="OI78" s="53"/>
      <c r="OJ78" s="53"/>
      <c r="OK78" s="53"/>
      <c r="OL78" s="53"/>
      <c r="OM78" s="53"/>
      <c r="ON78" s="53"/>
      <c r="OO78" s="53"/>
      <c r="OP78" s="53"/>
      <c r="OQ78" s="53"/>
      <c r="OR78" s="53"/>
      <c r="OS78" s="53"/>
      <c r="OT78" s="53"/>
      <c r="OU78" s="53"/>
      <c r="OV78" s="53"/>
      <c r="OW78" s="53"/>
      <c r="OX78" s="53"/>
      <c r="OY78" s="53"/>
      <c r="OZ78" s="53"/>
      <c r="PA78" s="53"/>
      <c r="PB78" s="53"/>
      <c r="PC78" s="53"/>
      <c r="PD78" s="53"/>
      <c r="PE78" s="53"/>
      <c r="PF78" s="53"/>
      <c r="PG78" s="53"/>
      <c r="PH78" s="53"/>
      <c r="PI78" s="53"/>
      <c r="PJ78" s="53"/>
      <c r="PK78" s="53"/>
      <c r="PL78" s="53"/>
      <c r="PM78" s="53"/>
      <c r="PN78" s="53"/>
      <c r="PO78" s="53"/>
      <c r="PP78" s="53"/>
      <c r="PQ78" s="53"/>
      <c r="PR78" s="53"/>
      <c r="PS78" s="53"/>
      <c r="PT78" s="53"/>
      <c r="PU78" s="53"/>
      <c r="PV78" s="53"/>
      <c r="PW78" s="53"/>
      <c r="PX78" s="53"/>
      <c r="PY78" s="53"/>
      <c r="PZ78" s="53"/>
      <c r="QA78" s="53"/>
      <c r="QB78" s="53"/>
      <c r="QC78" s="53"/>
      <c r="QD78" s="53"/>
      <c r="QE78" s="53"/>
      <c r="QF78" s="53"/>
      <c r="QG78" s="53"/>
      <c r="QH78" s="53"/>
      <c r="QI78" s="53"/>
      <c r="QJ78" s="53"/>
      <c r="QK78" s="53"/>
      <c r="QL78" s="53"/>
      <c r="QM78" s="53"/>
      <c r="QN78" s="53"/>
      <c r="QO78" s="53"/>
      <c r="QP78" s="53"/>
      <c r="QQ78" s="53"/>
      <c r="QR78" s="53"/>
      <c r="QS78" s="53"/>
      <c r="QT78" s="53"/>
      <c r="QU78" s="53"/>
      <c r="QV78" s="53"/>
      <c r="QW78" s="53"/>
      <c r="QX78" s="53"/>
      <c r="QY78" s="53"/>
      <c r="QZ78" s="53"/>
      <c r="RA78" s="53"/>
      <c r="RB78" s="53"/>
      <c r="RC78" s="53"/>
      <c r="RD78" s="53"/>
      <c r="RE78" s="53"/>
      <c r="RF78" s="53"/>
      <c r="RG78" s="53"/>
      <c r="RH78" s="53"/>
      <c r="RI78" s="53"/>
      <c r="RJ78" s="53"/>
      <c r="RK78" s="53"/>
      <c r="RL78" s="53"/>
      <c r="RM78" s="53"/>
      <c r="RN78" s="53"/>
      <c r="RO78" s="53"/>
      <c r="RP78" s="53"/>
      <c r="RQ78" s="53"/>
      <c r="RR78" s="53"/>
      <c r="RS78" s="53"/>
      <c r="RT78" s="53"/>
      <c r="RU78" s="53"/>
      <c r="RV78" s="53"/>
      <c r="RW78" s="53"/>
      <c r="RX78" s="53"/>
      <c r="RY78" s="53"/>
      <c r="RZ78" s="53"/>
      <c r="SA78" s="53"/>
      <c r="SB78" s="53"/>
      <c r="SC78" s="53"/>
      <c r="SD78" s="53"/>
      <c r="SE78" s="53"/>
      <c r="SF78" s="53"/>
      <c r="SG78" s="53"/>
      <c r="SH78" s="53"/>
      <c r="SI78" s="53"/>
      <c r="SJ78" s="53"/>
      <c r="SK78" s="53"/>
      <c r="SL78" s="53"/>
      <c r="SM78" s="53"/>
      <c r="SN78" s="53"/>
      <c r="SO78" s="53"/>
      <c r="SP78" s="53"/>
      <c r="SQ78" s="53"/>
      <c r="SR78" s="53"/>
      <c r="SS78" s="53"/>
      <c r="ST78" s="53"/>
      <c r="SU78" s="53"/>
      <c r="SV78" s="53"/>
      <c r="SW78" s="53"/>
      <c r="SX78" s="53"/>
      <c r="SY78" s="53"/>
      <c r="SZ78" s="53"/>
      <c r="TA78" s="53"/>
      <c r="TB78" s="53"/>
      <c r="TC78" s="53"/>
      <c r="TD78" s="53"/>
      <c r="TE78" s="53"/>
      <c r="TF78" s="53"/>
      <c r="TG78" s="53"/>
      <c r="TH78" s="53"/>
      <c r="TI78" s="53"/>
      <c r="TJ78" s="53"/>
      <c r="TK78" s="53"/>
      <c r="TL78" s="53"/>
      <c r="TM78" s="53"/>
      <c r="TN78" s="53"/>
      <c r="TO78" s="53"/>
      <c r="TP78" s="53"/>
      <c r="TQ78" s="53"/>
      <c r="TR78" s="53"/>
      <c r="TS78" s="53"/>
      <c r="TT78" s="53"/>
      <c r="TU78" s="53"/>
      <c r="TV78" s="53"/>
      <c r="TW78" s="53"/>
      <c r="TX78" s="53"/>
      <c r="TY78" s="53"/>
      <c r="TZ78" s="53"/>
      <c r="UA78" s="53"/>
      <c r="UB78" s="53"/>
      <c r="UC78" s="53"/>
      <c r="UD78" s="53"/>
      <c r="UE78" s="53"/>
      <c r="UF78" s="53"/>
      <c r="UG78" s="53"/>
      <c r="UH78" s="53"/>
      <c r="UI78" s="53"/>
      <c r="UJ78" s="53"/>
      <c r="UK78" s="53"/>
      <c r="UL78" s="53"/>
      <c r="UM78" s="53"/>
      <c r="UN78" s="53"/>
      <c r="UO78" s="53"/>
      <c r="UP78" s="53"/>
      <c r="UQ78" s="53"/>
      <c r="UR78" s="53"/>
      <c r="US78" s="53"/>
      <c r="UT78" s="53"/>
      <c r="UU78" s="53"/>
      <c r="UV78" s="53"/>
      <c r="UW78" s="53"/>
      <c r="UX78" s="53"/>
      <c r="UY78" s="53"/>
      <c r="UZ78" s="53"/>
      <c r="VA78" s="53"/>
      <c r="VB78" s="53"/>
      <c r="VC78" s="53"/>
      <c r="VD78" s="53"/>
      <c r="VE78" s="53"/>
      <c r="VF78" s="53"/>
      <c r="VG78" s="53"/>
      <c r="VH78" s="53"/>
      <c r="VI78" s="53"/>
      <c r="VJ78" s="53"/>
      <c r="VK78" s="53"/>
      <c r="VL78" s="53"/>
    </row>
    <row r="79" spans="1:584" s="47" customFormat="1" ht="19.5" customHeight="1" x14ac:dyDescent="0.25">
      <c r="A79" s="71" t="s">
        <v>600</v>
      </c>
      <c r="B79" s="91">
        <v>9770</v>
      </c>
      <c r="C79" s="71" t="s">
        <v>68</v>
      </c>
      <c r="D79" s="10" t="s">
        <v>341</v>
      </c>
      <c r="E79" s="115">
        <v>0</v>
      </c>
      <c r="F79" s="115"/>
      <c r="G79" s="115"/>
      <c r="H79" s="115"/>
      <c r="I79" s="115"/>
      <c r="J79" s="115"/>
      <c r="K79" s="164"/>
      <c r="L79" s="115">
        <f t="shared" si="16"/>
        <v>860000</v>
      </c>
      <c r="M79" s="115">
        <v>860000</v>
      </c>
      <c r="N79" s="115"/>
      <c r="O79" s="115"/>
      <c r="P79" s="115"/>
      <c r="Q79" s="115">
        <v>860000</v>
      </c>
      <c r="R79" s="115">
        <f t="shared" si="19"/>
        <v>854000</v>
      </c>
      <c r="S79" s="115">
        <v>854000</v>
      </c>
      <c r="T79" s="115"/>
      <c r="U79" s="115"/>
      <c r="V79" s="115"/>
      <c r="W79" s="115">
        <v>854000</v>
      </c>
      <c r="X79" s="166">
        <f t="shared" si="18"/>
        <v>99.302325581395351</v>
      </c>
      <c r="Y79" s="115">
        <f t="shared" si="15"/>
        <v>854000</v>
      </c>
      <c r="Z79" s="187"/>
      <c r="AA79" s="53"/>
      <c r="AB79" s="53"/>
      <c r="AC79" s="53"/>
      <c r="AD79" s="53"/>
      <c r="AE79" s="79"/>
      <c r="AF79" s="79"/>
      <c r="AG79" s="79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  <c r="IW79" s="53"/>
      <c r="IX79" s="53"/>
      <c r="IY79" s="53"/>
      <c r="IZ79" s="53"/>
      <c r="JA79" s="53"/>
      <c r="JB79" s="53"/>
      <c r="JC79" s="53"/>
      <c r="JD79" s="53"/>
      <c r="JE79" s="53"/>
      <c r="JF79" s="53"/>
      <c r="JG79" s="53"/>
      <c r="JH79" s="53"/>
      <c r="JI79" s="53"/>
      <c r="JJ79" s="53"/>
      <c r="JK79" s="53"/>
      <c r="JL79" s="53"/>
      <c r="JM79" s="53"/>
      <c r="JN79" s="53"/>
      <c r="JO79" s="53"/>
      <c r="JP79" s="53"/>
      <c r="JQ79" s="53"/>
      <c r="JR79" s="53"/>
      <c r="JS79" s="53"/>
      <c r="JT79" s="53"/>
      <c r="JU79" s="53"/>
      <c r="JV79" s="53"/>
      <c r="JW79" s="53"/>
      <c r="JX79" s="53"/>
      <c r="JY79" s="53"/>
      <c r="JZ79" s="53"/>
      <c r="KA79" s="53"/>
      <c r="KB79" s="53"/>
      <c r="KC79" s="53"/>
      <c r="KD79" s="53"/>
      <c r="KE79" s="53"/>
      <c r="KF79" s="53"/>
      <c r="KG79" s="53"/>
      <c r="KH79" s="53"/>
      <c r="KI79" s="53"/>
      <c r="KJ79" s="53"/>
      <c r="KK79" s="53"/>
      <c r="KL79" s="53"/>
      <c r="KM79" s="53"/>
      <c r="KN79" s="53"/>
      <c r="KO79" s="53"/>
      <c r="KP79" s="53"/>
      <c r="KQ79" s="53"/>
      <c r="KR79" s="53"/>
      <c r="KS79" s="53"/>
      <c r="KT79" s="53"/>
      <c r="KU79" s="53"/>
      <c r="KV79" s="53"/>
      <c r="KW79" s="53"/>
      <c r="KX79" s="53"/>
      <c r="KY79" s="53"/>
      <c r="KZ79" s="53"/>
      <c r="LA79" s="53"/>
      <c r="LB79" s="53"/>
      <c r="LC79" s="53"/>
      <c r="LD79" s="53"/>
      <c r="LE79" s="53"/>
      <c r="LF79" s="53"/>
      <c r="LG79" s="53"/>
      <c r="LH79" s="53"/>
      <c r="LI79" s="53"/>
      <c r="LJ79" s="53"/>
      <c r="LK79" s="53"/>
      <c r="LL79" s="53"/>
      <c r="LM79" s="53"/>
      <c r="LN79" s="53"/>
      <c r="LO79" s="53"/>
      <c r="LP79" s="53"/>
      <c r="LQ79" s="53"/>
      <c r="LR79" s="53"/>
      <c r="LS79" s="53"/>
      <c r="LT79" s="53"/>
      <c r="LU79" s="53"/>
      <c r="LV79" s="53"/>
      <c r="LW79" s="53"/>
      <c r="LX79" s="53"/>
      <c r="LY79" s="53"/>
      <c r="LZ79" s="53"/>
      <c r="MA79" s="53"/>
      <c r="MB79" s="53"/>
      <c r="MC79" s="53"/>
      <c r="MD79" s="53"/>
      <c r="ME79" s="53"/>
      <c r="MF79" s="53"/>
      <c r="MG79" s="53"/>
      <c r="MH79" s="53"/>
      <c r="MI79" s="53"/>
      <c r="MJ79" s="53"/>
      <c r="MK79" s="53"/>
      <c r="ML79" s="53"/>
      <c r="MM79" s="53"/>
      <c r="MN79" s="53"/>
      <c r="MO79" s="53"/>
      <c r="MP79" s="53"/>
      <c r="MQ79" s="53"/>
      <c r="MR79" s="53"/>
      <c r="MS79" s="53"/>
      <c r="MT79" s="53"/>
      <c r="MU79" s="53"/>
      <c r="MV79" s="53"/>
      <c r="MW79" s="53"/>
      <c r="MX79" s="53"/>
      <c r="MY79" s="53"/>
      <c r="MZ79" s="53"/>
      <c r="NA79" s="53"/>
      <c r="NB79" s="53"/>
      <c r="NC79" s="53"/>
      <c r="ND79" s="53"/>
      <c r="NE79" s="53"/>
      <c r="NF79" s="53"/>
      <c r="NG79" s="53"/>
      <c r="NH79" s="53"/>
      <c r="NI79" s="53"/>
      <c r="NJ79" s="53"/>
      <c r="NK79" s="53"/>
      <c r="NL79" s="53"/>
      <c r="NM79" s="53"/>
      <c r="NN79" s="53"/>
      <c r="NO79" s="53"/>
      <c r="NP79" s="53"/>
      <c r="NQ79" s="53"/>
      <c r="NR79" s="53"/>
      <c r="NS79" s="53"/>
      <c r="NT79" s="53"/>
      <c r="NU79" s="53"/>
      <c r="NV79" s="53"/>
      <c r="NW79" s="53"/>
      <c r="NX79" s="53"/>
      <c r="NY79" s="53"/>
      <c r="NZ79" s="53"/>
      <c r="OA79" s="53"/>
      <c r="OB79" s="53"/>
      <c r="OC79" s="53"/>
      <c r="OD79" s="53"/>
      <c r="OE79" s="53"/>
      <c r="OF79" s="53"/>
      <c r="OG79" s="53"/>
      <c r="OH79" s="53"/>
      <c r="OI79" s="53"/>
      <c r="OJ79" s="53"/>
      <c r="OK79" s="53"/>
      <c r="OL79" s="53"/>
      <c r="OM79" s="53"/>
      <c r="ON79" s="53"/>
      <c r="OO79" s="53"/>
      <c r="OP79" s="53"/>
      <c r="OQ79" s="53"/>
      <c r="OR79" s="53"/>
      <c r="OS79" s="53"/>
      <c r="OT79" s="53"/>
      <c r="OU79" s="53"/>
      <c r="OV79" s="53"/>
      <c r="OW79" s="53"/>
      <c r="OX79" s="53"/>
      <c r="OY79" s="53"/>
      <c r="OZ79" s="53"/>
      <c r="PA79" s="53"/>
      <c r="PB79" s="53"/>
      <c r="PC79" s="53"/>
      <c r="PD79" s="53"/>
      <c r="PE79" s="53"/>
      <c r="PF79" s="53"/>
      <c r="PG79" s="53"/>
      <c r="PH79" s="53"/>
      <c r="PI79" s="53"/>
      <c r="PJ79" s="53"/>
      <c r="PK79" s="53"/>
      <c r="PL79" s="53"/>
      <c r="PM79" s="53"/>
      <c r="PN79" s="53"/>
      <c r="PO79" s="53"/>
      <c r="PP79" s="53"/>
      <c r="PQ79" s="53"/>
      <c r="PR79" s="53"/>
      <c r="PS79" s="53"/>
      <c r="PT79" s="53"/>
      <c r="PU79" s="53"/>
      <c r="PV79" s="53"/>
      <c r="PW79" s="53"/>
      <c r="PX79" s="53"/>
      <c r="PY79" s="53"/>
      <c r="PZ79" s="53"/>
      <c r="QA79" s="53"/>
      <c r="QB79" s="53"/>
      <c r="QC79" s="53"/>
      <c r="QD79" s="53"/>
      <c r="QE79" s="53"/>
      <c r="QF79" s="53"/>
      <c r="QG79" s="53"/>
      <c r="QH79" s="53"/>
      <c r="QI79" s="53"/>
      <c r="QJ79" s="53"/>
      <c r="QK79" s="53"/>
      <c r="QL79" s="53"/>
      <c r="QM79" s="53"/>
      <c r="QN79" s="53"/>
      <c r="QO79" s="53"/>
      <c r="QP79" s="53"/>
      <c r="QQ79" s="53"/>
      <c r="QR79" s="53"/>
      <c r="QS79" s="53"/>
      <c r="QT79" s="53"/>
      <c r="QU79" s="53"/>
      <c r="QV79" s="53"/>
      <c r="QW79" s="53"/>
      <c r="QX79" s="53"/>
      <c r="QY79" s="53"/>
      <c r="QZ79" s="53"/>
      <c r="RA79" s="53"/>
      <c r="RB79" s="53"/>
      <c r="RC79" s="53"/>
      <c r="RD79" s="53"/>
      <c r="RE79" s="53"/>
      <c r="RF79" s="53"/>
      <c r="RG79" s="53"/>
      <c r="RH79" s="53"/>
      <c r="RI79" s="53"/>
      <c r="RJ79" s="53"/>
      <c r="RK79" s="53"/>
      <c r="RL79" s="53"/>
      <c r="RM79" s="53"/>
      <c r="RN79" s="53"/>
      <c r="RO79" s="53"/>
      <c r="RP79" s="53"/>
      <c r="RQ79" s="53"/>
      <c r="RR79" s="53"/>
      <c r="RS79" s="53"/>
      <c r="RT79" s="53"/>
      <c r="RU79" s="53"/>
      <c r="RV79" s="53"/>
      <c r="RW79" s="53"/>
      <c r="RX79" s="53"/>
      <c r="RY79" s="53"/>
      <c r="RZ79" s="53"/>
      <c r="SA79" s="53"/>
      <c r="SB79" s="53"/>
      <c r="SC79" s="53"/>
      <c r="SD79" s="53"/>
      <c r="SE79" s="53"/>
      <c r="SF79" s="53"/>
      <c r="SG79" s="53"/>
      <c r="SH79" s="53"/>
      <c r="SI79" s="53"/>
      <c r="SJ79" s="53"/>
      <c r="SK79" s="53"/>
      <c r="SL79" s="53"/>
      <c r="SM79" s="53"/>
      <c r="SN79" s="53"/>
      <c r="SO79" s="53"/>
      <c r="SP79" s="53"/>
      <c r="SQ79" s="53"/>
      <c r="SR79" s="53"/>
      <c r="SS79" s="53"/>
      <c r="ST79" s="53"/>
      <c r="SU79" s="53"/>
      <c r="SV79" s="53"/>
      <c r="SW79" s="53"/>
      <c r="SX79" s="53"/>
      <c r="SY79" s="53"/>
      <c r="SZ79" s="53"/>
      <c r="TA79" s="53"/>
      <c r="TB79" s="53"/>
      <c r="TC79" s="53"/>
      <c r="TD79" s="53"/>
      <c r="TE79" s="53"/>
      <c r="TF79" s="53"/>
      <c r="TG79" s="53"/>
      <c r="TH79" s="53"/>
      <c r="TI79" s="53"/>
      <c r="TJ79" s="53"/>
      <c r="TK79" s="53"/>
      <c r="TL79" s="53"/>
      <c r="TM79" s="53"/>
      <c r="TN79" s="53"/>
      <c r="TO79" s="53"/>
      <c r="TP79" s="53"/>
      <c r="TQ79" s="53"/>
      <c r="TR79" s="53"/>
      <c r="TS79" s="53"/>
      <c r="TT79" s="53"/>
      <c r="TU79" s="53"/>
      <c r="TV79" s="53"/>
      <c r="TW79" s="53"/>
      <c r="TX79" s="53"/>
      <c r="TY79" s="53"/>
      <c r="TZ79" s="53"/>
      <c r="UA79" s="53"/>
      <c r="UB79" s="53"/>
      <c r="UC79" s="53"/>
      <c r="UD79" s="53"/>
      <c r="UE79" s="53"/>
      <c r="UF79" s="53"/>
      <c r="UG79" s="53"/>
      <c r="UH79" s="53"/>
      <c r="UI79" s="53"/>
      <c r="UJ79" s="53"/>
      <c r="UK79" s="53"/>
      <c r="UL79" s="53"/>
      <c r="UM79" s="53"/>
      <c r="UN79" s="53"/>
      <c r="UO79" s="53"/>
      <c r="UP79" s="53"/>
      <c r="UQ79" s="53"/>
      <c r="UR79" s="53"/>
      <c r="US79" s="53"/>
      <c r="UT79" s="53"/>
      <c r="UU79" s="53"/>
      <c r="UV79" s="53"/>
      <c r="UW79" s="53"/>
      <c r="UX79" s="53"/>
      <c r="UY79" s="53"/>
      <c r="UZ79" s="53"/>
      <c r="VA79" s="53"/>
      <c r="VB79" s="53"/>
      <c r="VC79" s="53"/>
      <c r="VD79" s="53"/>
      <c r="VE79" s="53"/>
      <c r="VF79" s="53"/>
      <c r="VG79" s="53"/>
      <c r="VH79" s="53"/>
      <c r="VI79" s="53"/>
      <c r="VJ79" s="53"/>
      <c r="VK79" s="53"/>
      <c r="VL79" s="53"/>
    </row>
    <row r="80" spans="1:584" s="47" customFormat="1" ht="35.25" customHeight="1" x14ac:dyDescent="0.25">
      <c r="A80" s="45" t="s">
        <v>490</v>
      </c>
      <c r="B80" s="91" t="str">
        <f>'дод 3'!A229</f>
        <v>9800</v>
      </c>
      <c r="C80" s="91" t="str">
        <f>'дод 3'!B229</f>
        <v>0180</v>
      </c>
      <c r="D80" s="48" t="str">
        <f>'дод 3'!C229</f>
        <v xml:space="preserve">Субвенція з місцевого бюджету державному бюджету на виконання програм соціально-економічного розвитку регіонів </v>
      </c>
      <c r="E80" s="115">
        <v>46152</v>
      </c>
      <c r="F80" s="115"/>
      <c r="G80" s="115"/>
      <c r="H80" s="115">
        <v>41775</v>
      </c>
      <c r="I80" s="115"/>
      <c r="J80" s="115"/>
      <c r="K80" s="164">
        <f t="shared" si="17"/>
        <v>90.51612064482579</v>
      </c>
      <c r="L80" s="115">
        <f t="shared" si="16"/>
        <v>0</v>
      </c>
      <c r="M80" s="115"/>
      <c r="N80" s="115"/>
      <c r="O80" s="115"/>
      <c r="P80" s="115"/>
      <c r="Q80" s="115"/>
      <c r="R80" s="115">
        <f t="shared" si="19"/>
        <v>0</v>
      </c>
      <c r="S80" s="115"/>
      <c r="T80" s="115"/>
      <c r="U80" s="115"/>
      <c r="V80" s="115"/>
      <c r="W80" s="115"/>
      <c r="X80" s="149"/>
      <c r="Y80" s="115">
        <f t="shared" si="15"/>
        <v>41775</v>
      </c>
      <c r="Z80" s="187"/>
      <c r="AA80" s="53"/>
      <c r="AB80" s="53"/>
      <c r="AC80" s="53"/>
      <c r="AD80" s="53"/>
      <c r="AE80" s="79"/>
      <c r="AF80" s="79"/>
      <c r="AG80" s="79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/>
      <c r="JJ80" s="53"/>
      <c r="JK80" s="53"/>
      <c r="JL80" s="53"/>
      <c r="JM80" s="53"/>
      <c r="JN80" s="53"/>
      <c r="JO80" s="53"/>
      <c r="JP80" s="53"/>
      <c r="JQ80" s="53"/>
      <c r="JR80" s="53"/>
      <c r="JS80" s="53"/>
      <c r="JT80" s="53"/>
      <c r="JU80" s="53"/>
      <c r="JV80" s="53"/>
      <c r="JW80" s="53"/>
      <c r="JX80" s="53"/>
      <c r="JY80" s="53"/>
      <c r="JZ80" s="53"/>
      <c r="KA80" s="53"/>
      <c r="KB80" s="53"/>
      <c r="KC80" s="53"/>
      <c r="KD80" s="53"/>
      <c r="KE80" s="53"/>
      <c r="KF80" s="53"/>
      <c r="KG80" s="53"/>
      <c r="KH80" s="53"/>
      <c r="KI80" s="53"/>
      <c r="KJ80" s="53"/>
      <c r="KK80" s="53"/>
      <c r="KL80" s="53"/>
      <c r="KM80" s="53"/>
      <c r="KN80" s="53"/>
      <c r="KO80" s="53"/>
      <c r="KP80" s="53"/>
      <c r="KQ80" s="53"/>
      <c r="KR80" s="53"/>
      <c r="KS80" s="53"/>
      <c r="KT80" s="53"/>
      <c r="KU80" s="53"/>
      <c r="KV80" s="53"/>
      <c r="KW80" s="53"/>
      <c r="KX80" s="53"/>
      <c r="KY80" s="53"/>
      <c r="KZ80" s="53"/>
      <c r="LA80" s="53"/>
      <c r="LB80" s="53"/>
      <c r="LC80" s="53"/>
      <c r="LD80" s="53"/>
      <c r="LE80" s="53"/>
      <c r="LF80" s="53"/>
      <c r="LG80" s="53"/>
      <c r="LH80" s="53"/>
      <c r="LI80" s="53"/>
      <c r="LJ80" s="53"/>
      <c r="LK80" s="53"/>
      <c r="LL80" s="53"/>
      <c r="LM80" s="53"/>
      <c r="LN80" s="53"/>
      <c r="LO80" s="53"/>
      <c r="LP80" s="53"/>
      <c r="LQ80" s="53"/>
      <c r="LR80" s="53"/>
      <c r="LS80" s="53"/>
      <c r="LT80" s="53"/>
      <c r="LU80" s="53"/>
      <c r="LV80" s="53"/>
      <c r="LW80" s="53"/>
      <c r="LX80" s="53"/>
      <c r="LY80" s="53"/>
      <c r="LZ80" s="53"/>
      <c r="MA80" s="53"/>
      <c r="MB80" s="53"/>
      <c r="MC80" s="53"/>
      <c r="MD80" s="53"/>
      <c r="ME80" s="53"/>
      <c r="MF80" s="53"/>
      <c r="MG80" s="53"/>
      <c r="MH80" s="53"/>
      <c r="MI80" s="53"/>
      <c r="MJ80" s="53"/>
      <c r="MK80" s="53"/>
      <c r="ML80" s="53"/>
      <c r="MM80" s="53"/>
      <c r="MN80" s="53"/>
      <c r="MO80" s="53"/>
      <c r="MP80" s="53"/>
      <c r="MQ80" s="53"/>
      <c r="MR80" s="53"/>
      <c r="MS80" s="53"/>
      <c r="MT80" s="53"/>
      <c r="MU80" s="53"/>
      <c r="MV80" s="53"/>
      <c r="MW80" s="53"/>
      <c r="MX80" s="53"/>
      <c r="MY80" s="53"/>
      <c r="MZ80" s="53"/>
      <c r="NA80" s="53"/>
      <c r="NB80" s="53"/>
      <c r="NC80" s="53"/>
      <c r="ND80" s="53"/>
      <c r="NE80" s="53"/>
      <c r="NF80" s="53"/>
      <c r="NG80" s="53"/>
      <c r="NH80" s="53"/>
      <c r="NI80" s="53"/>
      <c r="NJ80" s="53"/>
      <c r="NK80" s="53"/>
      <c r="NL80" s="53"/>
      <c r="NM80" s="53"/>
      <c r="NN80" s="53"/>
      <c r="NO80" s="53"/>
      <c r="NP80" s="53"/>
      <c r="NQ80" s="53"/>
      <c r="NR80" s="53"/>
      <c r="NS80" s="53"/>
      <c r="NT80" s="53"/>
      <c r="NU80" s="53"/>
      <c r="NV80" s="53"/>
      <c r="NW80" s="53"/>
      <c r="NX80" s="53"/>
      <c r="NY80" s="53"/>
      <c r="NZ80" s="53"/>
      <c r="OA80" s="53"/>
      <c r="OB80" s="53"/>
      <c r="OC80" s="53"/>
      <c r="OD80" s="53"/>
      <c r="OE80" s="53"/>
      <c r="OF80" s="53"/>
      <c r="OG80" s="53"/>
      <c r="OH80" s="53"/>
      <c r="OI80" s="53"/>
      <c r="OJ80" s="53"/>
      <c r="OK80" s="53"/>
      <c r="OL80" s="53"/>
      <c r="OM80" s="53"/>
      <c r="ON80" s="53"/>
      <c r="OO80" s="53"/>
      <c r="OP80" s="53"/>
      <c r="OQ80" s="53"/>
      <c r="OR80" s="53"/>
      <c r="OS80" s="53"/>
      <c r="OT80" s="53"/>
      <c r="OU80" s="53"/>
      <c r="OV80" s="53"/>
      <c r="OW80" s="53"/>
      <c r="OX80" s="53"/>
      <c r="OY80" s="53"/>
      <c r="OZ80" s="53"/>
      <c r="PA80" s="53"/>
      <c r="PB80" s="53"/>
      <c r="PC80" s="53"/>
      <c r="PD80" s="53"/>
      <c r="PE80" s="53"/>
      <c r="PF80" s="53"/>
      <c r="PG80" s="53"/>
      <c r="PH80" s="53"/>
      <c r="PI80" s="53"/>
      <c r="PJ80" s="53"/>
      <c r="PK80" s="53"/>
      <c r="PL80" s="53"/>
      <c r="PM80" s="53"/>
      <c r="PN80" s="53"/>
      <c r="PO80" s="53"/>
      <c r="PP80" s="53"/>
      <c r="PQ80" s="53"/>
      <c r="PR80" s="53"/>
      <c r="PS80" s="53"/>
      <c r="PT80" s="53"/>
      <c r="PU80" s="53"/>
      <c r="PV80" s="53"/>
      <c r="PW80" s="53"/>
      <c r="PX80" s="53"/>
      <c r="PY80" s="53"/>
      <c r="PZ80" s="53"/>
      <c r="QA80" s="53"/>
      <c r="QB80" s="53"/>
      <c r="QC80" s="53"/>
      <c r="QD80" s="53"/>
      <c r="QE80" s="53"/>
      <c r="QF80" s="53"/>
      <c r="QG80" s="53"/>
      <c r="QH80" s="53"/>
      <c r="QI80" s="53"/>
      <c r="QJ80" s="53"/>
      <c r="QK80" s="53"/>
      <c r="QL80" s="53"/>
      <c r="QM80" s="53"/>
      <c r="QN80" s="53"/>
      <c r="QO80" s="53"/>
      <c r="QP80" s="53"/>
      <c r="QQ80" s="53"/>
      <c r="QR80" s="53"/>
      <c r="QS80" s="53"/>
      <c r="QT80" s="53"/>
      <c r="QU80" s="53"/>
      <c r="QV80" s="53"/>
      <c r="QW80" s="53"/>
      <c r="QX80" s="53"/>
      <c r="QY80" s="53"/>
      <c r="QZ80" s="53"/>
      <c r="RA80" s="53"/>
      <c r="RB80" s="53"/>
      <c r="RC80" s="53"/>
      <c r="RD80" s="53"/>
      <c r="RE80" s="53"/>
      <c r="RF80" s="53"/>
      <c r="RG80" s="53"/>
      <c r="RH80" s="53"/>
      <c r="RI80" s="53"/>
      <c r="RJ80" s="53"/>
      <c r="RK80" s="53"/>
      <c r="RL80" s="53"/>
      <c r="RM80" s="53"/>
      <c r="RN80" s="53"/>
      <c r="RO80" s="53"/>
      <c r="RP80" s="53"/>
      <c r="RQ80" s="53"/>
      <c r="RR80" s="53"/>
      <c r="RS80" s="53"/>
      <c r="RT80" s="53"/>
      <c r="RU80" s="53"/>
      <c r="RV80" s="53"/>
      <c r="RW80" s="53"/>
      <c r="RX80" s="53"/>
      <c r="RY80" s="53"/>
      <c r="RZ80" s="53"/>
      <c r="SA80" s="53"/>
      <c r="SB80" s="53"/>
      <c r="SC80" s="53"/>
      <c r="SD80" s="53"/>
      <c r="SE80" s="53"/>
      <c r="SF80" s="53"/>
      <c r="SG80" s="53"/>
      <c r="SH80" s="53"/>
      <c r="SI80" s="53"/>
      <c r="SJ80" s="53"/>
      <c r="SK80" s="53"/>
      <c r="SL80" s="53"/>
      <c r="SM80" s="53"/>
      <c r="SN80" s="53"/>
      <c r="SO80" s="53"/>
      <c r="SP80" s="53"/>
      <c r="SQ80" s="53"/>
      <c r="SR80" s="53"/>
      <c r="SS80" s="53"/>
      <c r="ST80" s="53"/>
      <c r="SU80" s="53"/>
      <c r="SV80" s="53"/>
      <c r="SW80" s="53"/>
      <c r="SX80" s="53"/>
      <c r="SY80" s="53"/>
      <c r="SZ80" s="53"/>
      <c r="TA80" s="53"/>
      <c r="TB80" s="53"/>
      <c r="TC80" s="53"/>
      <c r="TD80" s="53"/>
      <c r="TE80" s="53"/>
      <c r="TF80" s="53"/>
      <c r="TG80" s="53"/>
      <c r="TH80" s="53"/>
      <c r="TI80" s="53"/>
      <c r="TJ80" s="53"/>
      <c r="TK80" s="53"/>
      <c r="TL80" s="53"/>
      <c r="TM80" s="53"/>
      <c r="TN80" s="53"/>
      <c r="TO80" s="53"/>
      <c r="TP80" s="53"/>
      <c r="TQ80" s="53"/>
      <c r="TR80" s="53"/>
      <c r="TS80" s="53"/>
      <c r="TT80" s="53"/>
      <c r="TU80" s="53"/>
      <c r="TV80" s="53"/>
      <c r="TW80" s="53"/>
      <c r="TX80" s="53"/>
      <c r="TY80" s="53"/>
      <c r="TZ80" s="53"/>
      <c r="UA80" s="53"/>
      <c r="UB80" s="53"/>
      <c r="UC80" s="53"/>
      <c r="UD80" s="53"/>
      <c r="UE80" s="53"/>
      <c r="UF80" s="53"/>
      <c r="UG80" s="53"/>
      <c r="UH80" s="53"/>
      <c r="UI80" s="53"/>
      <c r="UJ80" s="53"/>
      <c r="UK80" s="53"/>
      <c r="UL80" s="53"/>
      <c r="UM80" s="53"/>
      <c r="UN80" s="53"/>
      <c r="UO80" s="53"/>
      <c r="UP80" s="53"/>
      <c r="UQ80" s="53"/>
      <c r="UR80" s="53"/>
      <c r="US80" s="53"/>
      <c r="UT80" s="53"/>
      <c r="UU80" s="53"/>
      <c r="UV80" s="53"/>
      <c r="UW80" s="53"/>
      <c r="UX80" s="53"/>
      <c r="UY80" s="53"/>
      <c r="UZ80" s="53"/>
      <c r="VA80" s="53"/>
      <c r="VB80" s="53"/>
      <c r="VC80" s="53"/>
      <c r="VD80" s="53"/>
      <c r="VE80" s="53"/>
      <c r="VF80" s="53"/>
      <c r="VG80" s="53"/>
      <c r="VH80" s="53"/>
      <c r="VI80" s="53"/>
      <c r="VJ80" s="53"/>
      <c r="VK80" s="53"/>
      <c r="VL80" s="53"/>
    </row>
    <row r="81" spans="1:584" s="64" customFormat="1" ht="21" customHeight="1" x14ac:dyDescent="0.25">
      <c r="A81" s="62" t="s">
        <v>230</v>
      </c>
      <c r="B81" s="97"/>
      <c r="C81" s="97"/>
      <c r="D81" s="63" t="s">
        <v>44</v>
      </c>
      <c r="E81" s="116">
        <f>E82</f>
        <v>348031493.74000001</v>
      </c>
      <c r="F81" s="116">
        <f t="shared" ref="F81:Y81" si="20">F82</f>
        <v>1424117</v>
      </c>
      <c r="G81" s="116">
        <f t="shared" si="20"/>
        <v>37401</v>
      </c>
      <c r="H81" s="116">
        <f>H82</f>
        <v>343127101.28000003</v>
      </c>
      <c r="I81" s="116">
        <f t="shared" si="20"/>
        <v>1199576.01</v>
      </c>
      <c r="J81" s="116">
        <f t="shared" si="20"/>
        <v>32378.04</v>
      </c>
      <c r="K81" s="135">
        <f t="shared" si="17"/>
        <v>98.590819351634934</v>
      </c>
      <c r="L81" s="116">
        <f t="shared" si="20"/>
        <v>67282898.879999995</v>
      </c>
      <c r="M81" s="116">
        <f t="shared" si="20"/>
        <v>36801567.299999997</v>
      </c>
      <c r="N81" s="116">
        <f t="shared" si="20"/>
        <v>20888678</v>
      </c>
      <c r="O81" s="116">
        <f t="shared" si="20"/>
        <v>0</v>
      </c>
      <c r="P81" s="116">
        <f t="shared" si="20"/>
        <v>0</v>
      </c>
      <c r="Q81" s="116">
        <f t="shared" si="20"/>
        <v>46394220.879999995</v>
      </c>
      <c r="R81" s="116">
        <f t="shared" si="20"/>
        <v>43785814.939999998</v>
      </c>
      <c r="S81" s="116">
        <f t="shared" si="20"/>
        <v>31519660.900000002</v>
      </c>
      <c r="T81" s="116">
        <f t="shared" si="20"/>
        <v>4811939.5</v>
      </c>
      <c r="U81" s="116">
        <f t="shared" si="20"/>
        <v>0</v>
      </c>
      <c r="V81" s="116">
        <f t="shared" si="20"/>
        <v>0</v>
      </c>
      <c r="W81" s="116">
        <f t="shared" si="20"/>
        <v>38973875.440000005</v>
      </c>
      <c r="X81" s="149">
        <f t="shared" si="18"/>
        <v>65.077182566245568</v>
      </c>
      <c r="Y81" s="116">
        <f t="shared" si="20"/>
        <v>386912916.21999997</v>
      </c>
      <c r="Z81" s="187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  <c r="HL81" s="79"/>
      <c r="HM81" s="79"/>
      <c r="HN81" s="79"/>
      <c r="HO81" s="79"/>
      <c r="HP81" s="79"/>
      <c r="HQ81" s="79"/>
      <c r="HR81" s="79"/>
      <c r="HS81" s="79"/>
      <c r="HT81" s="79"/>
      <c r="HU81" s="79"/>
      <c r="HV81" s="79"/>
      <c r="HW81" s="79"/>
      <c r="HX81" s="79"/>
      <c r="HY81" s="79"/>
      <c r="HZ81" s="79"/>
      <c r="IA81" s="79"/>
      <c r="IB81" s="79"/>
      <c r="IC81" s="79"/>
      <c r="ID81" s="79"/>
      <c r="IE81" s="79"/>
      <c r="IF81" s="79"/>
      <c r="IG81" s="79"/>
      <c r="IH81" s="79"/>
      <c r="II81" s="79"/>
      <c r="IJ81" s="79"/>
      <c r="IK81" s="79"/>
      <c r="IL81" s="79"/>
      <c r="IM81" s="79"/>
      <c r="IN81" s="79"/>
      <c r="IO81" s="79"/>
      <c r="IP81" s="79"/>
      <c r="IQ81" s="79"/>
      <c r="IR81" s="79"/>
      <c r="IS81" s="79"/>
      <c r="IT81" s="79"/>
      <c r="IU81" s="79"/>
      <c r="IV81" s="79"/>
      <c r="IW81" s="79"/>
      <c r="IX81" s="79"/>
      <c r="IY81" s="79"/>
      <c r="IZ81" s="79"/>
      <c r="JA81" s="79"/>
      <c r="JB81" s="79"/>
      <c r="JC81" s="79"/>
      <c r="JD81" s="79"/>
      <c r="JE81" s="79"/>
      <c r="JF81" s="79"/>
      <c r="JG81" s="79"/>
      <c r="JH81" s="79"/>
      <c r="JI81" s="79"/>
      <c r="JJ81" s="79"/>
      <c r="JK81" s="79"/>
      <c r="JL81" s="79"/>
      <c r="JM81" s="79"/>
      <c r="JN81" s="79"/>
      <c r="JO81" s="79"/>
      <c r="JP81" s="79"/>
      <c r="JQ81" s="79"/>
      <c r="JR81" s="79"/>
      <c r="JS81" s="79"/>
      <c r="JT81" s="79"/>
      <c r="JU81" s="79"/>
      <c r="JV81" s="79"/>
      <c r="JW81" s="79"/>
      <c r="JX81" s="79"/>
      <c r="JY81" s="79"/>
      <c r="JZ81" s="79"/>
      <c r="KA81" s="79"/>
      <c r="KB81" s="79"/>
      <c r="KC81" s="79"/>
      <c r="KD81" s="79"/>
      <c r="KE81" s="79"/>
      <c r="KF81" s="79"/>
      <c r="KG81" s="79"/>
      <c r="KH81" s="79"/>
      <c r="KI81" s="79"/>
      <c r="KJ81" s="79"/>
      <c r="KK81" s="79"/>
      <c r="KL81" s="79"/>
      <c r="KM81" s="79"/>
      <c r="KN81" s="79"/>
      <c r="KO81" s="79"/>
      <c r="KP81" s="79"/>
      <c r="KQ81" s="79"/>
      <c r="KR81" s="79"/>
      <c r="KS81" s="79"/>
      <c r="KT81" s="79"/>
      <c r="KU81" s="79"/>
      <c r="KV81" s="79"/>
      <c r="KW81" s="79"/>
      <c r="KX81" s="79"/>
      <c r="KY81" s="79"/>
      <c r="KZ81" s="79"/>
      <c r="LA81" s="79"/>
      <c r="LB81" s="79"/>
      <c r="LC81" s="79"/>
      <c r="LD81" s="79"/>
      <c r="LE81" s="79"/>
      <c r="LF81" s="79"/>
      <c r="LG81" s="79"/>
      <c r="LH81" s="79"/>
      <c r="LI81" s="79"/>
      <c r="LJ81" s="79"/>
      <c r="LK81" s="79"/>
      <c r="LL81" s="79"/>
      <c r="LM81" s="79"/>
      <c r="LN81" s="79"/>
      <c r="LO81" s="79"/>
      <c r="LP81" s="79"/>
      <c r="LQ81" s="79"/>
      <c r="LR81" s="79"/>
      <c r="LS81" s="79"/>
      <c r="LT81" s="79"/>
      <c r="LU81" s="79"/>
      <c r="LV81" s="79"/>
      <c r="LW81" s="79"/>
      <c r="LX81" s="79"/>
      <c r="LY81" s="79"/>
      <c r="LZ81" s="79"/>
      <c r="MA81" s="79"/>
      <c r="MB81" s="79"/>
      <c r="MC81" s="79"/>
      <c r="MD81" s="79"/>
      <c r="ME81" s="79"/>
      <c r="MF81" s="79"/>
      <c r="MG81" s="79"/>
      <c r="MH81" s="79"/>
      <c r="MI81" s="79"/>
      <c r="MJ81" s="79"/>
      <c r="MK81" s="79"/>
      <c r="ML81" s="79"/>
      <c r="MM81" s="79"/>
      <c r="MN81" s="79"/>
      <c r="MO81" s="79"/>
      <c r="MP81" s="79"/>
      <c r="MQ81" s="79"/>
      <c r="MR81" s="79"/>
      <c r="MS81" s="79"/>
      <c r="MT81" s="79"/>
      <c r="MU81" s="79"/>
      <c r="MV81" s="79"/>
      <c r="MW81" s="79"/>
      <c r="MX81" s="79"/>
      <c r="MY81" s="79"/>
      <c r="MZ81" s="79"/>
      <c r="NA81" s="79"/>
      <c r="NB81" s="79"/>
      <c r="NC81" s="79"/>
      <c r="ND81" s="79"/>
      <c r="NE81" s="79"/>
      <c r="NF81" s="79"/>
      <c r="NG81" s="79"/>
      <c r="NH81" s="79"/>
      <c r="NI81" s="79"/>
      <c r="NJ81" s="79"/>
      <c r="NK81" s="79"/>
      <c r="NL81" s="79"/>
      <c r="NM81" s="79"/>
      <c r="NN81" s="79"/>
      <c r="NO81" s="79"/>
      <c r="NP81" s="79"/>
      <c r="NQ81" s="79"/>
      <c r="NR81" s="79"/>
      <c r="NS81" s="79"/>
      <c r="NT81" s="79"/>
      <c r="NU81" s="79"/>
      <c r="NV81" s="79"/>
      <c r="NW81" s="79"/>
      <c r="NX81" s="79"/>
      <c r="NY81" s="79"/>
      <c r="NZ81" s="79"/>
      <c r="OA81" s="79"/>
      <c r="OB81" s="79"/>
      <c r="OC81" s="79"/>
      <c r="OD81" s="79"/>
      <c r="OE81" s="79"/>
      <c r="OF81" s="79"/>
      <c r="OG81" s="79"/>
      <c r="OH81" s="79"/>
      <c r="OI81" s="79"/>
      <c r="OJ81" s="79"/>
      <c r="OK81" s="79"/>
      <c r="OL81" s="79"/>
      <c r="OM81" s="79"/>
      <c r="ON81" s="79"/>
      <c r="OO81" s="79"/>
      <c r="OP81" s="79"/>
      <c r="OQ81" s="79"/>
      <c r="OR81" s="79"/>
      <c r="OS81" s="79"/>
      <c r="OT81" s="79"/>
      <c r="OU81" s="79"/>
      <c r="OV81" s="79"/>
      <c r="OW81" s="79"/>
      <c r="OX81" s="79"/>
      <c r="OY81" s="79"/>
      <c r="OZ81" s="79"/>
      <c r="PA81" s="79"/>
      <c r="PB81" s="79"/>
      <c r="PC81" s="79"/>
      <c r="PD81" s="79"/>
      <c r="PE81" s="79"/>
      <c r="PF81" s="79"/>
      <c r="PG81" s="79"/>
      <c r="PH81" s="79"/>
      <c r="PI81" s="79"/>
      <c r="PJ81" s="79"/>
      <c r="PK81" s="79"/>
      <c r="PL81" s="79"/>
      <c r="PM81" s="79"/>
      <c r="PN81" s="79"/>
      <c r="PO81" s="79"/>
      <c r="PP81" s="79"/>
      <c r="PQ81" s="79"/>
      <c r="PR81" s="79"/>
      <c r="PS81" s="79"/>
      <c r="PT81" s="79"/>
      <c r="PU81" s="79"/>
      <c r="PV81" s="79"/>
      <c r="PW81" s="79"/>
      <c r="PX81" s="79"/>
      <c r="PY81" s="79"/>
      <c r="PZ81" s="79"/>
      <c r="QA81" s="79"/>
      <c r="QB81" s="79"/>
      <c r="QC81" s="79"/>
      <c r="QD81" s="79"/>
      <c r="QE81" s="79"/>
      <c r="QF81" s="79"/>
      <c r="QG81" s="79"/>
      <c r="QH81" s="79"/>
      <c r="QI81" s="79"/>
      <c r="QJ81" s="79"/>
      <c r="QK81" s="79"/>
      <c r="QL81" s="79"/>
      <c r="QM81" s="79"/>
      <c r="QN81" s="79"/>
      <c r="QO81" s="79"/>
      <c r="QP81" s="79"/>
      <c r="QQ81" s="79"/>
      <c r="QR81" s="79"/>
      <c r="QS81" s="79"/>
      <c r="QT81" s="79"/>
      <c r="QU81" s="79"/>
      <c r="QV81" s="79"/>
      <c r="QW81" s="79"/>
      <c r="QX81" s="79"/>
      <c r="QY81" s="79"/>
      <c r="QZ81" s="79"/>
      <c r="RA81" s="79"/>
      <c r="RB81" s="79"/>
      <c r="RC81" s="79"/>
      <c r="RD81" s="79"/>
      <c r="RE81" s="79"/>
      <c r="RF81" s="79"/>
      <c r="RG81" s="79"/>
      <c r="RH81" s="79"/>
      <c r="RI81" s="79"/>
      <c r="RJ81" s="79"/>
      <c r="RK81" s="79"/>
      <c r="RL81" s="79"/>
      <c r="RM81" s="79"/>
      <c r="RN81" s="79"/>
      <c r="RO81" s="79"/>
      <c r="RP81" s="79"/>
      <c r="RQ81" s="79"/>
      <c r="RR81" s="79"/>
      <c r="RS81" s="79"/>
      <c r="RT81" s="79"/>
      <c r="RU81" s="79"/>
      <c r="RV81" s="79"/>
      <c r="RW81" s="79"/>
      <c r="RX81" s="79"/>
      <c r="RY81" s="79"/>
      <c r="RZ81" s="79"/>
      <c r="SA81" s="79"/>
      <c r="SB81" s="79"/>
      <c r="SC81" s="79"/>
      <c r="SD81" s="79"/>
      <c r="SE81" s="79"/>
      <c r="SF81" s="79"/>
      <c r="SG81" s="79"/>
      <c r="SH81" s="79"/>
      <c r="SI81" s="79"/>
      <c r="SJ81" s="79"/>
      <c r="SK81" s="79"/>
      <c r="SL81" s="79"/>
      <c r="SM81" s="79"/>
      <c r="SN81" s="79"/>
      <c r="SO81" s="79"/>
      <c r="SP81" s="79"/>
      <c r="SQ81" s="79"/>
      <c r="SR81" s="79"/>
      <c r="SS81" s="79"/>
      <c r="ST81" s="79"/>
      <c r="SU81" s="79"/>
      <c r="SV81" s="79"/>
      <c r="SW81" s="79"/>
      <c r="SX81" s="79"/>
      <c r="SY81" s="79"/>
      <c r="SZ81" s="79"/>
      <c r="TA81" s="79"/>
      <c r="TB81" s="79"/>
      <c r="TC81" s="79"/>
      <c r="TD81" s="79"/>
      <c r="TE81" s="79"/>
      <c r="TF81" s="79"/>
      <c r="TG81" s="79"/>
      <c r="TH81" s="79"/>
      <c r="TI81" s="79"/>
      <c r="TJ81" s="79"/>
      <c r="TK81" s="79"/>
      <c r="TL81" s="79"/>
      <c r="TM81" s="79"/>
      <c r="TN81" s="79"/>
      <c r="TO81" s="79"/>
      <c r="TP81" s="79"/>
      <c r="TQ81" s="79"/>
      <c r="TR81" s="79"/>
      <c r="TS81" s="79"/>
      <c r="TT81" s="79"/>
      <c r="TU81" s="79"/>
      <c r="TV81" s="79"/>
      <c r="TW81" s="79"/>
      <c r="TX81" s="79"/>
      <c r="TY81" s="79"/>
      <c r="TZ81" s="79"/>
      <c r="UA81" s="79"/>
      <c r="UB81" s="79"/>
      <c r="UC81" s="79"/>
      <c r="UD81" s="79"/>
      <c r="UE81" s="79"/>
      <c r="UF81" s="79"/>
      <c r="UG81" s="79"/>
      <c r="UH81" s="79"/>
      <c r="UI81" s="79"/>
      <c r="UJ81" s="79"/>
      <c r="UK81" s="79"/>
      <c r="UL81" s="79"/>
      <c r="UM81" s="79"/>
      <c r="UN81" s="79"/>
      <c r="UO81" s="79"/>
      <c r="UP81" s="79"/>
      <c r="UQ81" s="79"/>
      <c r="UR81" s="79"/>
      <c r="US81" s="79"/>
      <c r="UT81" s="79"/>
      <c r="UU81" s="79"/>
      <c r="UV81" s="79"/>
      <c r="UW81" s="79"/>
      <c r="UX81" s="79"/>
      <c r="UY81" s="79"/>
      <c r="UZ81" s="79"/>
      <c r="VA81" s="79"/>
      <c r="VB81" s="79"/>
      <c r="VC81" s="79"/>
      <c r="VD81" s="79"/>
      <c r="VE81" s="79"/>
      <c r="VF81" s="79"/>
      <c r="VG81" s="79"/>
      <c r="VH81" s="79"/>
      <c r="VI81" s="79"/>
      <c r="VJ81" s="79"/>
      <c r="VK81" s="79"/>
      <c r="VL81" s="79"/>
    </row>
    <row r="82" spans="1:584" s="81" customFormat="1" ht="18.75" customHeight="1" x14ac:dyDescent="0.25">
      <c r="A82" s="67" t="s">
        <v>231</v>
      </c>
      <c r="B82" s="98"/>
      <c r="C82" s="98"/>
      <c r="D82" s="68" t="s">
        <v>44</v>
      </c>
      <c r="E82" s="114">
        <f>E84+E85+E87+E89+E91+E93+E95+E97+E99+E101+E103+E105+E107+E109+E114+E108+E110+E112</f>
        <v>348031493.74000001</v>
      </c>
      <c r="F82" s="114">
        <f t="shared" ref="F82:Y82" si="21">F84+F85+F87+F89+F91+F93+F95+F97+F99+F101+F103+F105+F107+F109+F114+F108+F110+F112</f>
        <v>1424117</v>
      </c>
      <c r="G82" s="114">
        <f t="shared" si="21"/>
        <v>37401</v>
      </c>
      <c r="H82" s="114">
        <f>H84+H85+H87+H89+H91+H93+H95+H97+H99+H101+H103+H105+H107+H109+H114+H108+H110+H112</f>
        <v>343127101.28000003</v>
      </c>
      <c r="I82" s="114">
        <f t="shared" ref="I82:J82" si="22">I84+I85+I87+I89+I91+I93+I95+I97+I99+I101+I103+I105+I107+I109+I114+I108+I110+I112</f>
        <v>1199576.01</v>
      </c>
      <c r="J82" s="114">
        <f t="shared" si="22"/>
        <v>32378.04</v>
      </c>
      <c r="K82" s="153">
        <f t="shared" si="17"/>
        <v>98.590819351634934</v>
      </c>
      <c r="L82" s="114">
        <f t="shared" si="21"/>
        <v>67282898.879999995</v>
      </c>
      <c r="M82" s="114">
        <f t="shared" si="21"/>
        <v>36801567.299999997</v>
      </c>
      <c r="N82" s="114">
        <f t="shared" si="21"/>
        <v>20888678</v>
      </c>
      <c r="O82" s="114">
        <f t="shared" si="21"/>
        <v>0</v>
      </c>
      <c r="P82" s="114">
        <f t="shared" si="21"/>
        <v>0</v>
      </c>
      <c r="Q82" s="114">
        <f t="shared" si="21"/>
        <v>46394220.879999995</v>
      </c>
      <c r="R82" s="114">
        <f t="shared" ref="R82:W82" si="23">R84+R85+R87+R89+R91+R93+R95+R97+R99+R101+R103+R105+R107+R109+R114+R108+R110+R112</f>
        <v>43785814.939999998</v>
      </c>
      <c r="S82" s="114">
        <f t="shared" si="23"/>
        <v>31519660.900000002</v>
      </c>
      <c r="T82" s="114">
        <f t="shared" si="23"/>
        <v>4811939.5</v>
      </c>
      <c r="U82" s="114">
        <f t="shared" si="23"/>
        <v>0</v>
      </c>
      <c r="V82" s="114">
        <f t="shared" si="23"/>
        <v>0</v>
      </c>
      <c r="W82" s="114">
        <f t="shared" si="23"/>
        <v>38973875.440000005</v>
      </c>
      <c r="X82" s="165">
        <f t="shared" si="18"/>
        <v>65.077182566245568</v>
      </c>
      <c r="Y82" s="114">
        <f t="shared" si="21"/>
        <v>386912916.21999997</v>
      </c>
      <c r="Z82" s="187"/>
      <c r="AA82" s="80"/>
      <c r="AB82" s="80"/>
      <c r="AC82" s="80"/>
      <c r="AD82" s="80"/>
      <c r="AE82" s="79"/>
      <c r="AF82" s="79"/>
      <c r="AG82" s="79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  <c r="HM82" s="80"/>
      <c r="HN82" s="80"/>
      <c r="HO82" s="80"/>
      <c r="HP82" s="80"/>
      <c r="HQ82" s="80"/>
      <c r="HR82" s="80"/>
      <c r="HS82" s="80"/>
      <c r="HT82" s="80"/>
      <c r="HU82" s="80"/>
      <c r="HV82" s="80"/>
      <c r="HW82" s="80"/>
      <c r="HX82" s="80"/>
      <c r="HY82" s="80"/>
      <c r="HZ82" s="80"/>
      <c r="IA82" s="80"/>
      <c r="IB82" s="80"/>
      <c r="IC82" s="80"/>
      <c r="ID82" s="80"/>
      <c r="IE82" s="80"/>
      <c r="IF82" s="80"/>
      <c r="IG82" s="80"/>
      <c r="IH82" s="80"/>
      <c r="II82" s="80"/>
      <c r="IJ82" s="80"/>
      <c r="IK82" s="80"/>
      <c r="IL82" s="80"/>
      <c r="IM82" s="80"/>
      <c r="IN82" s="80"/>
      <c r="IO82" s="80"/>
      <c r="IP82" s="80"/>
      <c r="IQ82" s="80"/>
      <c r="IR82" s="80"/>
      <c r="IS82" s="80"/>
      <c r="IT82" s="80"/>
      <c r="IU82" s="80"/>
      <c r="IV82" s="80"/>
      <c r="IW82" s="80"/>
      <c r="IX82" s="80"/>
      <c r="IY82" s="80"/>
      <c r="IZ82" s="80"/>
      <c r="JA82" s="80"/>
      <c r="JB82" s="80"/>
      <c r="JC82" s="80"/>
      <c r="JD82" s="80"/>
      <c r="JE82" s="80"/>
      <c r="JF82" s="80"/>
      <c r="JG82" s="80"/>
      <c r="JH82" s="80"/>
      <c r="JI82" s="80"/>
      <c r="JJ82" s="80"/>
      <c r="JK82" s="80"/>
      <c r="JL82" s="80"/>
      <c r="JM82" s="80"/>
      <c r="JN82" s="80"/>
      <c r="JO82" s="80"/>
      <c r="JP82" s="80"/>
      <c r="JQ82" s="80"/>
      <c r="JR82" s="80"/>
      <c r="JS82" s="80"/>
      <c r="JT82" s="80"/>
      <c r="JU82" s="80"/>
      <c r="JV82" s="80"/>
      <c r="JW82" s="80"/>
      <c r="JX82" s="80"/>
      <c r="JY82" s="80"/>
      <c r="JZ82" s="80"/>
      <c r="KA82" s="80"/>
      <c r="KB82" s="80"/>
      <c r="KC82" s="80"/>
      <c r="KD82" s="80"/>
      <c r="KE82" s="80"/>
      <c r="KF82" s="80"/>
      <c r="KG82" s="80"/>
      <c r="KH82" s="80"/>
      <c r="KI82" s="80"/>
      <c r="KJ82" s="80"/>
      <c r="KK82" s="80"/>
      <c r="KL82" s="80"/>
      <c r="KM82" s="80"/>
      <c r="KN82" s="80"/>
      <c r="KO82" s="80"/>
      <c r="KP82" s="80"/>
      <c r="KQ82" s="80"/>
      <c r="KR82" s="80"/>
      <c r="KS82" s="80"/>
      <c r="KT82" s="80"/>
      <c r="KU82" s="80"/>
      <c r="KV82" s="80"/>
      <c r="KW82" s="80"/>
      <c r="KX82" s="80"/>
      <c r="KY82" s="80"/>
      <c r="KZ82" s="80"/>
      <c r="LA82" s="80"/>
      <c r="LB82" s="80"/>
      <c r="LC82" s="80"/>
      <c r="LD82" s="80"/>
      <c r="LE82" s="80"/>
      <c r="LF82" s="80"/>
      <c r="LG82" s="80"/>
      <c r="LH82" s="80"/>
      <c r="LI82" s="80"/>
      <c r="LJ82" s="80"/>
      <c r="LK82" s="80"/>
      <c r="LL82" s="80"/>
      <c r="LM82" s="80"/>
      <c r="LN82" s="80"/>
      <c r="LO82" s="80"/>
      <c r="LP82" s="80"/>
      <c r="LQ82" s="80"/>
      <c r="LR82" s="80"/>
      <c r="LS82" s="80"/>
      <c r="LT82" s="80"/>
      <c r="LU82" s="80"/>
      <c r="LV82" s="80"/>
      <c r="LW82" s="80"/>
      <c r="LX82" s="80"/>
      <c r="LY82" s="80"/>
      <c r="LZ82" s="80"/>
      <c r="MA82" s="80"/>
      <c r="MB82" s="80"/>
      <c r="MC82" s="80"/>
      <c r="MD82" s="80"/>
      <c r="ME82" s="80"/>
      <c r="MF82" s="80"/>
      <c r="MG82" s="80"/>
      <c r="MH82" s="80"/>
      <c r="MI82" s="80"/>
      <c r="MJ82" s="80"/>
      <c r="MK82" s="80"/>
      <c r="ML82" s="80"/>
      <c r="MM82" s="80"/>
      <c r="MN82" s="80"/>
      <c r="MO82" s="80"/>
      <c r="MP82" s="80"/>
      <c r="MQ82" s="80"/>
      <c r="MR82" s="80"/>
      <c r="MS82" s="80"/>
      <c r="MT82" s="80"/>
      <c r="MU82" s="80"/>
      <c r="MV82" s="80"/>
      <c r="MW82" s="80"/>
      <c r="MX82" s="80"/>
      <c r="MY82" s="80"/>
      <c r="MZ82" s="80"/>
      <c r="NA82" s="80"/>
      <c r="NB82" s="80"/>
      <c r="NC82" s="80"/>
      <c r="ND82" s="80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0"/>
      <c r="NS82" s="80"/>
      <c r="NT82" s="80"/>
      <c r="NU82" s="80"/>
      <c r="NV82" s="80"/>
      <c r="NW82" s="80"/>
      <c r="NX82" s="80"/>
      <c r="NY82" s="80"/>
      <c r="NZ82" s="80"/>
      <c r="OA82" s="80"/>
      <c r="OB82" s="80"/>
      <c r="OC82" s="80"/>
      <c r="OD82" s="80"/>
      <c r="OE82" s="80"/>
      <c r="OF82" s="80"/>
      <c r="OG82" s="80"/>
      <c r="OH82" s="80"/>
      <c r="OI82" s="80"/>
      <c r="OJ82" s="80"/>
      <c r="OK82" s="80"/>
      <c r="OL82" s="80"/>
      <c r="OM82" s="80"/>
      <c r="ON82" s="80"/>
      <c r="OO82" s="80"/>
      <c r="OP82" s="80"/>
      <c r="OQ82" s="80"/>
      <c r="OR82" s="80"/>
      <c r="OS82" s="80"/>
      <c r="OT82" s="80"/>
      <c r="OU82" s="80"/>
      <c r="OV82" s="80"/>
      <c r="OW82" s="80"/>
      <c r="OX82" s="80"/>
      <c r="OY82" s="80"/>
      <c r="OZ82" s="80"/>
      <c r="PA82" s="80"/>
      <c r="PB82" s="80"/>
      <c r="PC82" s="80"/>
      <c r="PD82" s="80"/>
      <c r="PE82" s="80"/>
      <c r="PF82" s="80"/>
      <c r="PG82" s="80"/>
      <c r="PH82" s="80"/>
      <c r="PI82" s="80"/>
      <c r="PJ82" s="80"/>
      <c r="PK82" s="80"/>
      <c r="PL82" s="80"/>
      <c r="PM82" s="80"/>
      <c r="PN82" s="80"/>
      <c r="PO82" s="80"/>
      <c r="PP82" s="80"/>
      <c r="PQ82" s="80"/>
      <c r="PR82" s="80"/>
      <c r="PS82" s="80"/>
      <c r="PT82" s="80"/>
      <c r="PU82" s="80"/>
      <c r="PV82" s="80"/>
      <c r="PW82" s="80"/>
      <c r="PX82" s="80"/>
      <c r="PY82" s="80"/>
      <c r="PZ82" s="80"/>
      <c r="QA82" s="80"/>
      <c r="QB82" s="80"/>
      <c r="QC82" s="80"/>
      <c r="QD82" s="80"/>
      <c r="QE82" s="80"/>
      <c r="QF82" s="80"/>
      <c r="QG82" s="80"/>
      <c r="QH82" s="80"/>
      <c r="QI82" s="80"/>
      <c r="QJ82" s="80"/>
      <c r="QK82" s="80"/>
      <c r="QL82" s="80"/>
      <c r="QM82" s="80"/>
      <c r="QN82" s="80"/>
      <c r="QO82" s="80"/>
      <c r="QP82" s="80"/>
      <c r="QQ82" s="80"/>
      <c r="QR82" s="80"/>
      <c r="QS82" s="80"/>
      <c r="QT82" s="80"/>
      <c r="QU82" s="80"/>
      <c r="QV82" s="80"/>
      <c r="QW82" s="80"/>
      <c r="QX82" s="80"/>
      <c r="QY82" s="80"/>
      <c r="QZ82" s="80"/>
      <c r="RA82" s="80"/>
      <c r="RB82" s="80"/>
      <c r="RC82" s="80"/>
      <c r="RD82" s="80"/>
      <c r="RE82" s="80"/>
      <c r="RF82" s="80"/>
      <c r="RG82" s="80"/>
      <c r="RH82" s="80"/>
      <c r="RI82" s="80"/>
      <c r="RJ82" s="80"/>
      <c r="RK82" s="80"/>
      <c r="RL82" s="80"/>
      <c r="RM82" s="80"/>
      <c r="RN82" s="80"/>
      <c r="RO82" s="80"/>
      <c r="RP82" s="80"/>
      <c r="RQ82" s="80"/>
      <c r="RR82" s="80"/>
      <c r="RS82" s="80"/>
      <c r="RT82" s="80"/>
      <c r="RU82" s="80"/>
      <c r="RV82" s="80"/>
      <c r="RW82" s="80"/>
      <c r="RX82" s="80"/>
      <c r="RY82" s="80"/>
      <c r="RZ82" s="80"/>
      <c r="SA82" s="80"/>
      <c r="SB82" s="80"/>
      <c r="SC82" s="80"/>
      <c r="SD82" s="80"/>
      <c r="SE82" s="80"/>
      <c r="SF82" s="80"/>
      <c r="SG82" s="80"/>
      <c r="SH82" s="80"/>
      <c r="SI82" s="80"/>
      <c r="SJ82" s="80"/>
      <c r="SK82" s="80"/>
      <c r="SL82" s="80"/>
      <c r="SM82" s="80"/>
      <c r="SN82" s="80"/>
      <c r="SO82" s="80"/>
      <c r="SP82" s="80"/>
      <c r="SQ82" s="80"/>
      <c r="SR82" s="80"/>
      <c r="SS82" s="80"/>
      <c r="ST82" s="80"/>
      <c r="SU82" s="80"/>
      <c r="SV82" s="80"/>
      <c r="SW82" s="80"/>
      <c r="SX82" s="80"/>
      <c r="SY82" s="80"/>
      <c r="SZ82" s="80"/>
      <c r="TA82" s="80"/>
      <c r="TB82" s="80"/>
      <c r="TC82" s="80"/>
      <c r="TD82" s="80"/>
      <c r="TE82" s="80"/>
      <c r="TF82" s="80"/>
      <c r="TG82" s="80"/>
      <c r="TH82" s="80"/>
      <c r="TI82" s="80"/>
      <c r="TJ82" s="80"/>
      <c r="TK82" s="80"/>
      <c r="TL82" s="80"/>
      <c r="TM82" s="80"/>
      <c r="TN82" s="80"/>
      <c r="TO82" s="80"/>
      <c r="TP82" s="80"/>
      <c r="TQ82" s="80"/>
      <c r="TR82" s="80"/>
      <c r="TS82" s="80"/>
      <c r="TT82" s="80"/>
      <c r="TU82" s="80"/>
      <c r="TV82" s="80"/>
      <c r="TW82" s="80"/>
      <c r="TX82" s="80"/>
      <c r="TY82" s="80"/>
      <c r="TZ82" s="80"/>
      <c r="UA82" s="80"/>
      <c r="UB82" s="80"/>
      <c r="UC82" s="80"/>
      <c r="UD82" s="80"/>
      <c r="UE82" s="80"/>
      <c r="UF82" s="80"/>
      <c r="UG82" s="80"/>
      <c r="UH82" s="80"/>
      <c r="UI82" s="80"/>
      <c r="UJ82" s="80"/>
      <c r="UK82" s="80"/>
      <c r="UL82" s="80"/>
      <c r="UM82" s="80"/>
      <c r="UN82" s="80"/>
      <c r="UO82" s="80"/>
      <c r="UP82" s="80"/>
      <c r="UQ82" s="80"/>
      <c r="UR82" s="80"/>
      <c r="US82" s="80"/>
      <c r="UT82" s="80"/>
      <c r="UU82" s="80"/>
      <c r="UV82" s="80"/>
      <c r="UW82" s="80"/>
      <c r="UX82" s="80"/>
      <c r="UY82" s="80"/>
      <c r="UZ82" s="80"/>
      <c r="VA82" s="80"/>
      <c r="VB82" s="80"/>
      <c r="VC82" s="80"/>
      <c r="VD82" s="80"/>
      <c r="VE82" s="80"/>
      <c r="VF82" s="80"/>
      <c r="VG82" s="80"/>
      <c r="VH82" s="80"/>
      <c r="VI82" s="80"/>
      <c r="VJ82" s="80"/>
      <c r="VK82" s="80"/>
      <c r="VL82" s="80"/>
    </row>
    <row r="83" spans="1:584" s="64" customFormat="1" ht="18.75" customHeight="1" x14ac:dyDescent="0.25">
      <c r="A83" s="62"/>
      <c r="B83" s="97"/>
      <c r="C83" s="97"/>
      <c r="D83" s="63" t="s">
        <v>342</v>
      </c>
      <c r="E83" s="116">
        <f>E86+E88+E90+E92+E94+E96+E98+E100+E102+E104+E106+E111+E113</f>
        <v>214317355.66</v>
      </c>
      <c r="F83" s="116">
        <f t="shared" ref="F83:Y83" si="24">F86+F88+F90+F92+F94+F96+F98+F100+F102+F104+F106+F111+F113</f>
        <v>0</v>
      </c>
      <c r="G83" s="116">
        <f t="shared" si="24"/>
        <v>0</v>
      </c>
      <c r="H83" s="116">
        <f>H86+H88+H90+H92+H94+H96+H98+H100+H102+H104+H106+H111+H113</f>
        <v>214317350.46000001</v>
      </c>
      <c r="I83" s="116">
        <f t="shared" ref="I83:J83" si="25">I86+I88+I90+I92+I94+I96+I98+I100+I102+I104+I106+I111+I113</f>
        <v>0</v>
      </c>
      <c r="J83" s="116">
        <f t="shared" si="25"/>
        <v>0</v>
      </c>
      <c r="K83" s="135">
        <f t="shared" si="17"/>
        <v>99.999997573691616</v>
      </c>
      <c r="L83" s="116">
        <f t="shared" si="24"/>
        <v>4139223.3</v>
      </c>
      <c r="M83" s="116">
        <f t="shared" si="24"/>
        <v>4139223.3</v>
      </c>
      <c r="N83" s="116">
        <f t="shared" si="24"/>
        <v>0</v>
      </c>
      <c r="O83" s="116">
        <f t="shared" si="24"/>
        <v>0</v>
      </c>
      <c r="P83" s="116">
        <f t="shared" si="24"/>
        <v>0</v>
      </c>
      <c r="Q83" s="116">
        <f t="shared" si="24"/>
        <v>4139223.3</v>
      </c>
      <c r="R83" s="116">
        <f t="shared" ref="R83:W83" si="26">R86+R88+R90+R92+R94+R96+R98+R100+R102+R104+R106+R111+R113</f>
        <v>4134443.3</v>
      </c>
      <c r="S83" s="116">
        <f t="shared" si="26"/>
        <v>4134443.3</v>
      </c>
      <c r="T83" s="116">
        <f t="shared" si="26"/>
        <v>0</v>
      </c>
      <c r="U83" s="116">
        <f t="shared" si="26"/>
        <v>0</v>
      </c>
      <c r="V83" s="116">
        <f t="shared" si="26"/>
        <v>0</v>
      </c>
      <c r="W83" s="116">
        <f t="shared" si="26"/>
        <v>4134443.3</v>
      </c>
      <c r="X83" s="149">
        <f t="shared" si="18"/>
        <v>99.884519397636751</v>
      </c>
      <c r="Y83" s="116">
        <f t="shared" si="24"/>
        <v>218451793.76000002</v>
      </c>
      <c r="Z83" s="187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79"/>
      <c r="IK83" s="79"/>
      <c r="IL83" s="79"/>
      <c r="IM83" s="79"/>
      <c r="IN83" s="79"/>
      <c r="IO83" s="79"/>
      <c r="IP83" s="79"/>
      <c r="IQ83" s="79"/>
      <c r="IR83" s="79"/>
      <c r="IS83" s="79"/>
      <c r="IT83" s="79"/>
      <c r="IU83" s="79"/>
      <c r="IV83" s="79"/>
      <c r="IW83" s="79"/>
      <c r="IX83" s="79"/>
      <c r="IY83" s="79"/>
      <c r="IZ83" s="79"/>
      <c r="JA83" s="79"/>
      <c r="JB83" s="79"/>
      <c r="JC83" s="79"/>
      <c r="JD83" s="79"/>
      <c r="JE83" s="79"/>
      <c r="JF83" s="79"/>
      <c r="JG83" s="79"/>
      <c r="JH83" s="79"/>
      <c r="JI83" s="79"/>
      <c r="JJ83" s="79"/>
      <c r="JK83" s="79"/>
      <c r="JL83" s="79"/>
      <c r="JM83" s="79"/>
      <c r="JN83" s="79"/>
      <c r="JO83" s="79"/>
      <c r="JP83" s="79"/>
      <c r="JQ83" s="79"/>
      <c r="JR83" s="79"/>
      <c r="JS83" s="79"/>
      <c r="JT83" s="79"/>
      <c r="JU83" s="79"/>
      <c r="JV83" s="79"/>
      <c r="JW83" s="79"/>
      <c r="JX83" s="79"/>
      <c r="JY83" s="79"/>
      <c r="JZ83" s="79"/>
      <c r="KA83" s="79"/>
      <c r="KB83" s="79"/>
      <c r="KC83" s="79"/>
      <c r="KD83" s="79"/>
      <c r="KE83" s="79"/>
      <c r="KF83" s="79"/>
      <c r="KG83" s="79"/>
      <c r="KH83" s="79"/>
      <c r="KI83" s="79"/>
      <c r="KJ83" s="79"/>
      <c r="KK83" s="79"/>
      <c r="KL83" s="79"/>
      <c r="KM83" s="79"/>
      <c r="KN83" s="79"/>
      <c r="KO83" s="79"/>
      <c r="KP83" s="79"/>
      <c r="KQ83" s="79"/>
      <c r="KR83" s="79"/>
      <c r="KS83" s="79"/>
      <c r="KT83" s="79"/>
      <c r="KU83" s="79"/>
      <c r="KV83" s="79"/>
      <c r="KW83" s="79"/>
      <c r="KX83" s="79"/>
      <c r="KY83" s="79"/>
      <c r="KZ83" s="79"/>
      <c r="LA83" s="79"/>
      <c r="LB83" s="79"/>
      <c r="LC83" s="79"/>
      <c r="LD83" s="79"/>
      <c r="LE83" s="79"/>
      <c r="LF83" s="79"/>
      <c r="LG83" s="79"/>
      <c r="LH83" s="79"/>
      <c r="LI83" s="79"/>
      <c r="LJ83" s="79"/>
      <c r="LK83" s="79"/>
      <c r="LL83" s="79"/>
      <c r="LM83" s="79"/>
      <c r="LN83" s="79"/>
      <c r="LO83" s="79"/>
      <c r="LP83" s="79"/>
      <c r="LQ83" s="79"/>
      <c r="LR83" s="79"/>
      <c r="LS83" s="79"/>
      <c r="LT83" s="79"/>
      <c r="LU83" s="79"/>
      <c r="LV83" s="79"/>
      <c r="LW83" s="79"/>
      <c r="LX83" s="79"/>
      <c r="LY83" s="79"/>
      <c r="LZ83" s="79"/>
      <c r="MA83" s="79"/>
      <c r="MB83" s="79"/>
      <c r="MC83" s="79"/>
      <c r="MD83" s="79"/>
      <c r="ME83" s="79"/>
      <c r="MF83" s="79"/>
      <c r="MG83" s="79"/>
      <c r="MH83" s="79"/>
      <c r="MI83" s="79"/>
      <c r="MJ83" s="79"/>
      <c r="MK83" s="79"/>
      <c r="ML83" s="79"/>
      <c r="MM83" s="79"/>
      <c r="MN83" s="79"/>
      <c r="MO83" s="79"/>
      <c r="MP83" s="79"/>
      <c r="MQ83" s="79"/>
      <c r="MR83" s="79"/>
      <c r="MS83" s="79"/>
      <c r="MT83" s="79"/>
      <c r="MU83" s="79"/>
      <c r="MV83" s="79"/>
      <c r="MW83" s="79"/>
      <c r="MX83" s="79"/>
      <c r="MY83" s="79"/>
      <c r="MZ83" s="79"/>
      <c r="NA83" s="79"/>
      <c r="NB83" s="79"/>
      <c r="NC83" s="79"/>
      <c r="ND83" s="79"/>
      <c r="NE83" s="79"/>
      <c r="NF83" s="79"/>
      <c r="NG83" s="79"/>
      <c r="NH83" s="79"/>
      <c r="NI83" s="79"/>
      <c r="NJ83" s="79"/>
      <c r="NK83" s="79"/>
      <c r="NL83" s="79"/>
      <c r="NM83" s="79"/>
      <c r="NN83" s="79"/>
      <c r="NO83" s="79"/>
      <c r="NP83" s="79"/>
      <c r="NQ83" s="79"/>
      <c r="NR83" s="79"/>
      <c r="NS83" s="79"/>
      <c r="NT83" s="79"/>
      <c r="NU83" s="79"/>
      <c r="NV83" s="79"/>
      <c r="NW83" s="79"/>
      <c r="NX83" s="79"/>
      <c r="NY83" s="79"/>
      <c r="NZ83" s="79"/>
      <c r="OA83" s="79"/>
      <c r="OB83" s="79"/>
      <c r="OC83" s="79"/>
      <c r="OD83" s="79"/>
      <c r="OE83" s="79"/>
      <c r="OF83" s="79"/>
      <c r="OG83" s="79"/>
      <c r="OH83" s="79"/>
      <c r="OI83" s="79"/>
      <c r="OJ83" s="79"/>
      <c r="OK83" s="79"/>
      <c r="OL83" s="79"/>
      <c r="OM83" s="79"/>
      <c r="ON83" s="79"/>
      <c r="OO83" s="79"/>
      <c r="OP83" s="79"/>
      <c r="OQ83" s="79"/>
      <c r="OR83" s="79"/>
      <c r="OS83" s="79"/>
      <c r="OT83" s="79"/>
      <c r="OU83" s="79"/>
      <c r="OV83" s="79"/>
      <c r="OW83" s="79"/>
      <c r="OX83" s="79"/>
      <c r="OY83" s="79"/>
      <c r="OZ83" s="79"/>
      <c r="PA83" s="79"/>
      <c r="PB83" s="79"/>
      <c r="PC83" s="79"/>
      <c r="PD83" s="79"/>
      <c r="PE83" s="79"/>
      <c r="PF83" s="79"/>
      <c r="PG83" s="79"/>
      <c r="PH83" s="79"/>
      <c r="PI83" s="79"/>
      <c r="PJ83" s="79"/>
      <c r="PK83" s="79"/>
      <c r="PL83" s="79"/>
      <c r="PM83" s="79"/>
      <c r="PN83" s="79"/>
      <c r="PO83" s="79"/>
      <c r="PP83" s="79"/>
      <c r="PQ83" s="79"/>
      <c r="PR83" s="79"/>
      <c r="PS83" s="79"/>
      <c r="PT83" s="79"/>
      <c r="PU83" s="79"/>
      <c r="PV83" s="79"/>
      <c r="PW83" s="79"/>
      <c r="PX83" s="79"/>
      <c r="PY83" s="79"/>
      <c r="PZ83" s="79"/>
      <c r="QA83" s="79"/>
      <c r="QB83" s="79"/>
      <c r="QC83" s="79"/>
      <c r="QD83" s="79"/>
      <c r="QE83" s="79"/>
      <c r="QF83" s="79"/>
      <c r="QG83" s="79"/>
      <c r="QH83" s="79"/>
      <c r="QI83" s="79"/>
      <c r="QJ83" s="79"/>
      <c r="QK83" s="79"/>
      <c r="QL83" s="79"/>
      <c r="QM83" s="79"/>
      <c r="QN83" s="79"/>
      <c r="QO83" s="79"/>
      <c r="QP83" s="79"/>
      <c r="QQ83" s="79"/>
      <c r="QR83" s="79"/>
      <c r="QS83" s="79"/>
      <c r="QT83" s="79"/>
      <c r="QU83" s="79"/>
      <c r="QV83" s="79"/>
      <c r="QW83" s="79"/>
      <c r="QX83" s="79"/>
      <c r="QY83" s="79"/>
      <c r="QZ83" s="79"/>
      <c r="RA83" s="79"/>
      <c r="RB83" s="79"/>
      <c r="RC83" s="79"/>
      <c r="RD83" s="79"/>
      <c r="RE83" s="79"/>
      <c r="RF83" s="79"/>
      <c r="RG83" s="79"/>
      <c r="RH83" s="79"/>
      <c r="RI83" s="79"/>
      <c r="RJ83" s="79"/>
      <c r="RK83" s="79"/>
      <c r="RL83" s="79"/>
      <c r="RM83" s="79"/>
      <c r="RN83" s="79"/>
      <c r="RO83" s="79"/>
      <c r="RP83" s="79"/>
      <c r="RQ83" s="79"/>
      <c r="RR83" s="79"/>
      <c r="RS83" s="79"/>
      <c r="RT83" s="79"/>
      <c r="RU83" s="79"/>
      <c r="RV83" s="79"/>
      <c r="RW83" s="79"/>
      <c r="RX83" s="79"/>
      <c r="RY83" s="79"/>
      <c r="RZ83" s="79"/>
      <c r="SA83" s="79"/>
      <c r="SB83" s="79"/>
      <c r="SC83" s="79"/>
      <c r="SD83" s="79"/>
      <c r="SE83" s="79"/>
      <c r="SF83" s="79"/>
      <c r="SG83" s="79"/>
      <c r="SH83" s="79"/>
      <c r="SI83" s="79"/>
      <c r="SJ83" s="79"/>
      <c r="SK83" s="79"/>
      <c r="SL83" s="79"/>
      <c r="SM83" s="79"/>
      <c r="SN83" s="79"/>
      <c r="SO83" s="79"/>
      <c r="SP83" s="79"/>
      <c r="SQ83" s="79"/>
      <c r="SR83" s="79"/>
      <c r="SS83" s="79"/>
      <c r="ST83" s="79"/>
      <c r="SU83" s="79"/>
      <c r="SV83" s="79"/>
      <c r="SW83" s="79"/>
      <c r="SX83" s="79"/>
      <c r="SY83" s="79"/>
      <c r="SZ83" s="79"/>
      <c r="TA83" s="79"/>
      <c r="TB83" s="79"/>
      <c r="TC83" s="79"/>
      <c r="TD83" s="79"/>
      <c r="TE83" s="79"/>
      <c r="TF83" s="79"/>
      <c r="TG83" s="79"/>
      <c r="TH83" s="79"/>
      <c r="TI83" s="79"/>
      <c r="TJ83" s="79"/>
      <c r="TK83" s="79"/>
      <c r="TL83" s="79"/>
      <c r="TM83" s="79"/>
      <c r="TN83" s="79"/>
      <c r="TO83" s="79"/>
      <c r="TP83" s="79"/>
      <c r="TQ83" s="79"/>
      <c r="TR83" s="79"/>
      <c r="TS83" s="79"/>
      <c r="TT83" s="79"/>
      <c r="TU83" s="79"/>
      <c r="TV83" s="79"/>
      <c r="TW83" s="79"/>
      <c r="TX83" s="79"/>
      <c r="TY83" s="79"/>
      <c r="TZ83" s="79"/>
      <c r="UA83" s="79"/>
      <c r="UB83" s="79"/>
      <c r="UC83" s="79"/>
      <c r="UD83" s="79"/>
      <c r="UE83" s="79"/>
      <c r="UF83" s="79"/>
      <c r="UG83" s="79"/>
      <c r="UH83" s="79"/>
      <c r="UI83" s="79"/>
      <c r="UJ83" s="79"/>
      <c r="UK83" s="79"/>
      <c r="UL83" s="79"/>
      <c r="UM83" s="79"/>
      <c r="UN83" s="79"/>
      <c r="UO83" s="79"/>
      <c r="UP83" s="79"/>
      <c r="UQ83" s="79"/>
      <c r="UR83" s="79"/>
      <c r="US83" s="79"/>
      <c r="UT83" s="79"/>
      <c r="UU83" s="79"/>
      <c r="UV83" s="79"/>
      <c r="UW83" s="79"/>
      <c r="UX83" s="79"/>
      <c r="UY83" s="79"/>
      <c r="UZ83" s="79"/>
      <c r="VA83" s="79"/>
      <c r="VB83" s="79"/>
      <c r="VC83" s="79"/>
      <c r="VD83" s="79"/>
      <c r="VE83" s="79"/>
      <c r="VF83" s="79"/>
      <c r="VG83" s="79"/>
      <c r="VH83" s="79"/>
      <c r="VI83" s="79"/>
      <c r="VJ83" s="79"/>
      <c r="VK83" s="79"/>
      <c r="VL83" s="79"/>
    </row>
    <row r="84" spans="1:584" s="47" customFormat="1" ht="41.25" customHeight="1" x14ac:dyDescent="0.25">
      <c r="A84" s="45" t="s">
        <v>232</v>
      </c>
      <c r="B84" s="91" t="str">
        <f>'дод 3'!A13</f>
        <v>0160</v>
      </c>
      <c r="C84" s="91" t="str">
        <f>'дод 3'!B13</f>
        <v>0111</v>
      </c>
      <c r="D84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84" s="115">
        <v>1849500</v>
      </c>
      <c r="F84" s="115">
        <v>1424117</v>
      </c>
      <c r="G84" s="115">
        <f>32216+5185</f>
        <v>37401</v>
      </c>
      <c r="H84" s="115">
        <v>1569495.01</v>
      </c>
      <c r="I84" s="115">
        <v>1199576.01</v>
      </c>
      <c r="J84" s="115">
        <v>32378.04</v>
      </c>
      <c r="K84" s="164">
        <f t="shared" si="17"/>
        <v>84.8605033792917</v>
      </c>
      <c r="L84" s="115">
        <f t="shared" si="16"/>
        <v>0</v>
      </c>
      <c r="M84" s="115"/>
      <c r="N84" s="115"/>
      <c r="O84" s="115"/>
      <c r="P84" s="115"/>
      <c r="Q84" s="115"/>
      <c r="R84" s="115">
        <f t="shared" si="19"/>
        <v>15500</v>
      </c>
      <c r="S84" s="115"/>
      <c r="T84" s="115">
        <v>15500</v>
      </c>
      <c r="U84" s="115"/>
      <c r="V84" s="115"/>
      <c r="W84" s="115"/>
      <c r="X84" s="149"/>
      <c r="Y84" s="115">
        <f t="shared" ref="Y84:Y114" si="27">H84+R84</f>
        <v>1584995.01</v>
      </c>
      <c r="Z84" s="187"/>
      <c r="AA84" s="53"/>
      <c r="AB84" s="53"/>
      <c r="AC84" s="53"/>
      <c r="AD84" s="53"/>
      <c r="AE84" s="79"/>
      <c r="AF84" s="79"/>
      <c r="AG84" s="79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/>
      <c r="IN84" s="53"/>
      <c r="IO84" s="53"/>
      <c r="IP84" s="53"/>
      <c r="IQ84" s="53"/>
      <c r="IR84" s="53"/>
      <c r="IS84" s="53"/>
      <c r="IT84" s="53"/>
      <c r="IU84" s="53"/>
      <c r="IV84" s="53"/>
      <c r="IW84" s="53"/>
      <c r="IX84" s="53"/>
      <c r="IY84" s="53"/>
      <c r="IZ84" s="53"/>
      <c r="JA84" s="53"/>
      <c r="JB84" s="53"/>
      <c r="JC84" s="53"/>
      <c r="JD84" s="53"/>
      <c r="JE84" s="53"/>
      <c r="JF84" s="53"/>
      <c r="JG84" s="53"/>
      <c r="JH84" s="53"/>
      <c r="JI84" s="53"/>
      <c r="JJ84" s="53"/>
      <c r="JK84" s="53"/>
      <c r="JL84" s="53"/>
      <c r="JM84" s="53"/>
      <c r="JN84" s="53"/>
      <c r="JO84" s="53"/>
      <c r="JP84" s="53"/>
      <c r="JQ84" s="53"/>
      <c r="JR84" s="53"/>
      <c r="JS84" s="53"/>
      <c r="JT84" s="53"/>
      <c r="JU84" s="53"/>
      <c r="JV84" s="53"/>
      <c r="JW84" s="53"/>
      <c r="JX84" s="53"/>
      <c r="JY84" s="53"/>
      <c r="JZ84" s="53"/>
      <c r="KA84" s="53"/>
      <c r="KB84" s="53"/>
      <c r="KC84" s="53"/>
      <c r="KD84" s="53"/>
      <c r="KE84" s="53"/>
      <c r="KF84" s="53"/>
      <c r="KG84" s="53"/>
      <c r="KH84" s="53"/>
      <c r="KI84" s="53"/>
      <c r="KJ84" s="53"/>
      <c r="KK84" s="53"/>
      <c r="KL84" s="53"/>
      <c r="KM84" s="53"/>
      <c r="KN84" s="53"/>
      <c r="KO84" s="53"/>
      <c r="KP84" s="53"/>
      <c r="KQ84" s="53"/>
      <c r="KR84" s="53"/>
      <c r="KS84" s="53"/>
      <c r="KT84" s="53"/>
      <c r="KU84" s="53"/>
      <c r="KV84" s="53"/>
      <c r="KW84" s="53"/>
      <c r="KX84" s="53"/>
      <c r="KY84" s="53"/>
      <c r="KZ84" s="53"/>
      <c r="LA84" s="53"/>
      <c r="LB84" s="53"/>
      <c r="LC84" s="53"/>
      <c r="LD84" s="53"/>
      <c r="LE84" s="53"/>
      <c r="LF84" s="53"/>
      <c r="LG84" s="53"/>
      <c r="LH84" s="53"/>
      <c r="LI84" s="53"/>
      <c r="LJ84" s="53"/>
      <c r="LK84" s="53"/>
      <c r="LL84" s="53"/>
      <c r="LM84" s="53"/>
      <c r="LN84" s="53"/>
      <c r="LO84" s="53"/>
      <c r="LP84" s="53"/>
      <c r="LQ84" s="53"/>
      <c r="LR84" s="53"/>
      <c r="LS84" s="53"/>
      <c r="LT84" s="53"/>
      <c r="LU84" s="53"/>
      <c r="LV84" s="53"/>
      <c r="LW84" s="53"/>
      <c r="LX84" s="53"/>
      <c r="LY84" s="53"/>
      <c r="LZ84" s="53"/>
      <c r="MA84" s="53"/>
      <c r="MB84" s="53"/>
      <c r="MC84" s="53"/>
      <c r="MD84" s="53"/>
      <c r="ME84" s="53"/>
      <c r="MF84" s="53"/>
      <c r="MG84" s="53"/>
      <c r="MH84" s="53"/>
      <c r="MI84" s="53"/>
      <c r="MJ84" s="53"/>
      <c r="MK84" s="53"/>
      <c r="ML84" s="53"/>
      <c r="MM84" s="53"/>
      <c r="MN84" s="53"/>
      <c r="MO84" s="53"/>
      <c r="MP84" s="53"/>
      <c r="MQ84" s="53"/>
      <c r="MR84" s="53"/>
      <c r="MS84" s="53"/>
      <c r="MT84" s="53"/>
      <c r="MU84" s="53"/>
      <c r="MV84" s="53"/>
      <c r="MW84" s="53"/>
      <c r="MX84" s="53"/>
      <c r="MY84" s="53"/>
      <c r="MZ84" s="53"/>
      <c r="NA84" s="53"/>
      <c r="NB84" s="53"/>
      <c r="NC84" s="53"/>
      <c r="ND84" s="53"/>
      <c r="NE84" s="53"/>
      <c r="NF84" s="53"/>
      <c r="NG84" s="53"/>
      <c r="NH84" s="53"/>
      <c r="NI84" s="53"/>
      <c r="NJ84" s="53"/>
      <c r="NK84" s="53"/>
      <c r="NL84" s="53"/>
      <c r="NM84" s="53"/>
      <c r="NN84" s="53"/>
      <c r="NO84" s="53"/>
      <c r="NP84" s="53"/>
      <c r="NQ84" s="53"/>
      <c r="NR84" s="53"/>
      <c r="NS84" s="53"/>
      <c r="NT84" s="53"/>
      <c r="NU84" s="53"/>
      <c r="NV84" s="53"/>
      <c r="NW84" s="53"/>
      <c r="NX84" s="53"/>
      <c r="NY84" s="53"/>
      <c r="NZ84" s="53"/>
      <c r="OA84" s="53"/>
      <c r="OB84" s="53"/>
      <c r="OC84" s="53"/>
      <c r="OD84" s="53"/>
      <c r="OE84" s="53"/>
      <c r="OF84" s="53"/>
      <c r="OG84" s="53"/>
      <c r="OH84" s="53"/>
      <c r="OI84" s="53"/>
      <c r="OJ84" s="53"/>
      <c r="OK84" s="53"/>
      <c r="OL84" s="53"/>
      <c r="OM84" s="53"/>
      <c r="ON84" s="53"/>
      <c r="OO84" s="53"/>
      <c r="OP84" s="53"/>
      <c r="OQ84" s="53"/>
      <c r="OR84" s="53"/>
      <c r="OS84" s="53"/>
      <c r="OT84" s="53"/>
      <c r="OU84" s="53"/>
      <c r="OV84" s="53"/>
      <c r="OW84" s="53"/>
      <c r="OX84" s="53"/>
      <c r="OY84" s="53"/>
      <c r="OZ84" s="53"/>
      <c r="PA84" s="53"/>
      <c r="PB84" s="53"/>
      <c r="PC84" s="53"/>
      <c r="PD84" s="53"/>
      <c r="PE84" s="53"/>
      <c r="PF84" s="53"/>
      <c r="PG84" s="53"/>
      <c r="PH84" s="53"/>
      <c r="PI84" s="53"/>
      <c r="PJ84" s="53"/>
      <c r="PK84" s="53"/>
      <c r="PL84" s="53"/>
      <c r="PM84" s="53"/>
      <c r="PN84" s="53"/>
      <c r="PO84" s="53"/>
      <c r="PP84" s="53"/>
      <c r="PQ84" s="53"/>
      <c r="PR84" s="53"/>
      <c r="PS84" s="53"/>
      <c r="PT84" s="53"/>
      <c r="PU84" s="53"/>
      <c r="PV84" s="53"/>
      <c r="PW84" s="53"/>
      <c r="PX84" s="53"/>
      <c r="PY84" s="53"/>
      <c r="PZ84" s="53"/>
      <c r="QA84" s="53"/>
      <c r="QB84" s="53"/>
      <c r="QC84" s="53"/>
      <c r="QD84" s="53"/>
      <c r="QE84" s="53"/>
      <c r="QF84" s="53"/>
      <c r="QG84" s="53"/>
      <c r="QH84" s="53"/>
      <c r="QI84" s="53"/>
      <c r="QJ84" s="53"/>
      <c r="QK84" s="53"/>
      <c r="QL84" s="53"/>
      <c r="QM84" s="53"/>
      <c r="QN84" s="53"/>
      <c r="QO84" s="53"/>
      <c r="QP84" s="53"/>
      <c r="QQ84" s="53"/>
      <c r="QR84" s="53"/>
      <c r="QS84" s="53"/>
      <c r="QT84" s="53"/>
      <c r="QU84" s="53"/>
      <c r="QV84" s="53"/>
      <c r="QW84" s="53"/>
      <c r="QX84" s="53"/>
      <c r="QY84" s="53"/>
      <c r="QZ84" s="53"/>
      <c r="RA84" s="53"/>
      <c r="RB84" s="53"/>
      <c r="RC84" s="53"/>
      <c r="RD84" s="53"/>
      <c r="RE84" s="53"/>
      <c r="RF84" s="53"/>
      <c r="RG84" s="53"/>
      <c r="RH84" s="53"/>
      <c r="RI84" s="53"/>
      <c r="RJ84" s="53"/>
      <c r="RK84" s="53"/>
      <c r="RL84" s="53"/>
      <c r="RM84" s="53"/>
      <c r="RN84" s="53"/>
      <c r="RO84" s="53"/>
      <c r="RP84" s="53"/>
      <c r="RQ84" s="53"/>
      <c r="RR84" s="53"/>
      <c r="RS84" s="53"/>
      <c r="RT84" s="53"/>
      <c r="RU84" s="53"/>
      <c r="RV84" s="53"/>
      <c r="RW84" s="53"/>
      <c r="RX84" s="53"/>
      <c r="RY84" s="53"/>
      <c r="RZ84" s="53"/>
      <c r="SA84" s="53"/>
      <c r="SB84" s="53"/>
      <c r="SC84" s="53"/>
      <c r="SD84" s="53"/>
      <c r="SE84" s="53"/>
      <c r="SF84" s="53"/>
      <c r="SG84" s="53"/>
      <c r="SH84" s="53"/>
      <c r="SI84" s="53"/>
      <c r="SJ84" s="53"/>
      <c r="SK84" s="53"/>
      <c r="SL84" s="53"/>
      <c r="SM84" s="53"/>
      <c r="SN84" s="53"/>
      <c r="SO84" s="53"/>
      <c r="SP84" s="53"/>
      <c r="SQ84" s="53"/>
      <c r="SR84" s="53"/>
      <c r="SS84" s="53"/>
      <c r="ST84" s="53"/>
      <c r="SU84" s="53"/>
      <c r="SV84" s="53"/>
      <c r="SW84" s="53"/>
      <c r="SX84" s="53"/>
      <c r="SY84" s="53"/>
      <c r="SZ84" s="53"/>
      <c r="TA84" s="53"/>
      <c r="TB84" s="53"/>
      <c r="TC84" s="53"/>
      <c r="TD84" s="53"/>
      <c r="TE84" s="53"/>
      <c r="TF84" s="53"/>
      <c r="TG84" s="53"/>
      <c r="TH84" s="53"/>
      <c r="TI84" s="53"/>
      <c r="TJ84" s="53"/>
      <c r="TK84" s="53"/>
      <c r="TL84" s="53"/>
      <c r="TM84" s="53"/>
      <c r="TN84" s="53"/>
      <c r="TO84" s="53"/>
      <c r="TP84" s="53"/>
      <c r="TQ84" s="53"/>
      <c r="TR84" s="53"/>
      <c r="TS84" s="53"/>
      <c r="TT84" s="53"/>
      <c r="TU84" s="53"/>
      <c r="TV84" s="53"/>
      <c r="TW84" s="53"/>
      <c r="TX84" s="53"/>
      <c r="TY84" s="53"/>
      <c r="TZ84" s="53"/>
      <c r="UA84" s="53"/>
      <c r="UB84" s="53"/>
      <c r="UC84" s="53"/>
      <c r="UD84" s="53"/>
      <c r="UE84" s="53"/>
      <c r="UF84" s="53"/>
      <c r="UG84" s="53"/>
      <c r="UH84" s="53"/>
      <c r="UI84" s="53"/>
      <c r="UJ84" s="53"/>
      <c r="UK84" s="53"/>
      <c r="UL84" s="53"/>
      <c r="UM84" s="53"/>
      <c r="UN84" s="53"/>
      <c r="UO84" s="53"/>
      <c r="UP84" s="53"/>
      <c r="UQ84" s="53"/>
      <c r="UR84" s="53"/>
      <c r="US84" s="53"/>
      <c r="UT84" s="53"/>
      <c r="UU84" s="53"/>
      <c r="UV84" s="53"/>
      <c r="UW84" s="53"/>
      <c r="UX84" s="53"/>
      <c r="UY84" s="53"/>
      <c r="UZ84" s="53"/>
      <c r="VA84" s="53"/>
      <c r="VB84" s="53"/>
      <c r="VC84" s="53"/>
      <c r="VD84" s="53"/>
      <c r="VE84" s="53"/>
      <c r="VF84" s="53"/>
      <c r="VG84" s="53"/>
      <c r="VH84" s="53"/>
      <c r="VI84" s="53"/>
      <c r="VJ84" s="53"/>
      <c r="VK84" s="53"/>
      <c r="VL84" s="53"/>
    </row>
    <row r="85" spans="1:584" s="47" customFormat="1" ht="25.5" customHeight="1" x14ac:dyDescent="0.25">
      <c r="A85" s="45" t="s">
        <v>233</v>
      </c>
      <c r="B85" s="91" t="str">
        <f>'дод 3'!A37</f>
        <v>2010</v>
      </c>
      <c r="C85" s="91" t="str">
        <f>'дод 3'!B37</f>
        <v>0731</v>
      </c>
      <c r="D85" s="48" t="str">
        <f>'дод 3'!C37</f>
        <v>Багатопрофільна стаціонарна медична допомога населенню</v>
      </c>
      <c r="E85" s="115">
        <v>270066168.66000003</v>
      </c>
      <c r="F85" s="117"/>
      <c r="G85" s="117"/>
      <c r="H85" s="115">
        <v>267671567.58000001</v>
      </c>
      <c r="I85" s="117"/>
      <c r="J85" s="117"/>
      <c r="K85" s="164">
        <f t="shared" si="17"/>
        <v>99.113328007028272</v>
      </c>
      <c r="L85" s="115">
        <f t="shared" si="16"/>
        <v>26434879.300000001</v>
      </c>
      <c r="M85" s="115">
        <f>12000000+170000-675726.7+181224+70000+16000+15000+10000+23800-15000+376752+13000+500000+12000+272632+84000+164330</f>
        <v>13218011.300000001</v>
      </c>
      <c r="N85" s="115">
        <v>13216868</v>
      </c>
      <c r="O85" s="115"/>
      <c r="P85" s="115"/>
      <c r="Q85" s="115">
        <f>12000000+170000-675726.7+181224+70000+16000+15000+10000+23800-15000+376752+13000+500000+12000+272632+84000+164330</f>
        <v>13218011.300000001</v>
      </c>
      <c r="R85" s="115">
        <f t="shared" si="19"/>
        <v>16466843.9</v>
      </c>
      <c r="S85" s="115">
        <v>13012979.210000001</v>
      </c>
      <c r="T85" s="115">
        <v>3239171.69</v>
      </c>
      <c r="U85" s="115"/>
      <c r="V85" s="115"/>
      <c r="W85" s="115">
        <v>13227672.210000001</v>
      </c>
      <c r="X85" s="166">
        <f t="shared" si="18"/>
        <v>62.292109273977282</v>
      </c>
      <c r="Y85" s="115">
        <f t="shared" si="27"/>
        <v>284138411.48000002</v>
      </c>
      <c r="Z85" s="187"/>
      <c r="AA85" s="53"/>
      <c r="AB85" s="53"/>
      <c r="AC85" s="53"/>
      <c r="AD85" s="53"/>
      <c r="AE85" s="79"/>
      <c r="AF85" s="79"/>
      <c r="AG85" s="79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  <c r="IQ85" s="53"/>
      <c r="IR85" s="53"/>
      <c r="IS85" s="53"/>
      <c r="IT85" s="53"/>
      <c r="IU85" s="53"/>
      <c r="IV85" s="53"/>
      <c r="IW85" s="53"/>
      <c r="IX85" s="53"/>
      <c r="IY85" s="53"/>
      <c r="IZ85" s="53"/>
      <c r="JA85" s="53"/>
      <c r="JB85" s="53"/>
      <c r="JC85" s="53"/>
      <c r="JD85" s="53"/>
      <c r="JE85" s="53"/>
      <c r="JF85" s="53"/>
      <c r="JG85" s="53"/>
      <c r="JH85" s="53"/>
      <c r="JI85" s="53"/>
      <c r="JJ85" s="53"/>
      <c r="JK85" s="53"/>
      <c r="JL85" s="53"/>
      <c r="JM85" s="53"/>
      <c r="JN85" s="53"/>
      <c r="JO85" s="53"/>
      <c r="JP85" s="53"/>
      <c r="JQ85" s="53"/>
      <c r="JR85" s="53"/>
      <c r="JS85" s="53"/>
      <c r="JT85" s="53"/>
      <c r="JU85" s="53"/>
      <c r="JV85" s="53"/>
      <c r="JW85" s="53"/>
      <c r="JX85" s="53"/>
      <c r="JY85" s="53"/>
      <c r="JZ85" s="53"/>
      <c r="KA85" s="53"/>
      <c r="KB85" s="53"/>
      <c r="KC85" s="53"/>
      <c r="KD85" s="53"/>
      <c r="KE85" s="53"/>
      <c r="KF85" s="53"/>
      <c r="KG85" s="53"/>
      <c r="KH85" s="53"/>
      <c r="KI85" s="53"/>
      <c r="KJ85" s="53"/>
      <c r="KK85" s="53"/>
      <c r="KL85" s="53"/>
      <c r="KM85" s="53"/>
      <c r="KN85" s="53"/>
      <c r="KO85" s="53"/>
      <c r="KP85" s="53"/>
      <c r="KQ85" s="53"/>
      <c r="KR85" s="53"/>
      <c r="KS85" s="53"/>
      <c r="KT85" s="53"/>
      <c r="KU85" s="53"/>
      <c r="KV85" s="53"/>
      <c r="KW85" s="53"/>
      <c r="KX85" s="53"/>
      <c r="KY85" s="53"/>
      <c r="KZ85" s="53"/>
      <c r="LA85" s="53"/>
      <c r="LB85" s="53"/>
      <c r="LC85" s="53"/>
      <c r="LD85" s="53"/>
      <c r="LE85" s="53"/>
      <c r="LF85" s="53"/>
      <c r="LG85" s="53"/>
      <c r="LH85" s="53"/>
      <c r="LI85" s="53"/>
      <c r="LJ85" s="53"/>
      <c r="LK85" s="53"/>
      <c r="LL85" s="53"/>
      <c r="LM85" s="53"/>
      <c r="LN85" s="53"/>
      <c r="LO85" s="53"/>
      <c r="LP85" s="53"/>
      <c r="LQ85" s="53"/>
      <c r="LR85" s="53"/>
      <c r="LS85" s="53"/>
      <c r="LT85" s="53"/>
      <c r="LU85" s="53"/>
      <c r="LV85" s="53"/>
      <c r="LW85" s="53"/>
      <c r="LX85" s="53"/>
      <c r="LY85" s="53"/>
      <c r="LZ85" s="53"/>
      <c r="MA85" s="53"/>
      <c r="MB85" s="53"/>
      <c r="MC85" s="53"/>
      <c r="MD85" s="53"/>
      <c r="ME85" s="53"/>
      <c r="MF85" s="53"/>
      <c r="MG85" s="53"/>
      <c r="MH85" s="53"/>
      <c r="MI85" s="53"/>
      <c r="MJ85" s="53"/>
      <c r="MK85" s="53"/>
      <c r="ML85" s="53"/>
      <c r="MM85" s="53"/>
      <c r="MN85" s="53"/>
      <c r="MO85" s="53"/>
      <c r="MP85" s="53"/>
      <c r="MQ85" s="53"/>
      <c r="MR85" s="53"/>
      <c r="MS85" s="53"/>
      <c r="MT85" s="53"/>
      <c r="MU85" s="53"/>
      <c r="MV85" s="53"/>
      <c r="MW85" s="53"/>
      <c r="MX85" s="53"/>
      <c r="MY85" s="53"/>
      <c r="MZ85" s="53"/>
      <c r="NA85" s="53"/>
      <c r="NB85" s="53"/>
      <c r="NC85" s="53"/>
      <c r="ND85" s="53"/>
      <c r="NE85" s="53"/>
      <c r="NF85" s="53"/>
      <c r="NG85" s="53"/>
      <c r="NH85" s="53"/>
      <c r="NI85" s="53"/>
      <c r="NJ85" s="53"/>
      <c r="NK85" s="53"/>
      <c r="NL85" s="53"/>
      <c r="NM85" s="53"/>
      <c r="NN85" s="53"/>
      <c r="NO85" s="53"/>
      <c r="NP85" s="53"/>
      <c r="NQ85" s="53"/>
      <c r="NR85" s="53"/>
      <c r="NS85" s="53"/>
      <c r="NT85" s="53"/>
      <c r="NU85" s="53"/>
      <c r="NV85" s="53"/>
      <c r="NW85" s="53"/>
      <c r="NX85" s="53"/>
      <c r="NY85" s="53"/>
      <c r="NZ85" s="53"/>
      <c r="OA85" s="53"/>
      <c r="OB85" s="53"/>
      <c r="OC85" s="53"/>
      <c r="OD85" s="53"/>
      <c r="OE85" s="53"/>
      <c r="OF85" s="53"/>
      <c r="OG85" s="53"/>
      <c r="OH85" s="53"/>
      <c r="OI85" s="53"/>
      <c r="OJ85" s="53"/>
      <c r="OK85" s="53"/>
      <c r="OL85" s="53"/>
      <c r="OM85" s="53"/>
      <c r="ON85" s="53"/>
      <c r="OO85" s="53"/>
      <c r="OP85" s="53"/>
      <c r="OQ85" s="53"/>
      <c r="OR85" s="53"/>
      <c r="OS85" s="53"/>
      <c r="OT85" s="53"/>
      <c r="OU85" s="53"/>
      <c r="OV85" s="53"/>
      <c r="OW85" s="53"/>
      <c r="OX85" s="53"/>
      <c r="OY85" s="53"/>
      <c r="OZ85" s="53"/>
      <c r="PA85" s="53"/>
      <c r="PB85" s="53"/>
      <c r="PC85" s="53"/>
      <c r="PD85" s="53"/>
      <c r="PE85" s="53"/>
      <c r="PF85" s="53"/>
      <c r="PG85" s="53"/>
      <c r="PH85" s="53"/>
      <c r="PI85" s="53"/>
      <c r="PJ85" s="53"/>
      <c r="PK85" s="53"/>
      <c r="PL85" s="53"/>
      <c r="PM85" s="53"/>
      <c r="PN85" s="53"/>
      <c r="PO85" s="53"/>
      <c r="PP85" s="53"/>
      <c r="PQ85" s="53"/>
      <c r="PR85" s="53"/>
      <c r="PS85" s="53"/>
      <c r="PT85" s="53"/>
      <c r="PU85" s="53"/>
      <c r="PV85" s="53"/>
      <c r="PW85" s="53"/>
      <c r="PX85" s="53"/>
      <c r="PY85" s="53"/>
      <c r="PZ85" s="53"/>
      <c r="QA85" s="53"/>
      <c r="QB85" s="53"/>
      <c r="QC85" s="53"/>
      <c r="QD85" s="53"/>
      <c r="QE85" s="53"/>
      <c r="QF85" s="53"/>
      <c r="QG85" s="53"/>
      <c r="QH85" s="53"/>
      <c r="QI85" s="53"/>
      <c r="QJ85" s="53"/>
      <c r="QK85" s="53"/>
      <c r="QL85" s="53"/>
      <c r="QM85" s="53"/>
      <c r="QN85" s="53"/>
      <c r="QO85" s="53"/>
      <c r="QP85" s="53"/>
      <c r="QQ85" s="53"/>
      <c r="QR85" s="53"/>
      <c r="QS85" s="53"/>
      <c r="QT85" s="53"/>
      <c r="QU85" s="53"/>
      <c r="QV85" s="53"/>
      <c r="QW85" s="53"/>
      <c r="QX85" s="53"/>
      <c r="QY85" s="53"/>
      <c r="QZ85" s="53"/>
      <c r="RA85" s="53"/>
      <c r="RB85" s="53"/>
      <c r="RC85" s="53"/>
      <c r="RD85" s="53"/>
      <c r="RE85" s="53"/>
      <c r="RF85" s="53"/>
      <c r="RG85" s="53"/>
      <c r="RH85" s="53"/>
      <c r="RI85" s="53"/>
      <c r="RJ85" s="53"/>
      <c r="RK85" s="53"/>
      <c r="RL85" s="53"/>
      <c r="RM85" s="53"/>
      <c r="RN85" s="53"/>
      <c r="RO85" s="53"/>
      <c r="RP85" s="53"/>
      <c r="RQ85" s="53"/>
      <c r="RR85" s="53"/>
      <c r="RS85" s="53"/>
      <c r="RT85" s="53"/>
      <c r="RU85" s="53"/>
      <c r="RV85" s="53"/>
      <c r="RW85" s="53"/>
      <c r="RX85" s="53"/>
      <c r="RY85" s="53"/>
      <c r="RZ85" s="53"/>
      <c r="SA85" s="53"/>
      <c r="SB85" s="53"/>
      <c r="SC85" s="53"/>
      <c r="SD85" s="53"/>
      <c r="SE85" s="53"/>
      <c r="SF85" s="53"/>
      <c r="SG85" s="53"/>
      <c r="SH85" s="53"/>
      <c r="SI85" s="53"/>
      <c r="SJ85" s="53"/>
      <c r="SK85" s="53"/>
      <c r="SL85" s="53"/>
      <c r="SM85" s="53"/>
      <c r="SN85" s="53"/>
      <c r="SO85" s="53"/>
      <c r="SP85" s="53"/>
      <c r="SQ85" s="53"/>
      <c r="SR85" s="53"/>
      <c r="SS85" s="53"/>
      <c r="ST85" s="53"/>
      <c r="SU85" s="53"/>
      <c r="SV85" s="53"/>
      <c r="SW85" s="53"/>
      <c r="SX85" s="53"/>
      <c r="SY85" s="53"/>
      <c r="SZ85" s="53"/>
      <c r="TA85" s="53"/>
      <c r="TB85" s="53"/>
      <c r="TC85" s="53"/>
      <c r="TD85" s="53"/>
      <c r="TE85" s="53"/>
      <c r="TF85" s="53"/>
      <c r="TG85" s="53"/>
      <c r="TH85" s="53"/>
      <c r="TI85" s="53"/>
      <c r="TJ85" s="53"/>
      <c r="TK85" s="53"/>
      <c r="TL85" s="53"/>
      <c r="TM85" s="53"/>
      <c r="TN85" s="53"/>
      <c r="TO85" s="53"/>
      <c r="TP85" s="53"/>
      <c r="TQ85" s="53"/>
      <c r="TR85" s="53"/>
      <c r="TS85" s="53"/>
      <c r="TT85" s="53"/>
      <c r="TU85" s="53"/>
      <c r="TV85" s="53"/>
      <c r="TW85" s="53"/>
      <c r="TX85" s="53"/>
      <c r="TY85" s="53"/>
      <c r="TZ85" s="53"/>
      <c r="UA85" s="53"/>
      <c r="UB85" s="53"/>
      <c r="UC85" s="53"/>
      <c r="UD85" s="53"/>
      <c r="UE85" s="53"/>
      <c r="UF85" s="53"/>
      <c r="UG85" s="53"/>
      <c r="UH85" s="53"/>
      <c r="UI85" s="53"/>
      <c r="UJ85" s="53"/>
      <c r="UK85" s="53"/>
      <c r="UL85" s="53"/>
      <c r="UM85" s="53"/>
      <c r="UN85" s="53"/>
      <c r="UO85" s="53"/>
      <c r="UP85" s="53"/>
      <c r="UQ85" s="53"/>
      <c r="UR85" s="53"/>
      <c r="US85" s="53"/>
      <c r="UT85" s="53"/>
      <c r="UU85" s="53"/>
      <c r="UV85" s="53"/>
      <c r="UW85" s="53"/>
      <c r="UX85" s="53"/>
      <c r="UY85" s="53"/>
      <c r="UZ85" s="53"/>
      <c r="VA85" s="53"/>
      <c r="VB85" s="53"/>
      <c r="VC85" s="53"/>
      <c r="VD85" s="53"/>
      <c r="VE85" s="53"/>
      <c r="VF85" s="53"/>
      <c r="VG85" s="53"/>
      <c r="VH85" s="53"/>
      <c r="VI85" s="53"/>
      <c r="VJ85" s="53"/>
      <c r="VK85" s="53"/>
      <c r="VL85" s="53"/>
    </row>
    <row r="86" spans="1:584" s="47" customFormat="1" ht="17.25" customHeight="1" x14ac:dyDescent="0.25">
      <c r="A86" s="45"/>
      <c r="B86" s="91"/>
      <c r="C86" s="91"/>
      <c r="D86" s="46" t="s">
        <v>342</v>
      </c>
      <c r="E86" s="115">
        <v>180256155.66</v>
      </c>
      <c r="F86" s="117"/>
      <c r="G86" s="117"/>
      <c r="H86" s="115">
        <v>180256155.66</v>
      </c>
      <c r="I86" s="117"/>
      <c r="J86" s="117"/>
      <c r="K86" s="164">
        <f t="shared" si="17"/>
        <v>100</v>
      </c>
      <c r="L86" s="115">
        <f t="shared" si="16"/>
        <v>0</v>
      </c>
      <c r="M86" s="115"/>
      <c r="N86" s="115"/>
      <c r="O86" s="115"/>
      <c r="P86" s="115"/>
      <c r="Q86" s="115"/>
      <c r="R86" s="115">
        <f t="shared" si="19"/>
        <v>0</v>
      </c>
      <c r="S86" s="115"/>
      <c r="T86" s="115"/>
      <c r="U86" s="115"/>
      <c r="V86" s="115"/>
      <c r="W86" s="115"/>
      <c r="X86" s="166"/>
      <c r="Y86" s="115">
        <f t="shared" si="27"/>
        <v>180256155.66</v>
      </c>
      <c r="Z86" s="187"/>
      <c r="AA86" s="53"/>
      <c r="AB86" s="53"/>
      <c r="AC86" s="53"/>
      <c r="AD86" s="53"/>
      <c r="AE86" s="79"/>
      <c r="AF86" s="79"/>
      <c r="AG86" s="79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/>
      <c r="IN86" s="53"/>
      <c r="IO86" s="53"/>
      <c r="IP86" s="53"/>
      <c r="IQ86" s="53"/>
      <c r="IR86" s="53"/>
      <c r="IS86" s="53"/>
      <c r="IT86" s="53"/>
      <c r="IU86" s="53"/>
      <c r="IV86" s="53"/>
      <c r="IW86" s="53"/>
      <c r="IX86" s="53"/>
      <c r="IY86" s="53"/>
      <c r="IZ86" s="53"/>
      <c r="JA86" s="53"/>
      <c r="JB86" s="53"/>
      <c r="JC86" s="53"/>
      <c r="JD86" s="53"/>
      <c r="JE86" s="53"/>
      <c r="JF86" s="53"/>
      <c r="JG86" s="53"/>
      <c r="JH86" s="53"/>
      <c r="JI86" s="53"/>
      <c r="JJ86" s="53"/>
      <c r="JK86" s="53"/>
      <c r="JL86" s="53"/>
      <c r="JM86" s="53"/>
      <c r="JN86" s="53"/>
      <c r="JO86" s="53"/>
      <c r="JP86" s="53"/>
      <c r="JQ86" s="53"/>
      <c r="JR86" s="53"/>
      <c r="JS86" s="53"/>
      <c r="JT86" s="53"/>
      <c r="JU86" s="53"/>
      <c r="JV86" s="53"/>
      <c r="JW86" s="53"/>
      <c r="JX86" s="53"/>
      <c r="JY86" s="53"/>
      <c r="JZ86" s="53"/>
      <c r="KA86" s="53"/>
      <c r="KB86" s="53"/>
      <c r="KC86" s="53"/>
      <c r="KD86" s="53"/>
      <c r="KE86" s="53"/>
      <c r="KF86" s="53"/>
      <c r="KG86" s="53"/>
      <c r="KH86" s="53"/>
      <c r="KI86" s="53"/>
      <c r="KJ86" s="53"/>
      <c r="KK86" s="53"/>
      <c r="KL86" s="53"/>
      <c r="KM86" s="53"/>
      <c r="KN86" s="53"/>
      <c r="KO86" s="53"/>
      <c r="KP86" s="53"/>
      <c r="KQ86" s="53"/>
      <c r="KR86" s="53"/>
      <c r="KS86" s="53"/>
      <c r="KT86" s="53"/>
      <c r="KU86" s="53"/>
      <c r="KV86" s="53"/>
      <c r="KW86" s="53"/>
      <c r="KX86" s="53"/>
      <c r="KY86" s="53"/>
      <c r="KZ86" s="53"/>
      <c r="LA86" s="53"/>
      <c r="LB86" s="53"/>
      <c r="LC86" s="53"/>
      <c r="LD86" s="53"/>
      <c r="LE86" s="53"/>
      <c r="LF86" s="53"/>
      <c r="LG86" s="53"/>
      <c r="LH86" s="53"/>
      <c r="LI86" s="53"/>
      <c r="LJ86" s="53"/>
      <c r="LK86" s="53"/>
      <c r="LL86" s="53"/>
      <c r="LM86" s="53"/>
      <c r="LN86" s="53"/>
      <c r="LO86" s="53"/>
      <c r="LP86" s="53"/>
      <c r="LQ86" s="53"/>
      <c r="LR86" s="53"/>
      <c r="LS86" s="53"/>
      <c r="LT86" s="53"/>
      <c r="LU86" s="53"/>
      <c r="LV86" s="53"/>
      <c r="LW86" s="53"/>
      <c r="LX86" s="53"/>
      <c r="LY86" s="53"/>
      <c r="LZ86" s="53"/>
      <c r="MA86" s="53"/>
      <c r="MB86" s="53"/>
      <c r="MC86" s="53"/>
      <c r="MD86" s="53"/>
      <c r="ME86" s="53"/>
      <c r="MF86" s="53"/>
      <c r="MG86" s="53"/>
      <c r="MH86" s="53"/>
      <c r="MI86" s="53"/>
      <c r="MJ86" s="53"/>
      <c r="MK86" s="53"/>
      <c r="ML86" s="53"/>
      <c r="MM86" s="53"/>
      <c r="MN86" s="53"/>
      <c r="MO86" s="53"/>
      <c r="MP86" s="53"/>
      <c r="MQ86" s="53"/>
      <c r="MR86" s="53"/>
      <c r="MS86" s="53"/>
      <c r="MT86" s="53"/>
      <c r="MU86" s="53"/>
      <c r="MV86" s="53"/>
      <c r="MW86" s="53"/>
      <c r="MX86" s="53"/>
      <c r="MY86" s="53"/>
      <c r="MZ86" s="53"/>
      <c r="NA86" s="53"/>
      <c r="NB86" s="53"/>
      <c r="NC86" s="53"/>
      <c r="ND86" s="53"/>
      <c r="NE86" s="53"/>
      <c r="NF86" s="53"/>
      <c r="NG86" s="53"/>
      <c r="NH86" s="53"/>
      <c r="NI86" s="53"/>
      <c r="NJ86" s="53"/>
      <c r="NK86" s="53"/>
      <c r="NL86" s="53"/>
      <c r="NM86" s="53"/>
      <c r="NN86" s="53"/>
      <c r="NO86" s="53"/>
      <c r="NP86" s="53"/>
      <c r="NQ86" s="53"/>
      <c r="NR86" s="53"/>
      <c r="NS86" s="53"/>
      <c r="NT86" s="53"/>
      <c r="NU86" s="53"/>
      <c r="NV86" s="53"/>
      <c r="NW86" s="53"/>
      <c r="NX86" s="53"/>
      <c r="NY86" s="53"/>
      <c r="NZ86" s="53"/>
      <c r="OA86" s="53"/>
      <c r="OB86" s="53"/>
      <c r="OC86" s="53"/>
      <c r="OD86" s="53"/>
      <c r="OE86" s="53"/>
      <c r="OF86" s="53"/>
      <c r="OG86" s="53"/>
      <c r="OH86" s="53"/>
      <c r="OI86" s="53"/>
      <c r="OJ86" s="53"/>
      <c r="OK86" s="53"/>
      <c r="OL86" s="53"/>
      <c r="OM86" s="53"/>
      <c r="ON86" s="53"/>
      <c r="OO86" s="53"/>
      <c r="OP86" s="53"/>
      <c r="OQ86" s="53"/>
      <c r="OR86" s="53"/>
      <c r="OS86" s="53"/>
      <c r="OT86" s="53"/>
      <c r="OU86" s="53"/>
      <c r="OV86" s="53"/>
      <c r="OW86" s="53"/>
      <c r="OX86" s="53"/>
      <c r="OY86" s="53"/>
      <c r="OZ86" s="53"/>
      <c r="PA86" s="53"/>
      <c r="PB86" s="53"/>
      <c r="PC86" s="53"/>
      <c r="PD86" s="53"/>
      <c r="PE86" s="53"/>
      <c r="PF86" s="53"/>
      <c r="PG86" s="53"/>
      <c r="PH86" s="53"/>
      <c r="PI86" s="53"/>
      <c r="PJ86" s="53"/>
      <c r="PK86" s="53"/>
      <c r="PL86" s="53"/>
      <c r="PM86" s="53"/>
      <c r="PN86" s="53"/>
      <c r="PO86" s="53"/>
      <c r="PP86" s="53"/>
      <c r="PQ86" s="53"/>
      <c r="PR86" s="53"/>
      <c r="PS86" s="53"/>
      <c r="PT86" s="53"/>
      <c r="PU86" s="53"/>
      <c r="PV86" s="53"/>
      <c r="PW86" s="53"/>
      <c r="PX86" s="53"/>
      <c r="PY86" s="53"/>
      <c r="PZ86" s="53"/>
      <c r="QA86" s="53"/>
      <c r="QB86" s="53"/>
      <c r="QC86" s="53"/>
      <c r="QD86" s="53"/>
      <c r="QE86" s="53"/>
      <c r="QF86" s="53"/>
      <c r="QG86" s="53"/>
      <c r="QH86" s="53"/>
      <c r="QI86" s="53"/>
      <c r="QJ86" s="53"/>
      <c r="QK86" s="53"/>
      <c r="QL86" s="53"/>
      <c r="QM86" s="53"/>
      <c r="QN86" s="53"/>
      <c r="QO86" s="53"/>
      <c r="QP86" s="53"/>
      <c r="QQ86" s="53"/>
      <c r="QR86" s="53"/>
      <c r="QS86" s="53"/>
      <c r="QT86" s="53"/>
      <c r="QU86" s="53"/>
      <c r="QV86" s="53"/>
      <c r="QW86" s="53"/>
      <c r="QX86" s="53"/>
      <c r="QY86" s="53"/>
      <c r="QZ86" s="53"/>
      <c r="RA86" s="53"/>
      <c r="RB86" s="53"/>
      <c r="RC86" s="53"/>
      <c r="RD86" s="53"/>
      <c r="RE86" s="53"/>
      <c r="RF86" s="53"/>
      <c r="RG86" s="53"/>
      <c r="RH86" s="53"/>
      <c r="RI86" s="53"/>
      <c r="RJ86" s="53"/>
      <c r="RK86" s="53"/>
      <c r="RL86" s="53"/>
      <c r="RM86" s="53"/>
      <c r="RN86" s="53"/>
      <c r="RO86" s="53"/>
      <c r="RP86" s="53"/>
      <c r="RQ86" s="53"/>
      <c r="RR86" s="53"/>
      <c r="RS86" s="53"/>
      <c r="RT86" s="53"/>
      <c r="RU86" s="53"/>
      <c r="RV86" s="53"/>
      <c r="RW86" s="53"/>
      <c r="RX86" s="53"/>
      <c r="RY86" s="53"/>
      <c r="RZ86" s="53"/>
      <c r="SA86" s="53"/>
      <c r="SB86" s="53"/>
      <c r="SC86" s="53"/>
      <c r="SD86" s="53"/>
      <c r="SE86" s="53"/>
      <c r="SF86" s="53"/>
      <c r="SG86" s="53"/>
      <c r="SH86" s="53"/>
      <c r="SI86" s="53"/>
      <c r="SJ86" s="53"/>
      <c r="SK86" s="53"/>
      <c r="SL86" s="53"/>
      <c r="SM86" s="53"/>
      <c r="SN86" s="53"/>
      <c r="SO86" s="53"/>
      <c r="SP86" s="53"/>
      <c r="SQ86" s="53"/>
      <c r="SR86" s="53"/>
      <c r="SS86" s="53"/>
      <c r="ST86" s="53"/>
      <c r="SU86" s="53"/>
      <c r="SV86" s="53"/>
      <c r="SW86" s="53"/>
      <c r="SX86" s="53"/>
      <c r="SY86" s="53"/>
      <c r="SZ86" s="53"/>
      <c r="TA86" s="53"/>
      <c r="TB86" s="53"/>
      <c r="TC86" s="53"/>
      <c r="TD86" s="53"/>
      <c r="TE86" s="53"/>
      <c r="TF86" s="53"/>
      <c r="TG86" s="53"/>
      <c r="TH86" s="53"/>
      <c r="TI86" s="53"/>
      <c r="TJ86" s="53"/>
      <c r="TK86" s="53"/>
      <c r="TL86" s="53"/>
      <c r="TM86" s="53"/>
      <c r="TN86" s="53"/>
      <c r="TO86" s="53"/>
      <c r="TP86" s="53"/>
      <c r="TQ86" s="53"/>
      <c r="TR86" s="53"/>
      <c r="TS86" s="53"/>
      <c r="TT86" s="53"/>
      <c r="TU86" s="53"/>
      <c r="TV86" s="53"/>
      <c r="TW86" s="53"/>
      <c r="TX86" s="53"/>
      <c r="TY86" s="53"/>
      <c r="TZ86" s="53"/>
      <c r="UA86" s="53"/>
      <c r="UB86" s="53"/>
      <c r="UC86" s="53"/>
      <c r="UD86" s="53"/>
      <c r="UE86" s="53"/>
      <c r="UF86" s="53"/>
      <c r="UG86" s="53"/>
      <c r="UH86" s="53"/>
      <c r="UI86" s="53"/>
      <c r="UJ86" s="53"/>
      <c r="UK86" s="53"/>
      <c r="UL86" s="53"/>
      <c r="UM86" s="53"/>
      <c r="UN86" s="53"/>
      <c r="UO86" s="53"/>
      <c r="UP86" s="53"/>
      <c r="UQ86" s="53"/>
      <c r="UR86" s="53"/>
      <c r="US86" s="53"/>
      <c r="UT86" s="53"/>
      <c r="UU86" s="53"/>
      <c r="UV86" s="53"/>
      <c r="UW86" s="53"/>
      <c r="UX86" s="53"/>
      <c r="UY86" s="53"/>
      <c r="UZ86" s="53"/>
      <c r="VA86" s="53"/>
      <c r="VB86" s="53"/>
      <c r="VC86" s="53"/>
      <c r="VD86" s="53"/>
      <c r="VE86" s="53"/>
      <c r="VF86" s="53"/>
      <c r="VG86" s="53"/>
      <c r="VH86" s="53"/>
      <c r="VI86" s="53"/>
      <c r="VJ86" s="53"/>
      <c r="VK86" s="53"/>
      <c r="VL86" s="53"/>
    </row>
    <row r="87" spans="1:584" s="47" customFormat="1" ht="36.75" customHeight="1" x14ac:dyDescent="0.25">
      <c r="A87" s="45" t="s">
        <v>239</v>
      </c>
      <c r="B87" s="91" t="str">
        <f>'дод 3'!A39</f>
        <v>2030</v>
      </c>
      <c r="C87" s="91" t="str">
        <f>'дод 3'!B39</f>
        <v>0733</v>
      </c>
      <c r="D87" s="48" t="str">
        <f>'дод 3'!C39</f>
        <v>Лікарсько-акушерська допомога вагітним, породіллям та новонародженим</v>
      </c>
      <c r="E87" s="115">
        <v>37835381</v>
      </c>
      <c r="F87" s="117"/>
      <c r="G87" s="117"/>
      <c r="H87" s="115">
        <v>36327938.75</v>
      </c>
      <c r="I87" s="117"/>
      <c r="J87" s="117"/>
      <c r="K87" s="164">
        <f t="shared" si="17"/>
        <v>96.015786784332903</v>
      </c>
      <c r="L87" s="115">
        <f t="shared" si="16"/>
        <v>353908</v>
      </c>
      <c r="M87" s="115">
        <f>1000000-435800-247692</f>
        <v>316508</v>
      </c>
      <c r="N87" s="115">
        <v>37400</v>
      </c>
      <c r="O87" s="115"/>
      <c r="P87" s="115"/>
      <c r="Q87" s="115">
        <f>1000000-435800-247692</f>
        <v>316508</v>
      </c>
      <c r="R87" s="115">
        <f t="shared" si="19"/>
        <v>328004.03000000003</v>
      </c>
      <c r="S87" s="115">
        <v>316044.76</v>
      </c>
      <c r="T87" s="115">
        <v>11959.27</v>
      </c>
      <c r="U87" s="115"/>
      <c r="V87" s="115"/>
      <c r="W87" s="115">
        <v>316044.76</v>
      </c>
      <c r="X87" s="166">
        <f t="shared" si="18"/>
        <v>92.680592131288364</v>
      </c>
      <c r="Y87" s="115">
        <f t="shared" si="27"/>
        <v>36655942.780000001</v>
      </c>
      <c r="Z87" s="187"/>
      <c r="AA87" s="53"/>
      <c r="AB87" s="53"/>
      <c r="AC87" s="53"/>
      <c r="AD87" s="53"/>
      <c r="AE87" s="79"/>
      <c r="AF87" s="79"/>
      <c r="AG87" s="79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53"/>
      <c r="JJ87" s="53"/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/>
      <c r="JY87" s="53"/>
      <c r="JZ87" s="53"/>
      <c r="KA87" s="53"/>
      <c r="KB87" s="53"/>
      <c r="KC87" s="53"/>
      <c r="KD87" s="53"/>
      <c r="KE87" s="53"/>
      <c r="KF87" s="53"/>
      <c r="KG87" s="53"/>
      <c r="KH87" s="53"/>
      <c r="KI87" s="53"/>
      <c r="KJ87" s="53"/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/>
      <c r="KY87" s="53"/>
      <c r="KZ87" s="53"/>
      <c r="LA87" s="53"/>
      <c r="LB87" s="53"/>
      <c r="LC87" s="53"/>
      <c r="LD87" s="53"/>
      <c r="LE87" s="53"/>
      <c r="LF87" s="53"/>
      <c r="LG87" s="53"/>
      <c r="LH87" s="53"/>
      <c r="LI87" s="53"/>
      <c r="LJ87" s="53"/>
      <c r="LK87" s="53"/>
      <c r="LL87" s="53"/>
      <c r="LM87" s="53"/>
      <c r="LN87" s="53"/>
      <c r="LO87" s="53"/>
      <c r="LP87" s="53"/>
      <c r="LQ87" s="53"/>
      <c r="LR87" s="53"/>
      <c r="LS87" s="53"/>
      <c r="LT87" s="53"/>
      <c r="LU87" s="53"/>
      <c r="LV87" s="53"/>
      <c r="LW87" s="53"/>
      <c r="LX87" s="53"/>
      <c r="LY87" s="53"/>
      <c r="LZ87" s="53"/>
      <c r="MA87" s="53"/>
      <c r="MB87" s="53"/>
      <c r="MC87" s="53"/>
      <c r="MD87" s="53"/>
      <c r="ME87" s="53"/>
      <c r="MF87" s="53"/>
      <c r="MG87" s="53"/>
      <c r="MH87" s="53"/>
      <c r="MI87" s="53"/>
      <c r="MJ87" s="53"/>
      <c r="MK87" s="53"/>
      <c r="ML87" s="53"/>
      <c r="MM87" s="53"/>
      <c r="MN87" s="53"/>
      <c r="MO87" s="53"/>
      <c r="MP87" s="53"/>
      <c r="MQ87" s="53"/>
      <c r="MR87" s="53"/>
      <c r="MS87" s="53"/>
      <c r="MT87" s="53"/>
      <c r="MU87" s="53"/>
      <c r="MV87" s="53"/>
      <c r="MW87" s="53"/>
      <c r="MX87" s="53"/>
      <c r="MY87" s="53"/>
      <c r="MZ87" s="53"/>
      <c r="NA87" s="53"/>
      <c r="NB87" s="53"/>
      <c r="NC87" s="53"/>
      <c r="ND87" s="53"/>
      <c r="NE87" s="53"/>
      <c r="NF87" s="53"/>
      <c r="NG87" s="53"/>
      <c r="NH87" s="53"/>
      <c r="NI87" s="53"/>
      <c r="NJ87" s="53"/>
      <c r="NK87" s="53"/>
      <c r="NL87" s="53"/>
      <c r="NM87" s="53"/>
      <c r="NN87" s="53"/>
      <c r="NO87" s="53"/>
      <c r="NP87" s="53"/>
      <c r="NQ87" s="53"/>
      <c r="NR87" s="53"/>
      <c r="NS87" s="53"/>
      <c r="NT87" s="53"/>
      <c r="NU87" s="53"/>
      <c r="NV87" s="53"/>
      <c r="NW87" s="53"/>
      <c r="NX87" s="53"/>
      <c r="NY87" s="53"/>
      <c r="NZ87" s="53"/>
      <c r="OA87" s="53"/>
      <c r="OB87" s="53"/>
      <c r="OC87" s="53"/>
      <c r="OD87" s="53"/>
      <c r="OE87" s="53"/>
      <c r="OF87" s="53"/>
      <c r="OG87" s="53"/>
      <c r="OH87" s="53"/>
      <c r="OI87" s="53"/>
      <c r="OJ87" s="53"/>
      <c r="OK87" s="53"/>
      <c r="OL87" s="53"/>
      <c r="OM87" s="53"/>
      <c r="ON87" s="53"/>
      <c r="OO87" s="53"/>
      <c r="OP87" s="53"/>
      <c r="OQ87" s="53"/>
      <c r="OR87" s="53"/>
      <c r="OS87" s="53"/>
      <c r="OT87" s="53"/>
      <c r="OU87" s="53"/>
      <c r="OV87" s="53"/>
      <c r="OW87" s="53"/>
      <c r="OX87" s="53"/>
      <c r="OY87" s="53"/>
      <c r="OZ87" s="53"/>
      <c r="PA87" s="53"/>
      <c r="PB87" s="53"/>
      <c r="PC87" s="53"/>
      <c r="PD87" s="53"/>
      <c r="PE87" s="53"/>
      <c r="PF87" s="53"/>
      <c r="PG87" s="53"/>
      <c r="PH87" s="53"/>
      <c r="PI87" s="53"/>
      <c r="PJ87" s="53"/>
      <c r="PK87" s="53"/>
      <c r="PL87" s="53"/>
      <c r="PM87" s="53"/>
      <c r="PN87" s="53"/>
      <c r="PO87" s="53"/>
      <c r="PP87" s="53"/>
      <c r="PQ87" s="53"/>
      <c r="PR87" s="53"/>
      <c r="PS87" s="53"/>
      <c r="PT87" s="53"/>
      <c r="PU87" s="53"/>
      <c r="PV87" s="53"/>
      <c r="PW87" s="53"/>
      <c r="PX87" s="53"/>
      <c r="PY87" s="53"/>
      <c r="PZ87" s="53"/>
      <c r="QA87" s="53"/>
      <c r="QB87" s="53"/>
      <c r="QC87" s="53"/>
      <c r="QD87" s="53"/>
      <c r="QE87" s="53"/>
      <c r="QF87" s="53"/>
      <c r="QG87" s="53"/>
      <c r="QH87" s="53"/>
      <c r="QI87" s="53"/>
      <c r="QJ87" s="53"/>
      <c r="QK87" s="53"/>
      <c r="QL87" s="53"/>
      <c r="QM87" s="53"/>
      <c r="QN87" s="53"/>
      <c r="QO87" s="53"/>
      <c r="QP87" s="53"/>
      <c r="QQ87" s="53"/>
      <c r="QR87" s="53"/>
      <c r="QS87" s="53"/>
      <c r="QT87" s="53"/>
      <c r="QU87" s="53"/>
      <c r="QV87" s="53"/>
      <c r="QW87" s="53"/>
      <c r="QX87" s="53"/>
      <c r="QY87" s="53"/>
      <c r="QZ87" s="53"/>
      <c r="RA87" s="53"/>
      <c r="RB87" s="53"/>
      <c r="RC87" s="53"/>
      <c r="RD87" s="53"/>
      <c r="RE87" s="53"/>
      <c r="RF87" s="53"/>
      <c r="RG87" s="53"/>
      <c r="RH87" s="53"/>
      <c r="RI87" s="53"/>
      <c r="RJ87" s="53"/>
      <c r="RK87" s="53"/>
      <c r="RL87" s="53"/>
      <c r="RM87" s="53"/>
      <c r="RN87" s="53"/>
      <c r="RO87" s="53"/>
      <c r="RP87" s="53"/>
      <c r="RQ87" s="53"/>
      <c r="RR87" s="53"/>
      <c r="RS87" s="53"/>
      <c r="RT87" s="53"/>
      <c r="RU87" s="53"/>
      <c r="RV87" s="53"/>
      <c r="RW87" s="53"/>
      <c r="RX87" s="53"/>
      <c r="RY87" s="53"/>
      <c r="RZ87" s="53"/>
      <c r="SA87" s="53"/>
      <c r="SB87" s="53"/>
      <c r="SC87" s="53"/>
      <c r="SD87" s="53"/>
      <c r="SE87" s="53"/>
      <c r="SF87" s="53"/>
      <c r="SG87" s="53"/>
      <c r="SH87" s="53"/>
      <c r="SI87" s="53"/>
      <c r="SJ87" s="53"/>
      <c r="SK87" s="53"/>
      <c r="SL87" s="53"/>
      <c r="SM87" s="53"/>
      <c r="SN87" s="53"/>
      <c r="SO87" s="53"/>
      <c r="SP87" s="53"/>
      <c r="SQ87" s="53"/>
      <c r="SR87" s="53"/>
      <c r="SS87" s="53"/>
      <c r="ST87" s="53"/>
      <c r="SU87" s="53"/>
      <c r="SV87" s="53"/>
      <c r="SW87" s="53"/>
      <c r="SX87" s="53"/>
      <c r="SY87" s="53"/>
      <c r="SZ87" s="53"/>
      <c r="TA87" s="53"/>
      <c r="TB87" s="53"/>
      <c r="TC87" s="53"/>
      <c r="TD87" s="53"/>
      <c r="TE87" s="53"/>
      <c r="TF87" s="53"/>
      <c r="TG87" s="53"/>
      <c r="TH87" s="53"/>
      <c r="TI87" s="53"/>
      <c r="TJ87" s="53"/>
      <c r="TK87" s="53"/>
      <c r="TL87" s="53"/>
      <c r="TM87" s="53"/>
      <c r="TN87" s="53"/>
      <c r="TO87" s="53"/>
      <c r="TP87" s="53"/>
      <c r="TQ87" s="53"/>
      <c r="TR87" s="53"/>
      <c r="TS87" s="53"/>
      <c r="TT87" s="53"/>
      <c r="TU87" s="53"/>
      <c r="TV87" s="53"/>
      <c r="TW87" s="53"/>
      <c r="TX87" s="53"/>
      <c r="TY87" s="53"/>
      <c r="TZ87" s="53"/>
      <c r="UA87" s="53"/>
      <c r="UB87" s="53"/>
      <c r="UC87" s="53"/>
      <c r="UD87" s="53"/>
      <c r="UE87" s="53"/>
      <c r="UF87" s="53"/>
      <c r="UG87" s="53"/>
      <c r="UH87" s="53"/>
      <c r="UI87" s="53"/>
      <c r="UJ87" s="53"/>
      <c r="UK87" s="53"/>
      <c r="UL87" s="53"/>
      <c r="UM87" s="53"/>
      <c r="UN87" s="53"/>
      <c r="UO87" s="53"/>
      <c r="UP87" s="53"/>
      <c r="UQ87" s="53"/>
      <c r="UR87" s="53"/>
      <c r="US87" s="53"/>
      <c r="UT87" s="53"/>
      <c r="UU87" s="53"/>
      <c r="UV87" s="53"/>
      <c r="UW87" s="53"/>
      <c r="UX87" s="53"/>
      <c r="UY87" s="53"/>
      <c r="UZ87" s="53"/>
      <c r="VA87" s="53"/>
      <c r="VB87" s="53"/>
      <c r="VC87" s="53"/>
      <c r="VD87" s="53"/>
      <c r="VE87" s="53"/>
      <c r="VF87" s="53"/>
      <c r="VG87" s="53"/>
      <c r="VH87" s="53"/>
      <c r="VI87" s="53"/>
      <c r="VJ87" s="53"/>
      <c r="VK87" s="53"/>
      <c r="VL87" s="53"/>
    </row>
    <row r="88" spans="1:584" s="47" customFormat="1" ht="16.5" customHeight="1" x14ac:dyDescent="0.25">
      <c r="A88" s="45"/>
      <c r="B88" s="91"/>
      <c r="C88" s="91"/>
      <c r="D88" s="46" t="s">
        <v>342</v>
      </c>
      <c r="E88" s="115">
        <v>23624600</v>
      </c>
      <c r="F88" s="117"/>
      <c r="G88" s="117"/>
      <c r="H88" s="115">
        <v>23624600</v>
      </c>
      <c r="I88" s="117"/>
      <c r="J88" s="117"/>
      <c r="K88" s="164">
        <f t="shared" si="17"/>
        <v>100</v>
      </c>
      <c r="L88" s="115">
        <f t="shared" si="16"/>
        <v>0</v>
      </c>
      <c r="M88" s="115"/>
      <c r="N88" s="115"/>
      <c r="O88" s="115"/>
      <c r="P88" s="115"/>
      <c r="Q88" s="115"/>
      <c r="R88" s="115">
        <f t="shared" si="19"/>
        <v>0</v>
      </c>
      <c r="S88" s="115"/>
      <c r="T88" s="115"/>
      <c r="U88" s="115"/>
      <c r="V88" s="115"/>
      <c r="W88" s="115"/>
      <c r="X88" s="166"/>
      <c r="Y88" s="115">
        <f t="shared" si="27"/>
        <v>23624600</v>
      </c>
      <c r="Z88" s="187"/>
      <c r="AA88" s="53"/>
      <c r="AB88" s="53"/>
      <c r="AC88" s="53"/>
      <c r="AD88" s="53"/>
      <c r="AE88" s="79"/>
      <c r="AF88" s="79"/>
      <c r="AG88" s="79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53"/>
      <c r="IZ88" s="53"/>
      <c r="JA88" s="53"/>
      <c r="JB88" s="53"/>
      <c r="JC88" s="53"/>
      <c r="JD88" s="53"/>
      <c r="JE88" s="53"/>
      <c r="JF88" s="53"/>
      <c r="JG88" s="53"/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/>
      <c r="KC88" s="53"/>
      <c r="KD88" s="53"/>
      <c r="KE88" s="53"/>
      <c r="KF88" s="53"/>
      <c r="KG88" s="53"/>
      <c r="KH88" s="53"/>
      <c r="KI88" s="53"/>
      <c r="KJ88" s="53"/>
      <c r="KK88" s="53"/>
      <c r="KL88" s="53"/>
      <c r="KM88" s="53"/>
      <c r="KN88" s="53"/>
      <c r="KO88" s="53"/>
      <c r="KP88" s="53"/>
      <c r="KQ88" s="53"/>
      <c r="KR88" s="53"/>
      <c r="KS88" s="53"/>
      <c r="KT88" s="53"/>
      <c r="KU88" s="53"/>
      <c r="KV88" s="53"/>
      <c r="KW88" s="53"/>
      <c r="KX88" s="53"/>
      <c r="KY88" s="53"/>
      <c r="KZ88" s="53"/>
      <c r="LA88" s="53"/>
      <c r="LB88" s="53"/>
      <c r="LC88" s="53"/>
      <c r="LD88" s="53"/>
      <c r="LE88" s="53"/>
      <c r="LF88" s="53"/>
      <c r="LG88" s="53"/>
      <c r="LH88" s="53"/>
      <c r="LI88" s="53"/>
      <c r="LJ88" s="53"/>
      <c r="LK88" s="53"/>
      <c r="LL88" s="53"/>
      <c r="LM88" s="53"/>
      <c r="LN88" s="53"/>
      <c r="LO88" s="53"/>
      <c r="LP88" s="53"/>
      <c r="LQ88" s="53"/>
      <c r="LR88" s="53"/>
      <c r="LS88" s="53"/>
      <c r="LT88" s="53"/>
      <c r="LU88" s="53"/>
      <c r="LV88" s="53"/>
      <c r="LW88" s="53"/>
      <c r="LX88" s="53"/>
      <c r="LY88" s="53"/>
      <c r="LZ88" s="53"/>
      <c r="MA88" s="53"/>
      <c r="MB88" s="53"/>
      <c r="MC88" s="53"/>
      <c r="MD88" s="53"/>
      <c r="ME88" s="53"/>
      <c r="MF88" s="53"/>
      <c r="MG88" s="53"/>
      <c r="MH88" s="53"/>
      <c r="MI88" s="53"/>
      <c r="MJ88" s="53"/>
      <c r="MK88" s="53"/>
      <c r="ML88" s="53"/>
      <c r="MM88" s="53"/>
      <c r="MN88" s="53"/>
      <c r="MO88" s="53"/>
      <c r="MP88" s="53"/>
      <c r="MQ88" s="53"/>
      <c r="MR88" s="53"/>
      <c r="MS88" s="53"/>
      <c r="MT88" s="53"/>
      <c r="MU88" s="53"/>
      <c r="MV88" s="53"/>
      <c r="MW88" s="53"/>
      <c r="MX88" s="53"/>
      <c r="MY88" s="53"/>
      <c r="MZ88" s="53"/>
      <c r="NA88" s="53"/>
      <c r="NB88" s="53"/>
      <c r="NC88" s="53"/>
      <c r="ND88" s="53"/>
      <c r="NE88" s="53"/>
      <c r="NF88" s="53"/>
      <c r="NG88" s="53"/>
      <c r="NH88" s="53"/>
      <c r="NI88" s="53"/>
      <c r="NJ88" s="53"/>
      <c r="NK88" s="53"/>
      <c r="NL88" s="53"/>
      <c r="NM88" s="53"/>
      <c r="NN88" s="53"/>
      <c r="NO88" s="53"/>
      <c r="NP88" s="53"/>
      <c r="NQ88" s="53"/>
      <c r="NR88" s="53"/>
      <c r="NS88" s="53"/>
      <c r="NT88" s="53"/>
      <c r="NU88" s="53"/>
      <c r="NV88" s="53"/>
      <c r="NW88" s="53"/>
      <c r="NX88" s="53"/>
      <c r="NY88" s="53"/>
      <c r="NZ88" s="53"/>
      <c r="OA88" s="53"/>
      <c r="OB88" s="53"/>
      <c r="OC88" s="53"/>
      <c r="OD88" s="53"/>
      <c r="OE88" s="53"/>
      <c r="OF88" s="53"/>
      <c r="OG88" s="53"/>
      <c r="OH88" s="53"/>
      <c r="OI88" s="53"/>
      <c r="OJ88" s="53"/>
      <c r="OK88" s="53"/>
      <c r="OL88" s="53"/>
      <c r="OM88" s="53"/>
      <c r="ON88" s="53"/>
      <c r="OO88" s="53"/>
      <c r="OP88" s="53"/>
      <c r="OQ88" s="53"/>
      <c r="OR88" s="53"/>
      <c r="OS88" s="53"/>
      <c r="OT88" s="53"/>
      <c r="OU88" s="53"/>
      <c r="OV88" s="53"/>
      <c r="OW88" s="53"/>
      <c r="OX88" s="53"/>
      <c r="OY88" s="53"/>
      <c r="OZ88" s="53"/>
      <c r="PA88" s="53"/>
      <c r="PB88" s="53"/>
      <c r="PC88" s="53"/>
      <c r="PD88" s="53"/>
      <c r="PE88" s="53"/>
      <c r="PF88" s="53"/>
      <c r="PG88" s="53"/>
      <c r="PH88" s="53"/>
      <c r="PI88" s="53"/>
      <c r="PJ88" s="53"/>
      <c r="PK88" s="53"/>
      <c r="PL88" s="53"/>
      <c r="PM88" s="53"/>
      <c r="PN88" s="53"/>
      <c r="PO88" s="53"/>
      <c r="PP88" s="53"/>
      <c r="PQ88" s="53"/>
      <c r="PR88" s="53"/>
      <c r="PS88" s="53"/>
      <c r="PT88" s="53"/>
      <c r="PU88" s="53"/>
      <c r="PV88" s="53"/>
      <c r="PW88" s="53"/>
      <c r="PX88" s="53"/>
      <c r="PY88" s="53"/>
      <c r="PZ88" s="53"/>
      <c r="QA88" s="53"/>
      <c r="QB88" s="53"/>
      <c r="QC88" s="53"/>
      <c r="QD88" s="53"/>
      <c r="QE88" s="53"/>
      <c r="QF88" s="53"/>
      <c r="QG88" s="53"/>
      <c r="QH88" s="53"/>
      <c r="QI88" s="53"/>
      <c r="QJ88" s="53"/>
      <c r="QK88" s="53"/>
      <c r="QL88" s="53"/>
      <c r="QM88" s="53"/>
      <c r="QN88" s="53"/>
      <c r="QO88" s="53"/>
      <c r="QP88" s="53"/>
      <c r="QQ88" s="53"/>
      <c r="QR88" s="53"/>
      <c r="QS88" s="53"/>
      <c r="QT88" s="53"/>
      <c r="QU88" s="53"/>
      <c r="QV88" s="53"/>
      <c r="QW88" s="53"/>
      <c r="QX88" s="53"/>
      <c r="QY88" s="53"/>
      <c r="QZ88" s="53"/>
      <c r="RA88" s="53"/>
      <c r="RB88" s="53"/>
      <c r="RC88" s="53"/>
      <c r="RD88" s="53"/>
      <c r="RE88" s="53"/>
      <c r="RF88" s="53"/>
      <c r="RG88" s="53"/>
      <c r="RH88" s="53"/>
      <c r="RI88" s="53"/>
      <c r="RJ88" s="53"/>
      <c r="RK88" s="53"/>
      <c r="RL88" s="53"/>
      <c r="RM88" s="53"/>
      <c r="RN88" s="53"/>
      <c r="RO88" s="53"/>
      <c r="RP88" s="53"/>
      <c r="RQ88" s="53"/>
      <c r="RR88" s="53"/>
      <c r="RS88" s="53"/>
      <c r="RT88" s="53"/>
      <c r="RU88" s="53"/>
      <c r="RV88" s="53"/>
      <c r="RW88" s="53"/>
      <c r="RX88" s="53"/>
      <c r="RY88" s="53"/>
      <c r="RZ88" s="53"/>
      <c r="SA88" s="53"/>
      <c r="SB88" s="53"/>
      <c r="SC88" s="53"/>
      <c r="SD88" s="53"/>
      <c r="SE88" s="53"/>
      <c r="SF88" s="53"/>
      <c r="SG88" s="53"/>
      <c r="SH88" s="53"/>
      <c r="SI88" s="53"/>
      <c r="SJ88" s="53"/>
      <c r="SK88" s="53"/>
      <c r="SL88" s="53"/>
      <c r="SM88" s="53"/>
      <c r="SN88" s="53"/>
      <c r="SO88" s="53"/>
      <c r="SP88" s="53"/>
      <c r="SQ88" s="53"/>
      <c r="SR88" s="53"/>
      <c r="SS88" s="53"/>
      <c r="ST88" s="53"/>
      <c r="SU88" s="53"/>
      <c r="SV88" s="53"/>
      <c r="SW88" s="53"/>
      <c r="SX88" s="53"/>
      <c r="SY88" s="53"/>
      <c r="SZ88" s="53"/>
      <c r="TA88" s="53"/>
      <c r="TB88" s="53"/>
      <c r="TC88" s="53"/>
      <c r="TD88" s="53"/>
      <c r="TE88" s="53"/>
      <c r="TF88" s="53"/>
      <c r="TG88" s="53"/>
      <c r="TH88" s="53"/>
      <c r="TI88" s="53"/>
      <c r="TJ88" s="53"/>
      <c r="TK88" s="53"/>
      <c r="TL88" s="53"/>
      <c r="TM88" s="53"/>
      <c r="TN88" s="53"/>
      <c r="TO88" s="53"/>
      <c r="TP88" s="53"/>
      <c r="TQ88" s="53"/>
      <c r="TR88" s="53"/>
      <c r="TS88" s="53"/>
      <c r="TT88" s="53"/>
      <c r="TU88" s="53"/>
      <c r="TV88" s="53"/>
      <c r="TW88" s="53"/>
      <c r="TX88" s="53"/>
      <c r="TY88" s="53"/>
      <c r="TZ88" s="53"/>
      <c r="UA88" s="53"/>
      <c r="UB88" s="53"/>
      <c r="UC88" s="53"/>
      <c r="UD88" s="53"/>
      <c r="UE88" s="53"/>
      <c r="UF88" s="53"/>
      <c r="UG88" s="53"/>
      <c r="UH88" s="53"/>
      <c r="UI88" s="53"/>
      <c r="UJ88" s="53"/>
      <c r="UK88" s="53"/>
      <c r="UL88" s="53"/>
      <c r="UM88" s="53"/>
      <c r="UN88" s="53"/>
      <c r="UO88" s="53"/>
      <c r="UP88" s="53"/>
      <c r="UQ88" s="53"/>
      <c r="UR88" s="53"/>
      <c r="US88" s="53"/>
      <c r="UT88" s="53"/>
      <c r="UU88" s="53"/>
      <c r="UV88" s="53"/>
      <c r="UW88" s="53"/>
      <c r="UX88" s="53"/>
      <c r="UY88" s="53"/>
      <c r="UZ88" s="53"/>
      <c r="VA88" s="53"/>
      <c r="VB88" s="53"/>
      <c r="VC88" s="53"/>
      <c r="VD88" s="53"/>
      <c r="VE88" s="53"/>
      <c r="VF88" s="53"/>
      <c r="VG88" s="53"/>
      <c r="VH88" s="53"/>
      <c r="VI88" s="53"/>
      <c r="VJ88" s="53"/>
      <c r="VK88" s="53"/>
      <c r="VL88" s="53"/>
    </row>
    <row r="89" spans="1:584" s="47" customFormat="1" ht="33.75" hidden="1" customHeight="1" x14ac:dyDescent="0.25">
      <c r="A89" s="49" t="s">
        <v>238</v>
      </c>
      <c r="B89" s="93" t="str">
        <f>'дод 3'!A41</f>
        <v>2080</v>
      </c>
      <c r="C89" s="93" t="str">
        <f>'дод 3'!B41</f>
        <v>0721</v>
      </c>
      <c r="D89" s="46" t="str">
        <f>'дод 3'!C41</f>
        <v>Амбулаторно-поліклінічна допомога населенню, крім первинної медичної допомоги</v>
      </c>
      <c r="E89" s="115">
        <v>0</v>
      </c>
      <c r="F89" s="117"/>
      <c r="G89" s="117"/>
      <c r="H89" s="115"/>
      <c r="I89" s="117"/>
      <c r="J89" s="117"/>
      <c r="K89" s="164" t="e">
        <f t="shared" si="17"/>
        <v>#DIV/0!</v>
      </c>
      <c r="L89" s="115">
        <f t="shared" si="16"/>
        <v>0</v>
      </c>
      <c r="M89" s="115"/>
      <c r="N89" s="115"/>
      <c r="O89" s="115"/>
      <c r="P89" s="115"/>
      <c r="Q89" s="115"/>
      <c r="R89" s="115">
        <f t="shared" si="19"/>
        <v>0</v>
      </c>
      <c r="S89" s="115"/>
      <c r="T89" s="115"/>
      <c r="U89" s="115"/>
      <c r="V89" s="115"/>
      <c r="W89" s="115"/>
      <c r="X89" s="166" t="e">
        <f t="shared" si="18"/>
        <v>#DIV/0!</v>
      </c>
      <c r="Y89" s="115">
        <f t="shared" si="27"/>
        <v>0</v>
      </c>
      <c r="Z89" s="187"/>
      <c r="AA89" s="53"/>
      <c r="AB89" s="53"/>
      <c r="AC89" s="53"/>
      <c r="AD89" s="53"/>
      <c r="AE89" s="79"/>
      <c r="AF89" s="79"/>
      <c r="AG89" s="79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  <c r="IW89" s="53"/>
      <c r="IX89" s="53"/>
      <c r="IY89" s="53"/>
      <c r="IZ89" s="53"/>
      <c r="JA89" s="53"/>
      <c r="JB89" s="53"/>
      <c r="JC89" s="53"/>
      <c r="JD89" s="53"/>
      <c r="JE89" s="53"/>
      <c r="JF89" s="53"/>
      <c r="JG89" s="53"/>
      <c r="JH89" s="53"/>
      <c r="JI89" s="53"/>
      <c r="JJ89" s="53"/>
      <c r="JK89" s="53"/>
      <c r="JL89" s="53"/>
      <c r="JM89" s="53"/>
      <c r="JN89" s="53"/>
      <c r="JO89" s="53"/>
      <c r="JP89" s="53"/>
      <c r="JQ89" s="53"/>
      <c r="JR89" s="53"/>
      <c r="JS89" s="53"/>
      <c r="JT89" s="53"/>
      <c r="JU89" s="53"/>
      <c r="JV89" s="53"/>
      <c r="JW89" s="53"/>
      <c r="JX89" s="53"/>
      <c r="JY89" s="53"/>
      <c r="JZ89" s="53"/>
      <c r="KA89" s="53"/>
      <c r="KB89" s="53"/>
      <c r="KC89" s="53"/>
      <c r="KD89" s="53"/>
      <c r="KE89" s="53"/>
      <c r="KF89" s="53"/>
      <c r="KG89" s="53"/>
      <c r="KH89" s="53"/>
      <c r="KI89" s="53"/>
      <c r="KJ89" s="53"/>
      <c r="KK89" s="53"/>
      <c r="KL89" s="53"/>
      <c r="KM89" s="53"/>
      <c r="KN89" s="53"/>
      <c r="KO89" s="53"/>
      <c r="KP89" s="53"/>
      <c r="KQ89" s="53"/>
      <c r="KR89" s="53"/>
      <c r="KS89" s="53"/>
      <c r="KT89" s="53"/>
      <c r="KU89" s="53"/>
      <c r="KV89" s="53"/>
      <c r="KW89" s="53"/>
      <c r="KX89" s="53"/>
      <c r="KY89" s="53"/>
      <c r="KZ89" s="53"/>
      <c r="LA89" s="53"/>
      <c r="LB89" s="53"/>
      <c r="LC89" s="53"/>
      <c r="LD89" s="53"/>
      <c r="LE89" s="53"/>
      <c r="LF89" s="53"/>
      <c r="LG89" s="53"/>
      <c r="LH89" s="53"/>
      <c r="LI89" s="53"/>
      <c r="LJ89" s="53"/>
      <c r="LK89" s="53"/>
      <c r="LL89" s="53"/>
      <c r="LM89" s="53"/>
      <c r="LN89" s="53"/>
      <c r="LO89" s="53"/>
      <c r="LP89" s="53"/>
      <c r="LQ89" s="53"/>
      <c r="LR89" s="53"/>
      <c r="LS89" s="53"/>
      <c r="LT89" s="53"/>
      <c r="LU89" s="53"/>
      <c r="LV89" s="53"/>
      <c r="LW89" s="53"/>
      <c r="LX89" s="53"/>
      <c r="LY89" s="53"/>
      <c r="LZ89" s="53"/>
      <c r="MA89" s="53"/>
      <c r="MB89" s="53"/>
      <c r="MC89" s="53"/>
      <c r="MD89" s="53"/>
      <c r="ME89" s="53"/>
      <c r="MF89" s="53"/>
      <c r="MG89" s="53"/>
      <c r="MH89" s="53"/>
      <c r="MI89" s="53"/>
      <c r="MJ89" s="53"/>
      <c r="MK89" s="53"/>
      <c r="ML89" s="53"/>
      <c r="MM89" s="53"/>
      <c r="MN89" s="53"/>
      <c r="MO89" s="53"/>
      <c r="MP89" s="53"/>
      <c r="MQ89" s="53"/>
      <c r="MR89" s="53"/>
      <c r="MS89" s="53"/>
      <c r="MT89" s="53"/>
      <c r="MU89" s="53"/>
      <c r="MV89" s="53"/>
      <c r="MW89" s="53"/>
      <c r="MX89" s="53"/>
      <c r="MY89" s="53"/>
      <c r="MZ89" s="53"/>
      <c r="NA89" s="53"/>
      <c r="NB89" s="53"/>
      <c r="NC89" s="53"/>
      <c r="ND89" s="53"/>
      <c r="NE89" s="53"/>
      <c r="NF89" s="53"/>
      <c r="NG89" s="53"/>
      <c r="NH89" s="53"/>
      <c r="NI89" s="53"/>
      <c r="NJ89" s="53"/>
      <c r="NK89" s="53"/>
      <c r="NL89" s="53"/>
      <c r="NM89" s="53"/>
      <c r="NN89" s="53"/>
      <c r="NO89" s="53"/>
      <c r="NP89" s="53"/>
      <c r="NQ89" s="53"/>
      <c r="NR89" s="53"/>
      <c r="NS89" s="53"/>
      <c r="NT89" s="53"/>
      <c r="NU89" s="53"/>
      <c r="NV89" s="53"/>
      <c r="NW89" s="53"/>
      <c r="NX89" s="53"/>
      <c r="NY89" s="53"/>
      <c r="NZ89" s="53"/>
      <c r="OA89" s="53"/>
      <c r="OB89" s="53"/>
      <c r="OC89" s="53"/>
      <c r="OD89" s="53"/>
      <c r="OE89" s="53"/>
      <c r="OF89" s="53"/>
      <c r="OG89" s="53"/>
      <c r="OH89" s="53"/>
      <c r="OI89" s="53"/>
      <c r="OJ89" s="53"/>
      <c r="OK89" s="53"/>
      <c r="OL89" s="53"/>
      <c r="OM89" s="53"/>
      <c r="ON89" s="53"/>
      <c r="OO89" s="53"/>
      <c r="OP89" s="53"/>
      <c r="OQ89" s="53"/>
      <c r="OR89" s="53"/>
      <c r="OS89" s="53"/>
      <c r="OT89" s="53"/>
      <c r="OU89" s="53"/>
      <c r="OV89" s="53"/>
      <c r="OW89" s="53"/>
      <c r="OX89" s="53"/>
      <c r="OY89" s="53"/>
      <c r="OZ89" s="53"/>
      <c r="PA89" s="53"/>
      <c r="PB89" s="53"/>
      <c r="PC89" s="53"/>
      <c r="PD89" s="53"/>
      <c r="PE89" s="53"/>
      <c r="PF89" s="53"/>
      <c r="PG89" s="53"/>
      <c r="PH89" s="53"/>
      <c r="PI89" s="53"/>
      <c r="PJ89" s="53"/>
      <c r="PK89" s="53"/>
      <c r="PL89" s="53"/>
      <c r="PM89" s="53"/>
      <c r="PN89" s="53"/>
      <c r="PO89" s="53"/>
      <c r="PP89" s="53"/>
      <c r="PQ89" s="53"/>
      <c r="PR89" s="53"/>
      <c r="PS89" s="53"/>
      <c r="PT89" s="53"/>
      <c r="PU89" s="53"/>
      <c r="PV89" s="53"/>
      <c r="PW89" s="53"/>
      <c r="PX89" s="53"/>
      <c r="PY89" s="53"/>
      <c r="PZ89" s="53"/>
      <c r="QA89" s="53"/>
      <c r="QB89" s="53"/>
      <c r="QC89" s="53"/>
      <c r="QD89" s="53"/>
      <c r="QE89" s="53"/>
      <c r="QF89" s="53"/>
      <c r="QG89" s="53"/>
      <c r="QH89" s="53"/>
      <c r="QI89" s="53"/>
      <c r="QJ89" s="53"/>
      <c r="QK89" s="53"/>
      <c r="QL89" s="53"/>
      <c r="QM89" s="53"/>
      <c r="QN89" s="53"/>
      <c r="QO89" s="53"/>
      <c r="QP89" s="53"/>
      <c r="QQ89" s="53"/>
      <c r="QR89" s="53"/>
      <c r="QS89" s="53"/>
      <c r="QT89" s="53"/>
      <c r="QU89" s="53"/>
      <c r="QV89" s="53"/>
      <c r="QW89" s="53"/>
      <c r="QX89" s="53"/>
      <c r="QY89" s="53"/>
      <c r="QZ89" s="53"/>
      <c r="RA89" s="53"/>
      <c r="RB89" s="53"/>
      <c r="RC89" s="53"/>
      <c r="RD89" s="53"/>
      <c r="RE89" s="53"/>
      <c r="RF89" s="53"/>
      <c r="RG89" s="53"/>
      <c r="RH89" s="53"/>
      <c r="RI89" s="53"/>
      <c r="RJ89" s="53"/>
      <c r="RK89" s="53"/>
      <c r="RL89" s="53"/>
      <c r="RM89" s="53"/>
      <c r="RN89" s="53"/>
      <c r="RO89" s="53"/>
      <c r="RP89" s="53"/>
      <c r="RQ89" s="53"/>
      <c r="RR89" s="53"/>
      <c r="RS89" s="53"/>
      <c r="RT89" s="53"/>
      <c r="RU89" s="53"/>
      <c r="RV89" s="53"/>
      <c r="RW89" s="53"/>
      <c r="RX89" s="53"/>
      <c r="RY89" s="53"/>
      <c r="RZ89" s="53"/>
      <c r="SA89" s="53"/>
      <c r="SB89" s="53"/>
      <c r="SC89" s="53"/>
      <c r="SD89" s="53"/>
      <c r="SE89" s="53"/>
      <c r="SF89" s="53"/>
      <c r="SG89" s="53"/>
      <c r="SH89" s="53"/>
      <c r="SI89" s="53"/>
      <c r="SJ89" s="53"/>
      <c r="SK89" s="53"/>
      <c r="SL89" s="53"/>
      <c r="SM89" s="53"/>
      <c r="SN89" s="53"/>
      <c r="SO89" s="53"/>
      <c r="SP89" s="53"/>
      <c r="SQ89" s="53"/>
      <c r="SR89" s="53"/>
      <c r="SS89" s="53"/>
      <c r="ST89" s="53"/>
      <c r="SU89" s="53"/>
      <c r="SV89" s="53"/>
      <c r="SW89" s="53"/>
      <c r="SX89" s="53"/>
      <c r="SY89" s="53"/>
      <c r="SZ89" s="53"/>
      <c r="TA89" s="53"/>
      <c r="TB89" s="53"/>
      <c r="TC89" s="53"/>
      <c r="TD89" s="53"/>
      <c r="TE89" s="53"/>
      <c r="TF89" s="53"/>
      <c r="TG89" s="53"/>
      <c r="TH89" s="53"/>
      <c r="TI89" s="53"/>
      <c r="TJ89" s="53"/>
      <c r="TK89" s="53"/>
      <c r="TL89" s="53"/>
      <c r="TM89" s="53"/>
      <c r="TN89" s="53"/>
      <c r="TO89" s="53"/>
      <c r="TP89" s="53"/>
      <c r="TQ89" s="53"/>
      <c r="TR89" s="53"/>
      <c r="TS89" s="53"/>
      <c r="TT89" s="53"/>
      <c r="TU89" s="53"/>
      <c r="TV89" s="53"/>
      <c r="TW89" s="53"/>
      <c r="TX89" s="53"/>
      <c r="TY89" s="53"/>
      <c r="TZ89" s="53"/>
      <c r="UA89" s="53"/>
      <c r="UB89" s="53"/>
      <c r="UC89" s="53"/>
      <c r="UD89" s="53"/>
      <c r="UE89" s="53"/>
      <c r="UF89" s="53"/>
      <c r="UG89" s="53"/>
      <c r="UH89" s="53"/>
      <c r="UI89" s="53"/>
      <c r="UJ89" s="53"/>
      <c r="UK89" s="53"/>
      <c r="UL89" s="53"/>
      <c r="UM89" s="53"/>
      <c r="UN89" s="53"/>
      <c r="UO89" s="53"/>
      <c r="UP89" s="53"/>
      <c r="UQ89" s="53"/>
      <c r="UR89" s="53"/>
      <c r="US89" s="53"/>
      <c r="UT89" s="53"/>
      <c r="UU89" s="53"/>
      <c r="UV89" s="53"/>
      <c r="UW89" s="53"/>
      <c r="UX89" s="53"/>
      <c r="UY89" s="53"/>
      <c r="UZ89" s="53"/>
      <c r="VA89" s="53"/>
      <c r="VB89" s="53"/>
      <c r="VC89" s="53"/>
      <c r="VD89" s="53"/>
      <c r="VE89" s="53"/>
      <c r="VF89" s="53"/>
      <c r="VG89" s="53"/>
      <c r="VH89" s="53"/>
      <c r="VI89" s="53"/>
      <c r="VJ89" s="53"/>
      <c r="VK89" s="53"/>
      <c r="VL89" s="53"/>
    </row>
    <row r="90" spans="1:584" s="47" customFormat="1" ht="22.5" hidden="1" customHeight="1" x14ac:dyDescent="0.25">
      <c r="A90" s="49"/>
      <c r="B90" s="93"/>
      <c r="C90" s="93"/>
      <c r="D90" s="46" t="s">
        <v>342</v>
      </c>
      <c r="E90" s="115">
        <v>0</v>
      </c>
      <c r="F90" s="117"/>
      <c r="G90" s="117"/>
      <c r="H90" s="115"/>
      <c r="I90" s="117"/>
      <c r="J90" s="117"/>
      <c r="K90" s="164" t="e">
        <f t="shared" si="17"/>
        <v>#DIV/0!</v>
      </c>
      <c r="L90" s="115">
        <f t="shared" si="16"/>
        <v>0</v>
      </c>
      <c r="M90" s="115"/>
      <c r="N90" s="115"/>
      <c r="O90" s="115"/>
      <c r="P90" s="115"/>
      <c r="Q90" s="115"/>
      <c r="R90" s="115">
        <f t="shared" si="19"/>
        <v>0</v>
      </c>
      <c r="S90" s="115"/>
      <c r="T90" s="115"/>
      <c r="U90" s="115"/>
      <c r="V90" s="115"/>
      <c r="W90" s="115"/>
      <c r="X90" s="166" t="e">
        <f t="shared" si="18"/>
        <v>#DIV/0!</v>
      </c>
      <c r="Y90" s="115">
        <f t="shared" si="27"/>
        <v>0</v>
      </c>
      <c r="Z90" s="187"/>
      <c r="AA90" s="53"/>
      <c r="AB90" s="53"/>
      <c r="AC90" s="53"/>
      <c r="AD90" s="53"/>
      <c r="AE90" s="79"/>
      <c r="AF90" s="79"/>
      <c r="AG90" s="79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53"/>
      <c r="IZ90" s="53"/>
      <c r="JA90" s="53"/>
      <c r="JB90" s="53"/>
      <c r="JC90" s="53"/>
      <c r="JD90" s="53"/>
      <c r="JE90" s="53"/>
      <c r="JF90" s="53"/>
      <c r="JG90" s="53"/>
      <c r="JH90" s="53"/>
      <c r="JI90" s="53"/>
      <c r="JJ90" s="53"/>
      <c r="JK90" s="53"/>
      <c r="JL90" s="53"/>
      <c r="JM90" s="53"/>
      <c r="JN90" s="53"/>
      <c r="JO90" s="53"/>
      <c r="JP90" s="53"/>
      <c r="JQ90" s="53"/>
      <c r="JR90" s="53"/>
      <c r="JS90" s="53"/>
      <c r="JT90" s="53"/>
      <c r="JU90" s="53"/>
      <c r="JV90" s="53"/>
      <c r="JW90" s="53"/>
      <c r="JX90" s="53"/>
      <c r="JY90" s="53"/>
      <c r="JZ90" s="53"/>
      <c r="KA90" s="53"/>
      <c r="KB90" s="53"/>
      <c r="KC90" s="53"/>
      <c r="KD90" s="53"/>
      <c r="KE90" s="53"/>
      <c r="KF90" s="53"/>
      <c r="KG90" s="53"/>
      <c r="KH90" s="53"/>
      <c r="KI90" s="53"/>
      <c r="KJ90" s="53"/>
      <c r="KK90" s="53"/>
      <c r="KL90" s="53"/>
      <c r="KM90" s="53"/>
      <c r="KN90" s="53"/>
      <c r="KO90" s="53"/>
      <c r="KP90" s="53"/>
      <c r="KQ90" s="53"/>
      <c r="KR90" s="53"/>
      <c r="KS90" s="53"/>
      <c r="KT90" s="53"/>
      <c r="KU90" s="53"/>
      <c r="KV90" s="53"/>
      <c r="KW90" s="53"/>
      <c r="KX90" s="53"/>
      <c r="KY90" s="53"/>
      <c r="KZ90" s="53"/>
      <c r="LA90" s="53"/>
      <c r="LB90" s="53"/>
      <c r="LC90" s="53"/>
      <c r="LD90" s="53"/>
      <c r="LE90" s="53"/>
      <c r="LF90" s="53"/>
      <c r="LG90" s="53"/>
      <c r="LH90" s="53"/>
      <c r="LI90" s="53"/>
      <c r="LJ90" s="53"/>
      <c r="LK90" s="53"/>
      <c r="LL90" s="53"/>
      <c r="LM90" s="53"/>
      <c r="LN90" s="53"/>
      <c r="LO90" s="53"/>
      <c r="LP90" s="53"/>
      <c r="LQ90" s="53"/>
      <c r="LR90" s="53"/>
      <c r="LS90" s="53"/>
      <c r="LT90" s="53"/>
      <c r="LU90" s="53"/>
      <c r="LV90" s="53"/>
      <c r="LW90" s="53"/>
      <c r="LX90" s="53"/>
      <c r="LY90" s="53"/>
      <c r="LZ90" s="53"/>
      <c r="MA90" s="53"/>
      <c r="MB90" s="53"/>
      <c r="MC90" s="53"/>
      <c r="MD90" s="53"/>
      <c r="ME90" s="53"/>
      <c r="MF90" s="53"/>
      <c r="MG90" s="53"/>
      <c r="MH90" s="53"/>
      <c r="MI90" s="53"/>
      <c r="MJ90" s="53"/>
      <c r="MK90" s="53"/>
      <c r="ML90" s="53"/>
      <c r="MM90" s="53"/>
      <c r="MN90" s="53"/>
      <c r="MO90" s="53"/>
      <c r="MP90" s="53"/>
      <c r="MQ90" s="53"/>
      <c r="MR90" s="53"/>
      <c r="MS90" s="53"/>
      <c r="MT90" s="53"/>
      <c r="MU90" s="53"/>
      <c r="MV90" s="53"/>
      <c r="MW90" s="53"/>
      <c r="MX90" s="53"/>
      <c r="MY90" s="53"/>
      <c r="MZ90" s="53"/>
      <c r="NA90" s="53"/>
      <c r="NB90" s="53"/>
      <c r="NC90" s="53"/>
      <c r="ND90" s="53"/>
      <c r="NE90" s="53"/>
      <c r="NF90" s="53"/>
      <c r="NG90" s="53"/>
      <c r="NH90" s="53"/>
      <c r="NI90" s="53"/>
      <c r="NJ90" s="53"/>
      <c r="NK90" s="53"/>
      <c r="NL90" s="53"/>
      <c r="NM90" s="53"/>
      <c r="NN90" s="53"/>
      <c r="NO90" s="53"/>
      <c r="NP90" s="53"/>
      <c r="NQ90" s="53"/>
      <c r="NR90" s="53"/>
      <c r="NS90" s="53"/>
      <c r="NT90" s="53"/>
      <c r="NU90" s="53"/>
      <c r="NV90" s="53"/>
      <c r="NW90" s="53"/>
      <c r="NX90" s="53"/>
      <c r="NY90" s="53"/>
      <c r="NZ90" s="53"/>
      <c r="OA90" s="53"/>
      <c r="OB90" s="53"/>
      <c r="OC90" s="53"/>
      <c r="OD90" s="53"/>
      <c r="OE90" s="53"/>
      <c r="OF90" s="53"/>
      <c r="OG90" s="53"/>
      <c r="OH90" s="53"/>
      <c r="OI90" s="53"/>
      <c r="OJ90" s="53"/>
      <c r="OK90" s="53"/>
      <c r="OL90" s="53"/>
      <c r="OM90" s="53"/>
      <c r="ON90" s="53"/>
      <c r="OO90" s="53"/>
      <c r="OP90" s="53"/>
      <c r="OQ90" s="53"/>
      <c r="OR90" s="53"/>
      <c r="OS90" s="53"/>
      <c r="OT90" s="53"/>
      <c r="OU90" s="53"/>
      <c r="OV90" s="53"/>
      <c r="OW90" s="53"/>
      <c r="OX90" s="53"/>
      <c r="OY90" s="53"/>
      <c r="OZ90" s="53"/>
      <c r="PA90" s="53"/>
      <c r="PB90" s="53"/>
      <c r="PC90" s="53"/>
      <c r="PD90" s="53"/>
      <c r="PE90" s="53"/>
      <c r="PF90" s="53"/>
      <c r="PG90" s="53"/>
      <c r="PH90" s="53"/>
      <c r="PI90" s="53"/>
      <c r="PJ90" s="53"/>
      <c r="PK90" s="53"/>
      <c r="PL90" s="53"/>
      <c r="PM90" s="53"/>
      <c r="PN90" s="53"/>
      <c r="PO90" s="53"/>
      <c r="PP90" s="53"/>
      <c r="PQ90" s="53"/>
      <c r="PR90" s="53"/>
      <c r="PS90" s="53"/>
      <c r="PT90" s="53"/>
      <c r="PU90" s="53"/>
      <c r="PV90" s="53"/>
      <c r="PW90" s="53"/>
      <c r="PX90" s="53"/>
      <c r="PY90" s="53"/>
      <c r="PZ90" s="53"/>
      <c r="QA90" s="53"/>
      <c r="QB90" s="53"/>
      <c r="QC90" s="53"/>
      <c r="QD90" s="53"/>
      <c r="QE90" s="53"/>
      <c r="QF90" s="53"/>
      <c r="QG90" s="53"/>
      <c r="QH90" s="53"/>
      <c r="QI90" s="53"/>
      <c r="QJ90" s="53"/>
      <c r="QK90" s="53"/>
      <c r="QL90" s="53"/>
      <c r="QM90" s="53"/>
      <c r="QN90" s="53"/>
      <c r="QO90" s="53"/>
      <c r="QP90" s="53"/>
      <c r="QQ90" s="53"/>
      <c r="QR90" s="53"/>
      <c r="QS90" s="53"/>
      <c r="QT90" s="53"/>
      <c r="QU90" s="53"/>
      <c r="QV90" s="53"/>
      <c r="QW90" s="53"/>
      <c r="QX90" s="53"/>
      <c r="QY90" s="53"/>
      <c r="QZ90" s="53"/>
      <c r="RA90" s="53"/>
      <c r="RB90" s="53"/>
      <c r="RC90" s="53"/>
      <c r="RD90" s="53"/>
      <c r="RE90" s="53"/>
      <c r="RF90" s="53"/>
      <c r="RG90" s="53"/>
      <c r="RH90" s="53"/>
      <c r="RI90" s="53"/>
      <c r="RJ90" s="53"/>
      <c r="RK90" s="53"/>
      <c r="RL90" s="53"/>
      <c r="RM90" s="53"/>
      <c r="RN90" s="53"/>
      <c r="RO90" s="53"/>
      <c r="RP90" s="53"/>
      <c r="RQ90" s="53"/>
      <c r="RR90" s="53"/>
      <c r="RS90" s="53"/>
      <c r="RT90" s="53"/>
      <c r="RU90" s="53"/>
      <c r="RV90" s="53"/>
      <c r="RW90" s="53"/>
      <c r="RX90" s="53"/>
      <c r="RY90" s="53"/>
      <c r="RZ90" s="53"/>
      <c r="SA90" s="53"/>
      <c r="SB90" s="53"/>
      <c r="SC90" s="53"/>
      <c r="SD90" s="53"/>
      <c r="SE90" s="53"/>
      <c r="SF90" s="53"/>
      <c r="SG90" s="53"/>
      <c r="SH90" s="53"/>
      <c r="SI90" s="53"/>
      <c r="SJ90" s="53"/>
      <c r="SK90" s="53"/>
      <c r="SL90" s="53"/>
      <c r="SM90" s="53"/>
      <c r="SN90" s="53"/>
      <c r="SO90" s="53"/>
      <c r="SP90" s="53"/>
      <c r="SQ90" s="53"/>
      <c r="SR90" s="53"/>
      <c r="SS90" s="53"/>
      <c r="ST90" s="53"/>
      <c r="SU90" s="53"/>
      <c r="SV90" s="53"/>
      <c r="SW90" s="53"/>
      <c r="SX90" s="53"/>
      <c r="SY90" s="53"/>
      <c r="SZ90" s="53"/>
      <c r="TA90" s="53"/>
      <c r="TB90" s="53"/>
      <c r="TC90" s="53"/>
      <c r="TD90" s="53"/>
      <c r="TE90" s="53"/>
      <c r="TF90" s="53"/>
      <c r="TG90" s="53"/>
      <c r="TH90" s="53"/>
      <c r="TI90" s="53"/>
      <c r="TJ90" s="53"/>
      <c r="TK90" s="53"/>
      <c r="TL90" s="53"/>
      <c r="TM90" s="53"/>
      <c r="TN90" s="53"/>
      <c r="TO90" s="53"/>
      <c r="TP90" s="53"/>
      <c r="TQ90" s="53"/>
      <c r="TR90" s="53"/>
      <c r="TS90" s="53"/>
      <c r="TT90" s="53"/>
      <c r="TU90" s="53"/>
      <c r="TV90" s="53"/>
      <c r="TW90" s="53"/>
      <c r="TX90" s="53"/>
      <c r="TY90" s="53"/>
      <c r="TZ90" s="53"/>
      <c r="UA90" s="53"/>
      <c r="UB90" s="53"/>
      <c r="UC90" s="53"/>
      <c r="UD90" s="53"/>
      <c r="UE90" s="53"/>
      <c r="UF90" s="53"/>
      <c r="UG90" s="53"/>
      <c r="UH90" s="53"/>
      <c r="UI90" s="53"/>
      <c r="UJ90" s="53"/>
      <c r="UK90" s="53"/>
      <c r="UL90" s="53"/>
      <c r="UM90" s="53"/>
      <c r="UN90" s="53"/>
      <c r="UO90" s="53"/>
      <c r="UP90" s="53"/>
      <c r="UQ90" s="53"/>
      <c r="UR90" s="53"/>
      <c r="US90" s="53"/>
      <c r="UT90" s="53"/>
      <c r="UU90" s="53"/>
      <c r="UV90" s="53"/>
      <c r="UW90" s="53"/>
      <c r="UX90" s="53"/>
      <c r="UY90" s="53"/>
      <c r="UZ90" s="53"/>
      <c r="VA90" s="53"/>
      <c r="VB90" s="53"/>
      <c r="VC90" s="53"/>
      <c r="VD90" s="53"/>
      <c r="VE90" s="53"/>
      <c r="VF90" s="53"/>
      <c r="VG90" s="53"/>
      <c r="VH90" s="53"/>
      <c r="VI90" s="53"/>
      <c r="VJ90" s="53"/>
      <c r="VK90" s="53"/>
      <c r="VL90" s="53"/>
    </row>
    <row r="91" spans="1:584" s="47" customFormat="1" ht="24" customHeight="1" x14ac:dyDescent="0.25">
      <c r="A91" s="45" t="s">
        <v>237</v>
      </c>
      <c r="B91" s="91" t="str">
        <f>'дод 3'!A43</f>
        <v>2100</v>
      </c>
      <c r="C91" s="91" t="str">
        <f>'дод 3'!B43</f>
        <v>0722</v>
      </c>
      <c r="D91" s="48" t="str">
        <f>'дод 3'!C43</f>
        <v>Стоматологічна допомога населенню</v>
      </c>
      <c r="E91" s="115">
        <v>6293457</v>
      </c>
      <c r="F91" s="117"/>
      <c r="G91" s="117"/>
      <c r="H91" s="115">
        <v>6211951.5300000003</v>
      </c>
      <c r="I91" s="117"/>
      <c r="J91" s="117"/>
      <c r="K91" s="164">
        <f t="shared" si="17"/>
        <v>98.704917345109379</v>
      </c>
      <c r="L91" s="115">
        <f t="shared" si="16"/>
        <v>8044410</v>
      </c>
      <c r="M91" s="115">
        <f>400000+10000</f>
        <v>410000</v>
      </c>
      <c r="N91" s="115">
        <v>7634410</v>
      </c>
      <c r="O91" s="115"/>
      <c r="P91" s="115"/>
      <c r="Q91" s="115">
        <f>400000+10000</f>
        <v>410000</v>
      </c>
      <c r="R91" s="115">
        <f t="shared" si="19"/>
        <v>1954062.04</v>
      </c>
      <c r="S91" s="115">
        <v>408800</v>
      </c>
      <c r="T91" s="115">
        <v>1545262.04</v>
      </c>
      <c r="U91" s="115"/>
      <c r="V91" s="115"/>
      <c r="W91" s="115">
        <v>408800</v>
      </c>
      <c r="X91" s="166">
        <f t="shared" si="18"/>
        <v>24.290930472216111</v>
      </c>
      <c r="Y91" s="115">
        <f t="shared" si="27"/>
        <v>8166013.5700000003</v>
      </c>
      <c r="Z91" s="187"/>
      <c r="AA91" s="53"/>
      <c r="AB91" s="53"/>
      <c r="AC91" s="53"/>
      <c r="AD91" s="53"/>
      <c r="AE91" s="79"/>
      <c r="AF91" s="79"/>
      <c r="AG91" s="79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  <c r="IW91" s="53"/>
      <c r="IX91" s="53"/>
      <c r="IY91" s="53"/>
      <c r="IZ91" s="53"/>
      <c r="JA91" s="53"/>
      <c r="JB91" s="53"/>
      <c r="JC91" s="53"/>
      <c r="JD91" s="53"/>
      <c r="JE91" s="53"/>
      <c r="JF91" s="53"/>
      <c r="JG91" s="53"/>
      <c r="JH91" s="53"/>
      <c r="JI91" s="53"/>
      <c r="JJ91" s="53"/>
      <c r="JK91" s="53"/>
      <c r="JL91" s="53"/>
      <c r="JM91" s="53"/>
      <c r="JN91" s="53"/>
      <c r="JO91" s="53"/>
      <c r="JP91" s="53"/>
      <c r="JQ91" s="53"/>
      <c r="JR91" s="53"/>
      <c r="JS91" s="53"/>
      <c r="JT91" s="53"/>
      <c r="JU91" s="53"/>
      <c r="JV91" s="53"/>
      <c r="JW91" s="53"/>
      <c r="JX91" s="53"/>
      <c r="JY91" s="53"/>
      <c r="JZ91" s="53"/>
      <c r="KA91" s="53"/>
      <c r="KB91" s="53"/>
      <c r="KC91" s="53"/>
      <c r="KD91" s="53"/>
      <c r="KE91" s="53"/>
      <c r="KF91" s="53"/>
      <c r="KG91" s="53"/>
      <c r="KH91" s="53"/>
      <c r="KI91" s="53"/>
      <c r="KJ91" s="53"/>
      <c r="KK91" s="53"/>
      <c r="KL91" s="53"/>
      <c r="KM91" s="53"/>
      <c r="KN91" s="53"/>
      <c r="KO91" s="53"/>
      <c r="KP91" s="53"/>
      <c r="KQ91" s="53"/>
      <c r="KR91" s="53"/>
      <c r="KS91" s="53"/>
      <c r="KT91" s="53"/>
      <c r="KU91" s="53"/>
      <c r="KV91" s="53"/>
      <c r="KW91" s="53"/>
      <c r="KX91" s="53"/>
      <c r="KY91" s="53"/>
      <c r="KZ91" s="53"/>
      <c r="LA91" s="53"/>
      <c r="LB91" s="53"/>
      <c r="LC91" s="53"/>
      <c r="LD91" s="53"/>
      <c r="LE91" s="53"/>
      <c r="LF91" s="53"/>
      <c r="LG91" s="53"/>
      <c r="LH91" s="53"/>
      <c r="LI91" s="53"/>
      <c r="LJ91" s="53"/>
      <c r="LK91" s="53"/>
      <c r="LL91" s="53"/>
      <c r="LM91" s="53"/>
      <c r="LN91" s="53"/>
      <c r="LO91" s="53"/>
      <c r="LP91" s="53"/>
      <c r="LQ91" s="53"/>
      <c r="LR91" s="53"/>
      <c r="LS91" s="53"/>
      <c r="LT91" s="53"/>
      <c r="LU91" s="53"/>
      <c r="LV91" s="53"/>
      <c r="LW91" s="53"/>
      <c r="LX91" s="53"/>
      <c r="LY91" s="53"/>
      <c r="LZ91" s="53"/>
      <c r="MA91" s="53"/>
      <c r="MB91" s="53"/>
      <c r="MC91" s="53"/>
      <c r="MD91" s="53"/>
      <c r="ME91" s="53"/>
      <c r="MF91" s="53"/>
      <c r="MG91" s="53"/>
      <c r="MH91" s="53"/>
      <c r="MI91" s="53"/>
      <c r="MJ91" s="53"/>
      <c r="MK91" s="53"/>
      <c r="ML91" s="53"/>
      <c r="MM91" s="53"/>
      <c r="MN91" s="53"/>
      <c r="MO91" s="53"/>
      <c r="MP91" s="53"/>
      <c r="MQ91" s="53"/>
      <c r="MR91" s="53"/>
      <c r="MS91" s="53"/>
      <c r="MT91" s="53"/>
      <c r="MU91" s="53"/>
      <c r="MV91" s="53"/>
      <c r="MW91" s="53"/>
      <c r="MX91" s="53"/>
      <c r="MY91" s="53"/>
      <c r="MZ91" s="53"/>
      <c r="NA91" s="53"/>
      <c r="NB91" s="53"/>
      <c r="NC91" s="53"/>
      <c r="ND91" s="53"/>
      <c r="NE91" s="53"/>
      <c r="NF91" s="53"/>
      <c r="NG91" s="53"/>
      <c r="NH91" s="53"/>
      <c r="NI91" s="53"/>
      <c r="NJ91" s="53"/>
      <c r="NK91" s="53"/>
      <c r="NL91" s="53"/>
      <c r="NM91" s="53"/>
      <c r="NN91" s="53"/>
      <c r="NO91" s="53"/>
      <c r="NP91" s="53"/>
      <c r="NQ91" s="53"/>
      <c r="NR91" s="53"/>
      <c r="NS91" s="53"/>
      <c r="NT91" s="53"/>
      <c r="NU91" s="53"/>
      <c r="NV91" s="53"/>
      <c r="NW91" s="53"/>
      <c r="NX91" s="53"/>
      <c r="NY91" s="53"/>
      <c r="NZ91" s="53"/>
      <c r="OA91" s="53"/>
      <c r="OB91" s="53"/>
      <c r="OC91" s="53"/>
      <c r="OD91" s="53"/>
      <c r="OE91" s="53"/>
      <c r="OF91" s="53"/>
      <c r="OG91" s="53"/>
      <c r="OH91" s="53"/>
      <c r="OI91" s="53"/>
      <c r="OJ91" s="53"/>
      <c r="OK91" s="53"/>
      <c r="OL91" s="53"/>
      <c r="OM91" s="53"/>
      <c r="ON91" s="53"/>
      <c r="OO91" s="53"/>
      <c r="OP91" s="53"/>
      <c r="OQ91" s="53"/>
      <c r="OR91" s="53"/>
      <c r="OS91" s="53"/>
      <c r="OT91" s="53"/>
      <c r="OU91" s="53"/>
      <c r="OV91" s="53"/>
      <c r="OW91" s="53"/>
      <c r="OX91" s="53"/>
      <c r="OY91" s="53"/>
      <c r="OZ91" s="53"/>
      <c r="PA91" s="53"/>
      <c r="PB91" s="53"/>
      <c r="PC91" s="53"/>
      <c r="PD91" s="53"/>
      <c r="PE91" s="53"/>
      <c r="PF91" s="53"/>
      <c r="PG91" s="53"/>
      <c r="PH91" s="53"/>
      <c r="PI91" s="53"/>
      <c r="PJ91" s="53"/>
      <c r="PK91" s="53"/>
      <c r="PL91" s="53"/>
      <c r="PM91" s="53"/>
      <c r="PN91" s="53"/>
      <c r="PO91" s="53"/>
      <c r="PP91" s="53"/>
      <c r="PQ91" s="53"/>
      <c r="PR91" s="53"/>
      <c r="PS91" s="53"/>
      <c r="PT91" s="53"/>
      <c r="PU91" s="53"/>
      <c r="PV91" s="53"/>
      <c r="PW91" s="53"/>
      <c r="PX91" s="53"/>
      <c r="PY91" s="53"/>
      <c r="PZ91" s="53"/>
      <c r="QA91" s="53"/>
      <c r="QB91" s="53"/>
      <c r="QC91" s="53"/>
      <c r="QD91" s="53"/>
      <c r="QE91" s="53"/>
      <c r="QF91" s="53"/>
      <c r="QG91" s="53"/>
      <c r="QH91" s="53"/>
      <c r="QI91" s="53"/>
      <c r="QJ91" s="53"/>
      <c r="QK91" s="53"/>
      <c r="QL91" s="53"/>
      <c r="QM91" s="53"/>
      <c r="QN91" s="53"/>
      <c r="QO91" s="53"/>
      <c r="QP91" s="53"/>
      <c r="QQ91" s="53"/>
      <c r="QR91" s="53"/>
      <c r="QS91" s="53"/>
      <c r="QT91" s="53"/>
      <c r="QU91" s="53"/>
      <c r="QV91" s="53"/>
      <c r="QW91" s="53"/>
      <c r="QX91" s="53"/>
      <c r="QY91" s="53"/>
      <c r="QZ91" s="53"/>
      <c r="RA91" s="53"/>
      <c r="RB91" s="53"/>
      <c r="RC91" s="53"/>
      <c r="RD91" s="53"/>
      <c r="RE91" s="53"/>
      <c r="RF91" s="53"/>
      <c r="RG91" s="53"/>
      <c r="RH91" s="53"/>
      <c r="RI91" s="53"/>
      <c r="RJ91" s="53"/>
      <c r="RK91" s="53"/>
      <c r="RL91" s="53"/>
      <c r="RM91" s="53"/>
      <c r="RN91" s="53"/>
      <c r="RO91" s="53"/>
      <c r="RP91" s="53"/>
      <c r="RQ91" s="53"/>
      <c r="RR91" s="53"/>
      <c r="RS91" s="53"/>
      <c r="RT91" s="53"/>
      <c r="RU91" s="53"/>
      <c r="RV91" s="53"/>
      <c r="RW91" s="53"/>
      <c r="RX91" s="53"/>
      <c r="RY91" s="53"/>
      <c r="RZ91" s="53"/>
      <c r="SA91" s="53"/>
      <c r="SB91" s="53"/>
      <c r="SC91" s="53"/>
      <c r="SD91" s="53"/>
      <c r="SE91" s="53"/>
      <c r="SF91" s="53"/>
      <c r="SG91" s="53"/>
      <c r="SH91" s="53"/>
      <c r="SI91" s="53"/>
      <c r="SJ91" s="53"/>
      <c r="SK91" s="53"/>
      <c r="SL91" s="53"/>
      <c r="SM91" s="53"/>
      <c r="SN91" s="53"/>
      <c r="SO91" s="53"/>
      <c r="SP91" s="53"/>
      <c r="SQ91" s="53"/>
      <c r="SR91" s="53"/>
      <c r="SS91" s="53"/>
      <c r="ST91" s="53"/>
      <c r="SU91" s="53"/>
      <c r="SV91" s="53"/>
      <c r="SW91" s="53"/>
      <c r="SX91" s="53"/>
      <c r="SY91" s="53"/>
      <c r="SZ91" s="53"/>
      <c r="TA91" s="53"/>
      <c r="TB91" s="53"/>
      <c r="TC91" s="53"/>
      <c r="TD91" s="53"/>
      <c r="TE91" s="53"/>
      <c r="TF91" s="53"/>
      <c r="TG91" s="53"/>
      <c r="TH91" s="53"/>
      <c r="TI91" s="53"/>
      <c r="TJ91" s="53"/>
      <c r="TK91" s="53"/>
      <c r="TL91" s="53"/>
      <c r="TM91" s="53"/>
      <c r="TN91" s="53"/>
      <c r="TO91" s="53"/>
      <c r="TP91" s="53"/>
      <c r="TQ91" s="53"/>
      <c r="TR91" s="53"/>
      <c r="TS91" s="53"/>
      <c r="TT91" s="53"/>
      <c r="TU91" s="53"/>
      <c r="TV91" s="53"/>
      <c r="TW91" s="53"/>
      <c r="TX91" s="53"/>
      <c r="TY91" s="53"/>
      <c r="TZ91" s="53"/>
      <c r="UA91" s="53"/>
      <c r="UB91" s="53"/>
      <c r="UC91" s="53"/>
      <c r="UD91" s="53"/>
      <c r="UE91" s="53"/>
      <c r="UF91" s="53"/>
      <c r="UG91" s="53"/>
      <c r="UH91" s="53"/>
      <c r="UI91" s="53"/>
      <c r="UJ91" s="53"/>
      <c r="UK91" s="53"/>
      <c r="UL91" s="53"/>
      <c r="UM91" s="53"/>
      <c r="UN91" s="53"/>
      <c r="UO91" s="53"/>
      <c r="UP91" s="53"/>
      <c r="UQ91" s="53"/>
      <c r="UR91" s="53"/>
      <c r="US91" s="53"/>
      <c r="UT91" s="53"/>
      <c r="UU91" s="53"/>
      <c r="UV91" s="53"/>
      <c r="UW91" s="53"/>
      <c r="UX91" s="53"/>
      <c r="UY91" s="53"/>
      <c r="UZ91" s="53"/>
      <c r="VA91" s="53"/>
      <c r="VB91" s="53"/>
      <c r="VC91" s="53"/>
      <c r="VD91" s="53"/>
      <c r="VE91" s="53"/>
      <c r="VF91" s="53"/>
      <c r="VG91" s="53"/>
      <c r="VH91" s="53"/>
      <c r="VI91" s="53"/>
      <c r="VJ91" s="53"/>
      <c r="VK91" s="53"/>
      <c r="VL91" s="53"/>
    </row>
    <row r="92" spans="1:584" s="47" customFormat="1" ht="15" customHeight="1" x14ac:dyDescent="0.25">
      <c r="A92" s="45"/>
      <c r="B92" s="91"/>
      <c r="C92" s="91"/>
      <c r="D92" s="46" t="s">
        <v>342</v>
      </c>
      <c r="E92" s="115">
        <v>4109800</v>
      </c>
      <c r="F92" s="117"/>
      <c r="G92" s="117"/>
      <c r="H92" s="115">
        <v>4109800</v>
      </c>
      <c r="I92" s="117"/>
      <c r="J92" s="117"/>
      <c r="K92" s="164">
        <f t="shared" si="17"/>
        <v>100</v>
      </c>
      <c r="L92" s="115">
        <f t="shared" si="16"/>
        <v>0</v>
      </c>
      <c r="M92" s="115"/>
      <c r="N92" s="115"/>
      <c r="O92" s="115"/>
      <c r="P92" s="115"/>
      <c r="Q92" s="115"/>
      <c r="R92" s="115">
        <f t="shared" si="19"/>
        <v>0</v>
      </c>
      <c r="S92" s="115"/>
      <c r="T92" s="115"/>
      <c r="U92" s="115"/>
      <c r="V92" s="115"/>
      <c r="W92" s="115"/>
      <c r="X92" s="166"/>
      <c r="Y92" s="115">
        <f t="shared" si="27"/>
        <v>4109800</v>
      </c>
      <c r="Z92" s="187"/>
      <c r="AA92" s="53"/>
      <c r="AB92" s="53"/>
      <c r="AC92" s="53"/>
      <c r="AD92" s="53"/>
      <c r="AE92" s="79"/>
      <c r="AF92" s="79"/>
      <c r="AG92" s="79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  <c r="IW92" s="53"/>
      <c r="IX92" s="53"/>
      <c r="IY92" s="53"/>
      <c r="IZ92" s="53"/>
      <c r="JA92" s="53"/>
      <c r="JB92" s="53"/>
      <c r="JC92" s="53"/>
      <c r="JD92" s="53"/>
      <c r="JE92" s="53"/>
      <c r="JF92" s="53"/>
      <c r="JG92" s="53"/>
      <c r="JH92" s="53"/>
      <c r="JI92" s="53"/>
      <c r="JJ92" s="53"/>
      <c r="JK92" s="53"/>
      <c r="JL92" s="53"/>
      <c r="JM92" s="53"/>
      <c r="JN92" s="53"/>
      <c r="JO92" s="53"/>
      <c r="JP92" s="53"/>
      <c r="JQ92" s="53"/>
      <c r="JR92" s="53"/>
      <c r="JS92" s="53"/>
      <c r="JT92" s="53"/>
      <c r="JU92" s="53"/>
      <c r="JV92" s="53"/>
      <c r="JW92" s="53"/>
      <c r="JX92" s="53"/>
      <c r="JY92" s="53"/>
      <c r="JZ92" s="53"/>
      <c r="KA92" s="53"/>
      <c r="KB92" s="53"/>
      <c r="KC92" s="53"/>
      <c r="KD92" s="53"/>
      <c r="KE92" s="53"/>
      <c r="KF92" s="53"/>
      <c r="KG92" s="53"/>
      <c r="KH92" s="53"/>
      <c r="KI92" s="53"/>
      <c r="KJ92" s="53"/>
      <c r="KK92" s="53"/>
      <c r="KL92" s="53"/>
      <c r="KM92" s="53"/>
      <c r="KN92" s="53"/>
      <c r="KO92" s="53"/>
      <c r="KP92" s="53"/>
      <c r="KQ92" s="53"/>
      <c r="KR92" s="53"/>
      <c r="KS92" s="53"/>
      <c r="KT92" s="53"/>
      <c r="KU92" s="53"/>
      <c r="KV92" s="53"/>
      <c r="KW92" s="53"/>
      <c r="KX92" s="53"/>
      <c r="KY92" s="53"/>
      <c r="KZ92" s="53"/>
      <c r="LA92" s="53"/>
      <c r="LB92" s="53"/>
      <c r="LC92" s="53"/>
      <c r="LD92" s="53"/>
      <c r="LE92" s="53"/>
      <c r="LF92" s="53"/>
      <c r="LG92" s="53"/>
      <c r="LH92" s="53"/>
      <c r="LI92" s="53"/>
      <c r="LJ92" s="53"/>
      <c r="LK92" s="53"/>
      <c r="LL92" s="53"/>
      <c r="LM92" s="53"/>
      <c r="LN92" s="53"/>
      <c r="LO92" s="53"/>
      <c r="LP92" s="53"/>
      <c r="LQ92" s="53"/>
      <c r="LR92" s="53"/>
      <c r="LS92" s="53"/>
      <c r="LT92" s="53"/>
      <c r="LU92" s="53"/>
      <c r="LV92" s="53"/>
      <c r="LW92" s="53"/>
      <c r="LX92" s="53"/>
      <c r="LY92" s="53"/>
      <c r="LZ92" s="53"/>
      <c r="MA92" s="53"/>
      <c r="MB92" s="53"/>
      <c r="MC92" s="53"/>
      <c r="MD92" s="53"/>
      <c r="ME92" s="53"/>
      <c r="MF92" s="53"/>
      <c r="MG92" s="53"/>
      <c r="MH92" s="53"/>
      <c r="MI92" s="53"/>
      <c r="MJ92" s="53"/>
      <c r="MK92" s="53"/>
      <c r="ML92" s="53"/>
      <c r="MM92" s="53"/>
      <c r="MN92" s="53"/>
      <c r="MO92" s="53"/>
      <c r="MP92" s="53"/>
      <c r="MQ92" s="53"/>
      <c r="MR92" s="53"/>
      <c r="MS92" s="53"/>
      <c r="MT92" s="53"/>
      <c r="MU92" s="53"/>
      <c r="MV92" s="53"/>
      <c r="MW92" s="53"/>
      <c r="MX92" s="53"/>
      <c r="MY92" s="53"/>
      <c r="MZ92" s="53"/>
      <c r="NA92" s="53"/>
      <c r="NB92" s="53"/>
      <c r="NC92" s="53"/>
      <c r="ND92" s="53"/>
      <c r="NE92" s="53"/>
      <c r="NF92" s="53"/>
      <c r="NG92" s="53"/>
      <c r="NH92" s="53"/>
      <c r="NI92" s="53"/>
      <c r="NJ92" s="53"/>
      <c r="NK92" s="53"/>
      <c r="NL92" s="53"/>
      <c r="NM92" s="53"/>
      <c r="NN92" s="53"/>
      <c r="NO92" s="53"/>
      <c r="NP92" s="53"/>
      <c r="NQ92" s="53"/>
      <c r="NR92" s="53"/>
      <c r="NS92" s="53"/>
      <c r="NT92" s="53"/>
      <c r="NU92" s="53"/>
      <c r="NV92" s="53"/>
      <c r="NW92" s="53"/>
      <c r="NX92" s="53"/>
      <c r="NY92" s="53"/>
      <c r="NZ92" s="53"/>
      <c r="OA92" s="53"/>
      <c r="OB92" s="53"/>
      <c r="OC92" s="53"/>
      <c r="OD92" s="53"/>
      <c r="OE92" s="53"/>
      <c r="OF92" s="53"/>
      <c r="OG92" s="53"/>
      <c r="OH92" s="53"/>
      <c r="OI92" s="53"/>
      <c r="OJ92" s="53"/>
      <c r="OK92" s="53"/>
      <c r="OL92" s="53"/>
      <c r="OM92" s="53"/>
      <c r="ON92" s="53"/>
      <c r="OO92" s="53"/>
      <c r="OP92" s="53"/>
      <c r="OQ92" s="53"/>
      <c r="OR92" s="53"/>
      <c r="OS92" s="53"/>
      <c r="OT92" s="53"/>
      <c r="OU92" s="53"/>
      <c r="OV92" s="53"/>
      <c r="OW92" s="53"/>
      <c r="OX92" s="53"/>
      <c r="OY92" s="53"/>
      <c r="OZ92" s="53"/>
      <c r="PA92" s="53"/>
      <c r="PB92" s="53"/>
      <c r="PC92" s="53"/>
      <c r="PD92" s="53"/>
      <c r="PE92" s="53"/>
      <c r="PF92" s="53"/>
      <c r="PG92" s="53"/>
      <c r="PH92" s="53"/>
      <c r="PI92" s="53"/>
      <c r="PJ92" s="53"/>
      <c r="PK92" s="53"/>
      <c r="PL92" s="53"/>
      <c r="PM92" s="53"/>
      <c r="PN92" s="53"/>
      <c r="PO92" s="53"/>
      <c r="PP92" s="53"/>
      <c r="PQ92" s="53"/>
      <c r="PR92" s="53"/>
      <c r="PS92" s="53"/>
      <c r="PT92" s="53"/>
      <c r="PU92" s="53"/>
      <c r="PV92" s="53"/>
      <c r="PW92" s="53"/>
      <c r="PX92" s="53"/>
      <c r="PY92" s="53"/>
      <c r="PZ92" s="53"/>
      <c r="QA92" s="53"/>
      <c r="QB92" s="53"/>
      <c r="QC92" s="53"/>
      <c r="QD92" s="53"/>
      <c r="QE92" s="53"/>
      <c r="QF92" s="53"/>
      <c r="QG92" s="53"/>
      <c r="QH92" s="53"/>
      <c r="QI92" s="53"/>
      <c r="QJ92" s="53"/>
      <c r="QK92" s="53"/>
      <c r="QL92" s="53"/>
      <c r="QM92" s="53"/>
      <c r="QN92" s="53"/>
      <c r="QO92" s="53"/>
      <c r="QP92" s="53"/>
      <c r="QQ92" s="53"/>
      <c r="QR92" s="53"/>
      <c r="QS92" s="53"/>
      <c r="QT92" s="53"/>
      <c r="QU92" s="53"/>
      <c r="QV92" s="53"/>
      <c r="QW92" s="53"/>
      <c r="QX92" s="53"/>
      <c r="QY92" s="53"/>
      <c r="QZ92" s="53"/>
      <c r="RA92" s="53"/>
      <c r="RB92" s="53"/>
      <c r="RC92" s="53"/>
      <c r="RD92" s="53"/>
      <c r="RE92" s="53"/>
      <c r="RF92" s="53"/>
      <c r="RG92" s="53"/>
      <c r="RH92" s="53"/>
      <c r="RI92" s="53"/>
      <c r="RJ92" s="53"/>
      <c r="RK92" s="53"/>
      <c r="RL92" s="53"/>
      <c r="RM92" s="53"/>
      <c r="RN92" s="53"/>
      <c r="RO92" s="53"/>
      <c r="RP92" s="53"/>
      <c r="RQ92" s="53"/>
      <c r="RR92" s="53"/>
      <c r="RS92" s="53"/>
      <c r="RT92" s="53"/>
      <c r="RU92" s="53"/>
      <c r="RV92" s="53"/>
      <c r="RW92" s="53"/>
      <c r="RX92" s="53"/>
      <c r="RY92" s="53"/>
      <c r="RZ92" s="53"/>
      <c r="SA92" s="53"/>
      <c r="SB92" s="53"/>
      <c r="SC92" s="53"/>
      <c r="SD92" s="53"/>
      <c r="SE92" s="53"/>
      <c r="SF92" s="53"/>
      <c r="SG92" s="53"/>
      <c r="SH92" s="53"/>
      <c r="SI92" s="53"/>
      <c r="SJ92" s="53"/>
      <c r="SK92" s="53"/>
      <c r="SL92" s="53"/>
      <c r="SM92" s="53"/>
      <c r="SN92" s="53"/>
      <c r="SO92" s="53"/>
      <c r="SP92" s="53"/>
      <c r="SQ92" s="53"/>
      <c r="SR92" s="53"/>
      <c r="SS92" s="53"/>
      <c r="ST92" s="53"/>
      <c r="SU92" s="53"/>
      <c r="SV92" s="53"/>
      <c r="SW92" s="53"/>
      <c r="SX92" s="53"/>
      <c r="SY92" s="53"/>
      <c r="SZ92" s="53"/>
      <c r="TA92" s="53"/>
      <c r="TB92" s="53"/>
      <c r="TC92" s="53"/>
      <c r="TD92" s="53"/>
      <c r="TE92" s="53"/>
      <c r="TF92" s="53"/>
      <c r="TG92" s="53"/>
      <c r="TH92" s="53"/>
      <c r="TI92" s="53"/>
      <c r="TJ92" s="53"/>
      <c r="TK92" s="53"/>
      <c r="TL92" s="53"/>
      <c r="TM92" s="53"/>
      <c r="TN92" s="53"/>
      <c r="TO92" s="53"/>
      <c r="TP92" s="53"/>
      <c r="TQ92" s="53"/>
      <c r="TR92" s="53"/>
      <c r="TS92" s="53"/>
      <c r="TT92" s="53"/>
      <c r="TU92" s="53"/>
      <c r="TV92" s="53"/>
      <c r="TW92" s="53"/>
      <c r="TX92" s="53"/>
      <c r="TY92" s="53"/>
      <c r="TZ92" s="53"/>
      <c r="UA92" s="53"/>
      <c r="UB92" s="53"/>
      <c r="UC92" s="53"/>
      <c r="UD92" s="53"/>
      <c r="UE92" s="53"/>
      <c r="UF92" s="53"/>
      <c r="UG92" s="53"/>
      <c r="UH92" s="53"/>
      <c r="UI92" s="53"/>
      <c r="UJ92" s="53"/>
      <c r="UK92" s="53"/>
      <c r="UL92" s="53"/>
      <c r="UM92" s="53"/>
      <c r="UN92" s="53"/>
      <c r="UO92" s="53"/>
      <c r="UP92" s="53"/>
      <c r="UQ92" s="53"/>
      <c r="UR92" s="53"/>
      <c r="US92" s="53"/>
      <c r="UT92" s="53"/>
      <c r="UU92" s="53"/>
      <c r="UV92" s="53"/>
      <c r="UW92" s="53"/>
      <c r="UX92" s="53"/>
      <c r="UY92" s="53"/>
      <c r="UZ92" s="53"/>
      <c r="VA92" s="53"/>
      <c r="VB92" s="53"/>
      <c r="VC92" s="53"/>
      <c r="VD92" s="53"/>
      <c r="VE92" s="53"/>
      <c r="VF92" s="53"/>
      <c r="VG92" s="53"/>
      <c r="VH92" s="53"/>
      <c r="VI92" s="53"/>
      <c r="VJ92" s="53"/>
      <c r="VK92" s="53"/>
      <c r="VL92" s="53"/>
    </row>
    <row r="93" spans="1:584" s="47" customFormat="1" ht="31.5" customHeight="1" x14ac:dyDescent="0.25">
      <c r="A93" s="45" t="s">
        <v>236</v>
      </c>
      <c r="B93" s="91" t="str">
        <f>'дод 3'!A45</f>
        <v>2111</v>
      </c>
      <c r="C93" s="91" t="str">
        <f>'дод 3'!B45</f>
        <v>0726</v>
      </c>
      <c r="D93" s="48" t="str">
        <f>'дод 3'!C45</f>
        <v>Первинна медична допомога населенню, що надається центрами первинної медичної (медико-санітарної) допомоги</v>
      </c>
      <c r="E93" s="115">
        <v>2341800</v>
      </c>
      <c r="F93" s="117"/>
      <c r="G93" s="117"/>
      <c r="H93" s="115">
        <v>2068008.47</v>
      </c>
      <c r="I93" s="117"/>
      <c r="J93" s="117"/>
      <c r="K93" s="164">
        <f t="shared" si="17"/>
        <v>88.308500725937307</v>
      </c>
      <c r="L93" s="115">
        <f t="shared" si="16"/>
        <v>3020815</v>
      </c>
      <c r="M93" s="115">
        <f>3000000-4185+10000+15000</f>
        <v>3020815</v>
      </c>
      <c r="N93" s="115"/>
      <c r="O93" s="115"/>
      <c r="P93" s="115"/>
      <c r="Q93" s="115">
        <f>3000000-4185+10000+15000</f>
        <v>3020815</v>
      </c>
      <c r="R93" s="115">
        <f t="shared" si="19"/>
        <v>2321907.61</v>
      </c>
      <c r="S93" s="115">
        <v>2321907.61</v>
      </c>
      <c r="T93" s="115"/>
      <c r="U93" s="115"/>
      <c r="V93" s="115"/>
      <c r="W93" s="115">
        <v>2321907.61</v>
      </c>
      <c r="X93" s="166">
        <f t="shared" si="18"/>
        <v>76.863614951594187</v>
      </c>
      <c r="Y93" s="115">
        <f t="shared" si="27"/>
        <v>4389916.08</v>
      </c>
      <c r="Z93" s="187"/>
      <c r="AA93" s="53"/>
      <c r="AB93" s="53"/>
      <c r="AC93" s="53"/>
      <c r="AD93" s="53"/>
      <c r="AE93" s="79"/>
      <c r="AF93" s="79"/>
      <c r="AG93" s="79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  <c r="IW93" s="53"/>
      <c r="IX93" s="53"/>
      <c r="IY93" s="53"/>
      <c r="IZ93" s="53"/>
      <c r="JA93" s="53"/>
      <c r="JB93" s="53"/>
      <c r="JC93" s="53"/>
      <c r="JD93" s="53"/>
      <c r="JE93" s="53"/>
      <c r="JF93" s="53"/>
      <c r="JG93" s="53"/>
      <c r="JH93" s="53"/>
      <c r="JI93" s="53"/>
      <c r="JJ93" s="53"/>
      <c r="JK93" s="53"/>
      <c r="JL93" s="53"/>
      <c r="JM93" s="53"/>
      <c r="JN93" s="53"/>
      <c r="JO93" s="53"/>
      <c r="JP93" s="53"/>
      <c r="JQ93" s="53"/>
      <c r="JR93" s="53"/>
      <c r="JS93" s="53"/>
      <c r="JT93" s="53"/>
      <c r="JU93" s="53"/>
      <c r="JV93" s="53"/>
      <c r="JW93" s="53"/>
      <c r="JX93" s="53"/>
      <c r="JY93" s="53"/>
      <c r="JZ93" s="53"/>
      <c r="KA93" s="53"/>
      <c r="KB93" s="53"/>
      <c r="KC93" s="53"/>
      <c r="KD93" s="53"/>
      <c r="KE93" s="53"/>
      <c r="KF93" s="53"/>
      <c r="KG93" s="53"/>
      <c r="KH93" s="53"/>
      <c r="KI93" s="53"/>
      <c r="KJ93" s="53"/>
      <c r="KK93" s="53"/>
      <c r="KL93" s="53"/>
      <c r="KM93" s="53"/>
      <c r="KN93" s="53"/>
      <c r="KO93" s="53"/>
      <c r="KP93" s="53"/>
      <c r="KQ93" s="53"/>
      <c r="KR93" s="53"/>
      <c r="KS93" s="53"/>
      <c r="KT93" s="53"/>
      <c r="KU93" s="53"/>
      <c r="KV93" s="53"/>
      <c r="KW93" s="53"/>
      <c r="KX93" s="53"/>
      <c r="KY93" s="53"/>
      <c r="KZ93" s="53"/>
      <c r="LA93" s="53"/>
      <c r="LB93" s="53"/>
      <c r="LC93" s="53"/>
      <c r="LD93" s="53"/>
      <c r="LE93" s="53"/>
      <c r="LF93" s="53"/>
      <c r="LG93" s="53"/>
      <c r="LH93" s="53"/>
      <c r="LI93" s="53"/>
      <c r="LJ93" s="53"/>
      <c r="LK93" s="53"/>
      <c r="LL93" s="53"/>
      <c r="LM93" s="53"/>
      <c r="LN93" s="53"/>
      <c r="LO93" s="53"/>
      <c r="LP93" s="53"/>
      <c r="LQ93" s="53"/>
      <c r="LR93" s="53"/>
      <c r="LS93" s="53"/>
      <c r="LT93" s="53"/>
      <c r="LU93" s="53"/>
      <c r="LV93" s="53"/>
      <c r="LW93" s="53"/>
      <c r="LX93" s="53"/>
      <c r="LY93" s="53"/>
      <c r="LZ93" s="53"/>
      <c r="MA93" s="53"/>
      <c r="MB93" s="53"/>
      <c r="MC93" s="53"/>
      <c r="MD93" s="53"/>
      <c r="ME93" s="53"/>
      <c r="MF93" s="53"/>
      <c r="MG93" s="53"/>
      <c r="MH93" s="53"/>
      <c r="MI93" s="53"/>
      <c r="MJ93" s="53"/>
      <c r="MK93" s="53"/>
      <c r="ML93" s="53"/>
      <c r="MM93" s="53"/>
      <c r="MN93" s="53"/>
      <c r="MO93" s="53"/>
      <c r="MP93" s="53"/>
      <c r="MQ93" s="53"/>
      <c r="MR93" s="53"/>
      <c r="MS93" s="53"/>
      <c r="MT93" s="53"/>
      <c r="MU93" s="53"/>
      <c r="MV93" s="53"/>
      <c r="MW93" s="53"/>
      <c r="MX93" s="53"/>
      <c r="MY93" s="53"/>
      <c r="MZ93" s="53"/>
      <c r="NA93" s="53"/>
      <c r="NB93" s="53"/>
      <c r="NC93" s="53"/>
      <c r="ND93" s="53"/>
      <c r="NE93" s="53"/>
      <c r="NF93" s="53"/>
      <c r="NG93" s="53"/>
      <c r="NH93" s="53"/>
      <c r="NI93" s="53"/>
      <c r="NJ93" s="53"/>
      <c r="NK93" s="53"/>
      <c r="NL93" s="53"/>
      <c r="NM93" s="53"/>
      <c r="NN93" s="53"/>
      <c r="NO93" s="53"/>
      <c r="NP93" s="53"/>
      <c r="NQ93" s="53"/>
      <c r="NR93" s="53"/>
      <c r="NS93" s="53"/>
      <c r="NT93" s="53"/>
      <c r="NU93" s="53"/>
      <c r="NV93" s="53"/>
      <c r="NW93" s="53"/>
      <c r="NX93" s="53"/>
      <c r="NY93" s="53"/>
      <c r="NZ93" s="53"/>
      <c r="OA93" s="53"/>
      <c r="OB93" s="53"/>
      <c r="OC93" s="53"/>
      <c r="OD93" s="53"/>
      <c r="OE93" s="53"/>
      <c r="OF93" s="53"/>
      <c r="OG93" s="53"/>
      <c r="OH93" s="53"/>
      <c r="OI93" s="53"/>
      <c r="OJ93" s="53"/>
      <c r="OK93" s="53"/>
      <c r="OL93" s="53"/>
      <c r="OM93" s="53"/>
      <c r="ON93" s="53"/>
      <c r="OO93" s="53"/>
      <c r="OP93" s="53"/>
      <c r="OQ93" s="53"/>
      <c r="OR93" s="53"/>
      <c r="OS93" s="53"/>
      <c r="OT93" s="53"/>
      <c r="OU93" s="53"/>
      <c r="OV93" s="53"/>
      <c r="OW93" s="53"/>
      <c r="OX93" s="53"/>
      <c r="OY93" s="53"/>
      <c r="OZ93" s="53"/>
      <c r="PA93" s="53"/>
      <c r="PB93" s="53"/>
      <c r="PC93" s="53"/>
      <c r="PD93" s="53"/>
      <c r="PE93" s="53"/>
      <c r="PF93" s="53"/>
      <c r="PG93" s="53"/>
      <c r="PH93" s="53"/>
      <c r="PI93" s="53"/>
      <c r="PJ93" s="53"/>
      <c r="PK93" s="53"/>
      <c r="PL93" s="53"/>
      <c r="PM93" s="53"/>
      <c r="PN93" s="53"/>
      <c r="PO93" s="53"/>
      <c r="PP93" s="53"/>
      <c r="PQ93" s="53"/>
      <c r="PR93" s="53"/>
      <c r="PS93" s="53"/>
      <c r="PT93" s="53"/>
      <c r="PU93" s="53"/>
      <c r="PV93" s="53"/>
      <c r="PW93" s="53"/>
      <c r="PX93" s="53"/>
      <c r="PY93" s="53"/>
      <c r="PZ93" s="53"/>
      <c r="QA93" s="53"/>
      <c r="QB93" s="53"/>
      <c r="QC93" s="53"/>
      <c r="QD93" s="53"/>
      <c r="QE93" s="53"/>
      <c r="QF93" s="53"/>
      <c r="QG93" s="53"/>
      <c r="QH93" s="53"/>
      <c r="QI93" s="53"/>
      <c r="QJ93" s="53"/>
      <c r="QK93" s="53"/>
      <c r="QL93" s="53"/>
      <c r="QM93" s="53"/>
      <c r="QN93" s="53"/>
      <c r="QO93" s="53"/>
      <c r="QP93" s="53"/>
      <c r="QQ93" s="53"/>
      <c r="QR93" s="53"/>
      <c r="QS93" s="53"/>
      <c r="QT93" s="53"/>
      <c r="QU93" s="53"/>
      <c r="QV93" s="53"/>
      <c r="QW93" s="53"/>
      <c r="QX93" s="53"/>
      <c r="QY93" s="53"/>
      <c r="QZ93" s="53"/>
      <c r="RA93" s="53"/>
      <c r="RB93" s="53"/>
      <c r="RC93" s="53"/>
      <c r="RD93" s="53"/>
      <c r="RE93" s="53"/>
      <c r="RF93" s="53"/>
      <c r="RG93" s="53"/>
      <c r="RH93" s="53"/>
      <c r="RI93" s="53"/>
      <c r="RJ93" s="53"/>
      <c r="RK93" s="53"/>
      <c r="RL93" s="53"/>
      <c r="RM93" s="53"/>
      <c r="RN93" s="53"/>
      <c r="RO93" s="53"/>
      <c r="RP93" s="53"/>
      <c r="RQ93" s="53"/>
      <c r="RR93" s="53"/>
      <c r="RS93" s="53"/>
      <c r="RT93" s="53"/>
      <c r="RU93" s="53"/>
      <c r="RV93" s="53"/>
      <c r="RW93" s="53"/>
      <c r="RX93" s="53"/>
      <c r="RY93" s="53"/>
      <c r="RZ93" s="53"/>
      <c r="SA93" s="53"/>
      <c r="SB93" s="53"/>
      <c r="SC93" s="53"/>
      <c r="SD93" s="53"/>
      <c r="SE93" s="53"/>
      <c r="SF93" s="53"/>
      <c r="SG93" s="53"/>
      <c r="SH93" s="53"/>
      <c r="SI93" s="53"/>
      <c r="SJ93" s="53"/>
      <c r="SK93" s="53"/>
      <c r="SL93" s="53"/>
      <c r="SM93" s="53"/>
      <c r="SN93" s="53"/>
      <c r="SO93" s="53"/>
      <c r="SP93" s="53"/>
      <c r="SQ93" s="53"/>
      <c r="SR93" s="53"/>
      <c r="SS93" s="53"/>
      <c r="ST93" s="53"/>
      <c r="SU93" s="53"/>
      <c r="SV93" s="53"/>
      <c r="SW93" s="53"/>
      <c r="SX93" s="53"/>
      <c r="SY93" s="53"/>
      <c r="SZ93" s="53"/>
      <c r="TA93" s="53"/>
      <c r="TB93" s="53"/>
      <c r="TC93" s="53"/>
      <c r="TD93" s="53"/>
      <c r="TE93" s="53"/>
      <c r="TF93" s="53"/>
      <c r="TG93" s="53"/>
      <c r="TH93" s="53"/>
      <c r="TI93" s="53"/>
      <c r="TJ93" s="53"/>
      <c r="TK93" s="53"/>
      <c r="TL93" s="53"/>
      <c r="TM93" s="53"/>
      <c r="TN93" s="53"/>
      <c r="TO93" s="53"/>
      <c r="TP93" s="53"/>
      <c r="TQ93" s="53"/>
      <c r="TR93" s="53"/>
      <c r="TS93" s="53"/>
      <c r="TT93" s="53"/>
      <c r="TU93" s="53"/>
      <c r="TV93" s="53"/>
      <c r="TW93" s="53"/>
      <c r="TX93" s="53"/>
      <c r="TY93" s="53"/>
      <c r="TZ93" s="53"/>
      <c r="UA93" s="53"/>
      <c r="UB93" s="53"/>
      <c r="UC93" s="53"/>
      <c r="UD93" s="53"/>
      <c r="UE93" s="53"/>
      <c r="UF93" s="53"/>
      <c r="UG93" s="53"/>
      <c r="UH93" s="53"/>
      <c r="UI93" s="53"/>
      <c r="UJ93" s="53"/>
      <c r="UK93" s="53"/>
      <c r="UL93" s="53"/>
      <c r="UM93" s="53"/>
      <c r="UN93" s="53"/>
      <c r="UO93" s="53"/>
      <c r="UP93" s="53"/>
      <c r="UQ93" s="53"/>
      <c r="UR93" s="53"/>
      <c r="US93" s="53"/>
      <c r="UT93" s="53"/>
      <c r="UU93" s="53"/>
      <c r="UV93" s="53"/>
      <c r="UW93" s="53"/>
      <c r="UX93" s="53"/>
      <c r="UY93" s="53"/>
      <c r="UZ93" s="53"/>
      <c r="VA93" s="53"/>
      <c r="VB93" s="53"/>
      <c r="VC93" s="53"/>
      <c r="VD93" s="53"/>
      <c r="VE93" s="53"/>
      <c r="VF93" s="53"/>
      <c r="VG93" s="53"/>
      <c r="VH93" s="53"/>
      <c r="VI93" s="53"/>
      <c r="VJ93" s="53"/>
      <c r="VK93" s="53"/>
      <c r="VL93" s="53"/>
    </row>
    <row r="94" spans="1:584" s="47" customFormat="1" ht="14.25" hidden="1" customHeight="1" x14ac:dyDescent="0.25">
      <c r="A94" s="45"/>
      <c r="B94" s="91"/>
      <c r="C94" s="91"/>
      <c r="D94" s="46" t="s">
        <v>342</v>
      </c>
      <c r="E94" s="115">
        <v>0</v>
      </c>
      <c r="F94" s="117"/>
      <c r="G94" s="117"/>
      <c r="H94" s="115"/>
      <c r="I94" s="117"/>
      <c r="J94" s="117"/>
      <c r="K94" s="164" t="e">
        <f t="shared" si="17"/>
        <v>#DIV/0!</v>
      </c>
      <c r="L94" s="115">
        <f t="shared" si="16"/>
        <v>0</v>
      </c>
      <c r="M94" s="115"/>
      <c r="N94" s="115"/>
      <c r="O94" s="115"/>
      <c r="P94" s="115"/>
      <c r="Q94" s="115"/>
      <c r="R94" s="115">
        <f t="shared" si="19"/>
        <v>0</v>
      </c>
      <c r="S94" s="115"/>
      <c r="T94" s="115"/>
      <c r="U94" s="115"/>
      <c r="V94" s="115"/>
      <c r="W94" s="115"/>
      <c r="X94" s="149" t="e">
        <f t="shared" si="18"/>
        <v>#DIV/0!</v>
      </c>
      <c r="Y94" s="115">
        <f t="shared" si="27"/>
        <v>0</v>
      </c>
      <c r="Z94" s="187"/>
      <c r="AA94" s="53"/>
      <c r="AB94" s="53"/>
      <c r="AC94" s="53"/>
      <c r="AD94" s="53"/>
      <c r="AE94" s="79"/>
      <c r="AF94" s="79"/>
      <c r="AG94" s="79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  <c r="IW94" s="53"/>
      <c r="IX94" s="53"/>
      <c r="IY94" s="53"/>
      <c r="IZ94" s="53"/>
      <c r="JA94" s="53"/>
      <c r="JB94" s="53"/>
      <c r="JC94" s="53"/>
      <c r="JD94" s="53"/>
      <c r="JE94" s="53"/>
      <c r="JF94" s="53"/>
      <c r="JG94" s="53"/>
      <c r="JH94" s="53"/>
      <c r="JI94" s="53"/>
      <c r="JJ94" s="53"/>
      <c r="JK94" s="53"/>
      <c r="JL94" s="53"/>
      <c r="JM94" s="53"/>
      <c r="JN94" s="53"/>
      <c r="JO94" s="53"/>
      <c r="JP94" s="53"/>
      <c r="JQ94" s="53"/>
      <c r="JR94" s="53"/>
      <c r="JS94" s="53"/>
      <c r="JT94" s="53"/>
      <c r="JU94" s="53"/>
      <c r="JV94" s="53"/>
      <c r="JW94" s="53"/>
      <c r="JX94" s="53"/>
      <c r="JY94" s="53"/>
      <c r="JZ94" s="53"/>
      <c r="KA94" s="53"/>
      <c r="KB94" s="53"/>
      <c r="KC94" s="53"/>
      <c r="KD94" s="53"/>
      <c r="KE94" s="53"/>
      <c r="KF94" s="53"/>
      <c r="KG94" s="53"/>
      <c r="KH94" s="53"/>
      <c r="KI94" s="53"/>
      <c r="KJ94" s="53"/>
      <c r="KK94" s="53"/>
      <c r="KL94" s="53"/>
      <c r="KM94" s="53"/>
      <c r="KN94" s="53"/>
      <c r="KO94" s="53"/>
      <c r="KP94" s="53"/>
      <c r="KQ94" s="53"/>
      <c r="KR94" s="53"/>
      <c r="KS94" s="53"/>
      <c r="KT94" s="53"/>
      <c r="KU94" s="53"/>
      <c r="KV94" s="53"/>
      <c r="KW94" s="53"/>
      <c r="KX94" s="53"/>
      <c r="KY94" s="53"/>
      <c r="KZ94" s="53"/>
      <c r="LA94" s="53"/>
      <c r="LB94" s="53"/>
      <c r="LC94" s="53"/>
      <c r="LD94" s="53"/>
      <c r="LE94" s="53"/>
      <c r="LF94" s="53"/>
      <c r="LG94" s="53"/>
      <c r="LH94" s="53"/>
      <c r="LI94" s="53"/>
      <c r="LJ94" s="53"/>
      <c r="LK94" s="53"/>
      <c r="LL94" s="53"/>
      <c r="LM94" s="53"/>
      <c r="LN94" s="53"/>
      <c r="LO94" s="53"/>
      <c r="LP94" s="53"/>
      <c r="LQ94" s="53"/>
      <c r="LR94" s="53"/>
      <c r="LS94" s="53"/>
      <c r="LT94" s="53"/>
      <c r="LU94" s="53"/>
      <c r="LV94" s="53"/>
      <c r="LW94" s="53"/>
      <c r="LX94" s="53"/>
      <c r="LY94" s="53"/>
      <c r="LZ94" s="53"/>
      <c r="MA94" s="53"/>
      <c r="MB94" s="53"/>
      <c r="MC94" s="53"/>
      <c r="MD94" s="53"/>
      <c r="ME94" s="53"/>
      <c r="MF94" s="53"/>
      <c r="MG94" s="53"/>
      <c r="MH94" s="53"/>
      <c r="MI94" s="53"/>
      <c r="MJ94" s="53"/>
      <c r="MK94" s="53"/>
      <c r="ML94" s="53"/>
      <c r="MM94" s="53"/>
      <c r="MN94" s="53"/>
      <c r="MO94" s="53"/>
      <c r="MP94" s="53"/>
      <c r="MQ94" s="53"/>
      <c r="MR94" s="53"/>
      <c r="MS94" s="53"/>
      <c r="MT94" s="53"/>
      <c r="MU94" s="53"/>
      <c r="MV94" s="53"/>
      <c r="MW94" s="53"/>
      <c r="MX94" s="53"/>
      <c r="MY94" s="53"/>
      <c r="MZ94" s="53"/>
      <c r="NA94" s="53"/>
      <c r="NB94" s="53"/>
      <c r="NC94" s="53"/>
      <c r="ND94" s="53"/>
      <c r="NE94" s="53"/>
      <c r="NF94" s="53"/>
      <c r="NG94" s="53"/>
      <c r="NH94" s="53"/>
      <c r="NI94" s="53"/>
      <c r="NJ94" s="53"/>
      <c r="NK94" s="53"/>
      <c r="NL94" s="53"/>
      <c r="NM94" s="53"/>
      <c r="NN94" s="53"/>
      <c r="NO94" s="53"/>
      <c r="NP94" s="53"/>
      <c r="NQ94" s="53"/>
      <c r="NR94" s="53"/>
      <c r="NS94" s="53"/>
      <c r="NT94" s="53"/>
      <c r="NU94" s="53"/>
      <c r="NV94" s="53"/>
      <c r="NW94" s="53"/>
      <c r="NX94" s="53"/>
      <c r="NY94" s="53"/>
      <c r="NZ94" s="53"/>
      <c r="OA94" s="53"/>
      <c r="OB94" s="53"/>
      <c r="OC94" s="53"/>
      <c r="OD94" s="53"/>
      <c r="OE94" s="53"/>
      <c r="OF94" s="53"/>
      <c r="OG94" s="53"/>
      <c r="OH94" s="53"/>
      <c r="OI94" s="53"/>
      <c r="OJ94" s="53"/>
      <c r="OK94" s="53"/>
      <c r="OL94" s="53"/>
      <c r="OM94" s="53"/>
      <c r="ON94" s="53"/>
      <c r="OO94" s="53"/>
      <c r="OP94" s="53"/>
      <c r="OQ94" s="53"/>
      <c r="OR94" s="53"/>
      <c r="OS94" s="53"/>
      <c r="OT94" s="53"/>
      <c r="OU94" s="53"/>
      <c r="OV94" s="53"/>
      <c r="OW94" s="53"/>
      <c r="OX94" s="53"/>
      <c r="OY94" s="53"/>
      <c r="OZ94" s="53"/>
      <c r="PA94" s="53"/>
      <c r="PB94" s="53"/>
      <c r="PC94" s="53"/>
      <c r="PD94" s="53"/>
      <c r="PE94" s="53"/>
      <c r="PF94" s="53"/>
      <c r="PG94" s="53"/>
      <c r="PH94" s="53"/>
      <c r="PI94" s="53"/>
      <c r="PJ94" s="53"/>
      <c r="PK94" s="53"/>
      <c r="PL94" s="53"/>
      <c r="PM94" s="53"/>
      <c r="PN94" s="53"/>
      <c r="PO94" s="53"/>
      <c r="PP94" s="53"/>
      <c r="PQ94" s="53"/>
      <c r="PR94" s="53"/>
      <c r="PS94" s="53"/>
      <c r="PT94" s="53"/>
      <c r="PU94" s="53"/>
      <c r="PV94" s="53"/>
      <c r="PW94" s="53"/>
      <c r="PX94" s="53"/>
      <c r="PY94" s="53"/>
      <c r="PZ94" s="53"/>
      <c r="QA94" s="53"/>
      <c r="QB94" s="53"/>
      <c r="QC94" s="53"/>
      <c r="QD94" s="53"/>
      <c r="QE94" s="53"/>
      <c r="QF94" s="53"/>
      <c r="QG94" s="53"/>
      <c r="QH94" s="53"/>
      <c r="QI94" s="53"/>
      <c r="QJ94" s="53"/>
      <c r="QK94" s="53"/>
      <c r="QL94" s="53"/>
      <c r="QM94" s="53"/>
      <c r="QN94" s="53"/>
      <c r="QO94" s="53"/>
      <c r="QP94" s="53"/>
      <c r="QQ94" s="53"/>
      <c r="QR94" s="53"/>
      <c r="QS94" s="53"/>
      <c r="QT94" s="53"/>
      <c r="QU94" s="53"/>
      <c r="QV94" s="53"/>
      <c r="QW94" s="53"/>
      <c r="QX94" s="53"/>
      <c r="QY94" s="53"/>
      <c r="QZ94" s="53"/>
      <c r="RA94" s="53"/>
      <c r="RB94" s="53"/>
      <c r="RC94" s="53"/>
      <c r="RD94" s="53"/>
      <c r="RE94" s="53"/>
      <c r="RF94" s="53"/>
      <c r="RG94" s="53"/>
      <c r="RH94" s="53"/>
      <c r="RI94" s="53"/>
      <c r="RJ94" s="53"/>
      <c r="RK94" s="53"/>
      <c r="RL94" s="53"/>
      <c r="RM94" s="53"/>
      <c r="RN94" s="53"/>
      <c r="RO94" s="53"/>
      <c r="RP94" s="53"/>
      <c r="RQ94" s="53"/>
      <c r="RR94" s="53"/>
      <c r="RS94" s="53"/>
      <c r="RT94" s="53"/>
      <c r="RU94" s="53"/>
      <c r="RV94" s="53"/>
      <c r="RW94" s="53"/>
      <c r="RX94" s="53"/>
      <c r="RY94" s="53"/>
      <c r="RZ94" s="53"/>
      <c r="SA94" s="53"/>
      <c r="SB94" s="53"/>
      <c r="SC94" s="53"/>
      <c r="SD94" s="53"/>
      <c r="SE94" s="53"/>
      <c r="SF94" s="53"/>
      <c r="SG94" s="53"/>
      <c r="SH94" s="53"/>
      <c r="SI94" s="53"/>
      <c r="SJ94" s="53"/>
      <c r="SK94" s="53"/>
      <c r="SL94" s="53"/>
      <c r="SM94" s="53"/>
      <c r="SN94" s="53"/>
      <c r="SO94" s="53"/>
      <c r="SP94" s="53"/>
      <c r="SQ94" s="53"/>
      <c r="SR94" s="53"/>
      <c r="SS94" s="53"/>
      <c r="ST94" s="53"/>
      <c r="SU94" s="53"/>
      <c r="SV94" s="53"/>
      <c r="SW94" s="53"/>
      <c r="SX94" s="53"/>
      <c r="SY94" s="53"/>
      <c r="SZ94" s="53"/>
      <c r="TA94" s="53"/>
      <c r="TB94" s="53"/>
      <c r="TC94" s="53"/>
      <c r="TD94" s="53"/>
      <c r="TE94" s="53"/>
      <c r="TF94" s="53"/>
      <c r="TG94" s="53"/>
      <c r="TH94" s="53"/>
      <c r="TI94" s="53"/>
      <c r="TJ94" s="53"/>
      <c r="TK94" s="53"/>
      <c r="TL94" s="53"/>
      <c r="TM94" s="53"/>
      <c r="TN94" s="53"/>
      <c r="TO94" s="53"/>
      <c r="TP94" s="53"/>
      <c r="TQ94" s="53"/>
      <c r="TR94" s="53"/>
      <c r="TS94" s="53"/>
      <c r="TT94" s="53"/>
      <c r="TU94" s="53"/>
      <c r="TV94" s="53"/>
      <c r="TW94" s="53"/>
      <c r="TX94" s="53"/>
      <c r="TY94" s="53"/>
      <c r="TZ94" s="53"/>
      <c r="UA94" s="53"/>
      <c r="UB94" s="53"/>
      <c r="UC94" s="53"/>
      <c r="UD94" s="53"/>
      <c r="UE94" s="53"/>
      <c r="UF94" s="53"/>
      <c r="UG94" s="53"/>
      <c r="UH94" s="53"/>
      <c r="UI94" s="53"/>
      <c r="UJ94" s="53"/>
      <c r="UK94" s="53"/>
      <c r="UL94" s="53"/>
      <c r="UM94" s="53"/>
      <c r="UN94" s="53"/>
      <c r="UO94" s="53"/>
      <c r="UP94" s="53"/>
      <c r="UQ94" s="53"/>
      <c r="UR94" s="53"/>
      <c r="US94" s="53"/>
      <c r="UT94" s="53"/>
      <c r="UU94" s="53"/>
      <c r="UV94" s="53"/>
      <c r="UW94" s="53"/>
      <c r="UX94" s="53"/>
      <c r="UY94" s="53"/>
      <c r="UZ94" s="53"/>
      <c r="VA94" s="53"/>
      <c r="VB94" s="53"/>
      <c r="VC94" s="53"/>
      <c r="VD94" s="53"/>
      <c r="VE94" s="53"/>
      <c r="VF94" s="53"/>
      <c r="VG94" s="53"/>
      <c r="VH94" s="53"/>
      <c r="VI94" s="53"/>
      <c r="VJ94" s="53"/>
      <c r="VK94" s="53"/>
      <c r="VL94" s="53"/>
    </row>
    <row r="95" spans="1:584" s="47" customFormat="1" ht="39.75" hidden="1" customHeight="1" x14ac:dyDescent="0.25">
      <c r="A95" s="45" t="s">
        <v>480</v>
      </c>
      <c r="B95" s="91" t="str">
        <f>'дод 3'!A47</f>
        <v>2113</v>
      </c>
      <c r="C95" s="91" t="str">
        <f>'дод 3'!B47</f>
        <v>0721</v>
      </c>
      <c r="D95" s="48" t="str">
        <f>'дод 3'!C47</f>
        <v>Первинна медична допомога населенню, що надається амбулаторно-поліклінічними закладами (відділеннями)</v>
      </c>
      <c r="E95" s="115">
        <v>0</v>
      </c>
      <c r="F95" s="117"/>
      <c r="G95" s="117"/>
      <c r="H95" s="115"/>
      <c r="I95" s="117"/>
      <c r="J95" s="117"/>
      <c r="K95" s="164" t="e">
        <f t="shared" si="17"/>
        <v>#DIV/0!</v>
      </c>
      <c r="L95" s="115">
        <f t="shared" si="16"/>
        <v>0</v>
      </c>
      <c r="M95" s="115"/>
      <c r="N95" s="115"/>
      <c r="O95" s="115"/>
      <c r="P95" s="115"/>
      <c r="Q95" s="115"/>
      <c r="R95" s="115">
        <f t="shared" si="19"/>
        <v>0</v>
      </c>
      <c r="S95" s="115"/>
      <c r="T95" s="115"/>
      <c r="U95" s="115"/>
      <c r="V95" s="115"/>
      <c r="W95" s="115"/>
      <c r="X95" s="149" t="e">
        <f t="shared" si="18"/>
        <v>#DIV/0!</v>
      </c>
      <c r="Y95" s="115">
        <f t="shared" si="27"/>
        <v>0</v>
      </c>
      <c r="Z95" s="187"/>
      <c r="AA95" s="53"/>
      <c r="AB95" s="53"/>
      <c r="AC95" s="53"/>
      <c r="AD95" s="53"/>
      <c r="AE95" s="79"/>
      <c r="AF95" s="79"/>
      <c r="AG95" s="79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/>
      <c r="IV95" s="53"/>
      <c r="IW95" s="53"/>
      <c r="IX95" s="53"/>
      <c r="IY95" s="53"/>
      <c r="IZ95" s="53"/>
      <c r="JA95" s="53"/>
      <c r="JB95" s="53"/>
      <c r="JC95" s="53"/>
      <c r="JD95" s="53"/>
      <c r="JE95" s="53"/>
      <c r="JF95" s="53"/>
      <c r="JG95" s="53"/>
      <c r="JH95" s="53"/>
      <c r="JI95" s="53"/>
      <c r="JJ95" s="53"/>
      <c r="JK95" s="53"/>
      <c r="JL95" s="53"/>
      <c r="JM95" s="53"/>
      <c r="JN95" s="53"/>
      <c r="JO95" s="53"/>
      <c r="JP95" s="53"/>
      <c r="JQ95" s="53"/>
      <c r="JR95" s="53"/>
      <c r="JS95" s="53"/>
      <c r="JT95" s="53"/>
      <c r="JU95" s="53"/>
      <c r="JV95" s="53"/>
      <c r="JW95" s="53"/>
      <c r="JX95" s="53"/>
      <c r="JY95" s="53"/>
      <c r="JZ95" s="53"/>
      <c r="KA95" s="53"/>
      <c r="KB95" s="53"/>
      <c r="KC95" s="53"/>
      <c r="KD95" s="53"/>
      <c r="KE95" s="53"/>
      <c r="KF95" s="53"/>
      <c r="KG95" s="53"/>
      <c r="KH95" s="53"/>
      <c r="KI95" s="53"/>
      <c r="KJ95" s="53"/>
      <c r="KK95" s="53"/>
      <c r="KL95" s="53"/>
      <c r="KM95" s="53"/>
      <c r="KN95" s="53"/>
      <c r="KO95" s="53"/>
      <c r="KP95" s="53"/>
      <c r="KQ95" s="53"/>
      <c r="KR95" s="53"/>
      <c r="KS95" s="53"/>
      <c r="KT95" s="53"/>
      <c r="KU95" s="53"/>
      <c r="KV95" s="53"/>
      <c r="KW95" s="53"/>
      <c r="KX95" s="53"/>
      <c r="KY95" s="53"/>
      <c r="KZ95" s="53"/>
      <c r="LA95" s="53"/>
      <c r="LB95" s="53"/>
      <c r="LC95" s="53"/>
      <c r="LD95" s="53"/>
      <c r="LE95" s="53"/>
      <c r="LF95" s="53"/>
      <c r="LG95" s="53"/>
      <c r="LH95" s="53"/>
      <c r="LI95" s="53"/>
      <c r="LJ95" s="53"/>
      <c r="LK95" s="53"/>
      <c r="LL95" s="53"/>
      <c r="LM95" s="53"/>
      <c r="LN95" s="53"/>
      <c r="LO95" s="53"/>
      <c r="LP95" s="53"/>
      <c r="LQ95" s="53"/>
      <c r="LR95" s="53"/>
      <c r="LS95" s="53"/>
      <c r="LT95" s="53"/>
      <c r="LU95" s="53"/>
      <c r="LV95" s="53"/>
      <c r="LW95" s="53"/>
      <c r="LX95" s="53"/>
      <c r="LY95" s="53"/>
      <c r="LZ95" s="53"/>
      <c r="MA95" s="53"/>
      <c r="MB95" s="53"/>
      <c r="MC95" s="53"/>
      <c r="MD95" s="53"/>
      <c r="ME95" s="53"/>
      <c r="MF95" s="53"/>
      <c r="MG95" s="53"/>
      <c r="MH95" s="53"/>
      <c r="MI95" s="53"/>
      <c r="MJ95" s="53"/>
      <c r="MK95" s="53"/>
      <c r="ML95" s="53"/>
      <c r="MM95" s="53"/>
      <c r="MN95" s="53"/>
      <c r="MO95" s="53"/>
      <c r="MP95" s="53"/>
      <c r="MQ95" s="53"/>
      <c r="MR95" s="53"/>
      <c r="MS95" s="53"/>
      <c r="MT95" s="53"/>
      <c r="MU95" s="53"/>
      <c r="MV95" s="53"/>
      <c r="MW95" s="53"/>
      <c r="MX95" s="53"/>
      <c r="MY95" s="53"/>
      <c r="MZ95" s="53"/>
      <c r="NA95" s="53"/>
      <c r="NB95" s="53"/>
      <c r="NC95" s="53"/>
      <c r="ND95" s="53"/>
      <c r="NE95" s="53"/>
      <c r="NF95" s="53"/>
      <c r="NG95" s="53"/>
      <c r="NH95" s="53"/>
      <c r="NI95" s="53"/>
      <c r="NJ95" s="53"/>
      <c r="NK95" s="53"/>
      <c r="NL95" s="53"/>
      <c r="NM95" s="53"/>
      <c r="NN95" s="53"/>
      <c r="NO95" s="53"/>
      <c r="NP95" s="53"/>
      <c r="NQ95" s="53"/>
      <c r="NR95" s="53"/>
      <c r="NS95" s="53"/>
      <c r="NT95" s="53"/>
      <c r="NU95" s="53"/>
      <c r="NV95" s="53"/>
      <c r="NW95" s="53"/>
      <c r="NX95" s="53"/>
      <c r="NY95" s="53"/>
      <c r="NZ95" s="53"/>
      <c r="OA95" s="53"/>
      <c r="OB95" s="53"/>
      <c r="OC95" s="53"/>
      <c r="OD95" s="53"/>
      <c r="OE95" s="53"/>
      <c r="OF95" s="53"/>
      <c r="OG95" s="53"/>
      <c r="OH95" s="53"/>
      <c r="OI95" s="53"/>
      <c r="OJ95" s="53"/>
      <c r="OK95" s="53"/>
      <c r="OL95" s="53"/>
      <c r="OM95" s="53"/>
      <c r="ON95" s="53"/>
      <c r="OO95" s="53"/>
      <c r="OP95" s="53"/>
      <c r="OQ95" s="53"/>
      <c r="OR95" s="53"/>
      <c r="OS95" s="53"/>
      <c r="OT95" s="53"/>
      <c r="OU95" s="53"/>
      <c r="OV95" s="53"/>
      <c r="OW95" s="53"/>
      <c r="OX95" s="53"/>
      <c r="OY95" s="53"/>
      <c r="OZ95" s="53"/>
      <c r="PA95" s="53"/>
      <c r="PB95" s="53"/>
      <c r="PC95" s="53"/>
      <c r="PD95" s="53"/>
      <c r="PE95" s="53"/>
      <c r="PF95" s="53"/>
      <c r="PG95" s="53"/>
      <c r="PH95" s="53"/>
      <c r="PI95" s="53"/>
      <c r="PJ95" s="53"/>
      <c r="PK95" s="53"/>
      <c r="PL95" s="53"/>
      <c r="PM95" s="53"/>
      <c r="PN95" s="53"/>
      <c r="PO95" s="53"/>
      <c r="PP95" s="53"/>
      <c r="PQ95" s="53"/>
      <c r="PR95" s="53"/>
      <c r="PS95" s="53"/>
      <c r="PT95" s="53"/>
      <c r="PU95" s="53"/>
      <c r="PV95" s="53"/>
      <c r="PW95" s="53"/>
      <c r="PX95" s="53"/>
      <c r="PY95" s="53"/>
      <c r="PZ95" s="53"/>
      <c r="QA95" s="53"/>
      <c r="QB95" s="53"/>
      <c r="QC95" s="53"/>
      <c r="QD95" s="53"/>
      <c r="QE95" s="53"/>
      <c r="QF95" s="53"/>
      <c r="QG95" s="53"/>
      <c r="QH95" s="53"/>
      <c r="QI95" s="53"/>
      <c r="QJ95" s="53"/>
      <c r="QK95" s="53"/>
      <c r="QL95" s="53"/>
      <c r="QM95" s="53"/>
      <c r="QN95" s="53"/>
      <c r="QO95" s="53"/>
      <c r="QP95" s="53"/>
      <c r="QQ95" s="53"/>
      <c r="QR95" s="53"/>
      <c r="QS95" s="53"/>
      <c r="QT95" s="53"/>
      <c r="QU95" s="53"/>
      <c r="QV95" s="53"/>
      <c r="QW95" s="53"/>
      <c r="QX95" s="53"/>
      <c r="QY95" s="53"/>
      <c r="QZ95" s="53"/>
      <c r="RA95" s="53"/>
      <c r="RB95" s="53"/>
      <c r="RC95" s="53"/>
      <c r="RD95" s="53"/>
      <c r="RE95" s="53"/>
      <c r="RF95" s="53"/>
      <c r="RG95" s="53"/>
      <c r="RH95" s="53"/>
      <c r="RI95" s="53"/>
      <c r="RJ95" s="53"/>
      <c r="RK95" s="53"/>
      <c r="RL95" s="53"/>
      <c r="RM95" s="53"/>
      <c r="RN95" s="53"/>
      <c r="RO95" s="53"/>
      <c r="RP95" s="53"/>
      <c r="RQ95" s="53"/>
      <c r="RR95" s="53"/>
      <c r="RS95" s="53"/>
      <c r="RT95" s="53"/>
      <c r="RU95" s="53"/>
      <c r="RV95" s="53"/>
      <c r="RW95" s="53"/>
      <c r="RX95" s="53"/>
      <c r="RY95" s="53"/>
      <c r="RZ95" s="53"/>
      <c r="SA95" s="53"/>
      <c r="SB95" s="53"/>
      <c r="SC95" s="53"/>
      <c r="SD95" s="53"/>
      <c r="SE95" s="53"/>
      <c r="SF95" s="53"/>
      <c r="SG95" s="53"/>
      <c r="SH95" s="53"/>
      <c r="SI95" s="53"/>
      <c r="SJ95" s="53"/>
      <c r="SK95" s="53"/>
      <c r="SL95" s="53"/>
      <c r="SM95" s="53"/>
      <c r="SN95" s="53"/>
      <c r="SO95" s="53"/>
      <c r="SP95" s="53"/>
      <c r="SQ95" s="53"/>
      <c r="SR95" s="53"/>
      <c r="SS95" s="53"/>
      <c r="ST95" s="53"/>
      <c r="SU95" s="53"/>
      <c r="SV95" s="53"/>
      <c r="SW95" s="53"/>
      <c r="SX95" s="53"/>
      <c r="SY95" s="53"/>
      <c r="SZ95" s="53"/>
      <c r="TA95" s="53"/>
      <c r="TB95" s="53"/>
      <c r="TC95" s="53"/>
      <c r="TD95" s="53"/>
      <c r="TE95" s="53"/>
      <c r="TF95" s="53"/>
      <c r="TG95" s="53"/>
      <c r="TH95" s="53"/>
      <c r="TI95" s="53"/>
      <c r="TJ95" s="53"/>
      <c r="TK95" s="53"/>
      <c r="TL95" s="53"/>
      <c r="TM95" s="53"/>
      <c r="TN95" s="53"/>
      <c r="TO95" s="53"/>
      <c r="TP95" s="53"/>
      <c r="TQ95" s="53"/>
      <c r="TR95" s="53"/>
      <c r="TS95" s="53"/>
      <c r="TT95" s="53"/>
      <c r="TU95" s="53"/>
      <c r="TV95" s="53"/>
      <c r="TW95" s="53"/>
      <c r="TX95" s="53"/>
      <c r="TY95" s="53"/>
      <c r="TZ95" s="53"/>
      <c r="UA95" s="53"/>
      <c r="UB95" s="53"/>
      <c r="UC95" s="53"/>
      <c r="UD95" s="53"/>
      <c r="UE95" s="53"/>
      <c r="UF95" s="53"/>
      <c r="UG95" s="53"/>
      <c r="UH95" s="53"/>
      <c r="UI95" s="53"/>
      <c r="UJ95" s="53"/>
      <c r="UK95" s="53"/>
      <c r="UL95" s="53"/>
      <c r="UM95" s="53"/>
      <c r="UN95" s="53"/>
      <c r="UO95" s="53"/>
      <c r="UP95" s="53"/>
      <c r="UQ95" s="53"/>
      <c r="UR95" s="53"/>
      <c r="US95" s="53"/>
      <c r="UT95" s="53"/>
      <c r="UU95" s="53"/>
      <c r="UV95" s="53"/>
      <c r="UW95" s="53"/>
      <c r="UX95" s="53"/>
      <c r="UY95" s="53"/>
      <c r="UZ95" s="53"/>
      <c r="VA95" s="53"/>
      <c r="VB95" s="53"/>
      <c r="VC95" s="53"/>
      <c r="VD95" s="53"/>
      <c r="VE95" s="53"/>
      <c r="VF95" s="53"/>
      <c r="VG95" s="53"/>
      <c r="VH95" s="53"/>
      <c r="VI95" s="53"/>
      <c r="VJ95" s="53"/>
      <c r="VK95" s="53"/>
      <c r="VL95" s="53"/>
    </row>
    <row r="96" spans="1:584" s="47" customFormat="1" ht="15" hidden="1" customHeight="1" x14ac:dyDescent="0.25">
      <c r="A96" s="45"/>
      <c r="B96" s="91"/>
      <c r="C96" s="91"/>
      <c r="D96" s="46" t="s">
        <v>342</v>
      </c>
      <c r="E96" s="115">
        <v>0</v>
      </c>
      <c r="F96" s="117"/>
      <c r="G96" s="117"/>
      <c r="H96" s="115"/>
      <c r="I96" s="117"/>
      <c r="J96" s="117"/>
      <c r="K96" s="164" t="e">
        <f t="shared" si="17"/>
        <v>#DIV/0!</v>
      </c>
      <c r="L96" s="115">
        <f t="shared" si="16"/>
        <v>0</v>
      </c>
      <c r="M96" s="115"/>
      <c r="N96" s="115"/>
      <c r="O96" s="115"/>
      <c r="P96" s="115"/>
      <c r="Q96" s="115"/>
      <c r="R96" s="115">
        <f t="shared" si="19"/>
        <v>0</v>
      </c>
      <c r="S96" s="115"/>
      <c r="T96" s="115"/>
      <c r="U96" s="115"/>
      <c r="V96" s="115"/>
      <c r="W96" s="115"/>
      <c r="X96" s="149" t="e">
        <f t="shared" si="18"/>
        <v>#DIV/0!</v>
      </c>
      <c r="Y96" s="115">
        <f t="shared" si="27"/>
        <v>0</v>
      </c>
      <c r="Z96" s="187"/>
      <c r="AA96" s="53"/>
      <c r="AB96" s="53"/>
      <c r="AC96" s="53"/>
      <c r="AD96" s="53"/>
      <c r="AE96" s="79"/>
      <c r="AF96" s="79"/>
      <c r="AG96" s="79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  <c r="IW96" s="53"/>
      <c r="IX96" s="53"/>
      <c r="IY96" s="53"/>
      <c r="IZ96" s="53"/>
      <c r="JA96" s="53"/>
      <c r="JB96" s="53"/>
      <c r="JC96" s="53"/>
      <c r="JD96" s="53"/>
      <c r="JE96" s="53"/>
      <c r="JF96" s="53"/>
      <c r="JG96" s="53"/>
      <c r="JH96" s="53"/>
      <c r="JI96" s="53"/>
      <c r="JJ96" s="53"/>
      <c r="JK96" s="53"/>
      <c r="JL96" s="53"/>
      <c r="JM96" s="53"/>
      <c r="JN96" s="53"/>
      <c r="JO96" s="53"/>
      <c r="JP96" s="53"/>
      <c r="JQ96" s="53"/>
      <c r="JR96" s="53"/>
      <c r="JS96" s="53"/>
      <c r="JT96" s="53"/>
      <c r="JU96" s="53"/>
      <c r="JV96" s="53"/>
      <c r="JW96" s="53"/>
      <c r="JX96" s="53"/>
      <c r="JY96" s="53"/>
      <c r="JZ96" s="53"/>
      <c r="KA96" s="53"/>
      <c r="KB96" s="53"/>
      <c r="KC96" s="53"/>
      <c r="KD96" s="53"/>
      <c r="KE96" s="53"/>
      <c r="KF96" s="53"/>
      <c r="KG96" s="53"/>
      <c r="KH96" s="53"/>
      <c r="KI96" s="53"/>
      <c r="KJ96" s="53"/>
      <c r="KK96" s="53"/>
      <c r="KL96" s="53"/>
      <c r="KM96" s="53"/>
      <c r="KN96" s="53"/>
      <c r="KO96" s="53"/>
      <c r="KP96" s="53"/>
      <c r="KQ96" s="53"/>
      <c r="KR96" s="53"/>
      <c r="KS96" s="53"/>
      <c r="KT96" s="53"/>
      <c r="KU96" s="53"/>
      <c r="KV96" s="53"/>
      <c r="KW96" s="53"/>
      <c r="KX96" s="53"/>
      <c r="KY96" s="53"/>
      <c r="KZ96" s="53"/>
      <c r="LA96" s="53"/>
      <c r="LB96" s="53"/>
      <c r="LC96" s="53"/>
      <c r="LD96" s="53"/>
      <c r="LE96" s="53"/>
      <c r="LF96" s="53"/>
      <c r="LG96" s="53"/>
      <c r="LH96" s="53"/>
      <c r="LI96" s="53"/>
      <c r="LJ96" s="53"/>
      <c r="LK96" s="53"/>
      <c r="LL96" s="53"/>
      <c r="LM96" s="53"/>
      <c r="LN96" s="53"/>
      <c r="LO96" s="53"/>
      <c r="LP96" s="53"/>
      <c r="LQ96" s="53"/>
      <c r="LR96" s="53"/>
      <c r="LS96" s="53"/>
      <c r="LT96" s="53"/>
      <c r="LU96" s="53"/>
      <c r="LV96" s="53"/>
      <c r="LW96" s="53"/>
      <c r="LX96" s="53"/>
      <c r="LY96" s="53"/>
      <c r="LZ96" s="53"/>
      <c r="MA96" s="53"/>
      <c r="MB96" s="53"/>
      <c r="MC96" s="53"/>
      <c r="MD96" s="53"/>
      <c r="ME96" s="53"/>
      <c r="MF96" s="53"/>
      <c r="MG96" s="53"/>
      <c r="MH96" s="53"/>
      <c r="MI96" s="53"/>
      <c r="MJ96" s="53"/>
      <c r="MK96" s="53"/>
      <c r="ML96" s="53"/>
      <c r="MM96" s="53"/>
      <c r="MN96" s="53"/>
      <c r="MO96" s="53"/>
      <c r="MP96" s="53"/>
      <c r="MQ96" s="53"/>
      <c r="MR96" s="53"/>
      <c r="MS96" s="53"/>
      <c r="MT96" s="53"/>
      <c r="MU96" s="53"/>
      <c r="MV96" s="53"/>
      <c r="MW96" s="53"/>
      <c r="MX96" s="53"/>
      <c r="MY96" s="53"/>
      <c r="MZ96" s="53"/>
      <c r="NA96" s="53"/>
      <c r="NB96" s="53"/>
      <c r="NC96" s="53"/>
      <c r="ND96" s="53"/>
      <c r="NE96" s="53"/>
      <c r="NF96" s="53"/>
      <c r="NG96" s="53"/>
      <c r="NH96" s="53"/>
      <c r="NI96" s="53"/>
      <c r="NJ96" s="53"/>
      <c r="NK96" s="53"/>
      <c r="NL96" s="53"/>
      <c r="NM96" s="53"/>
      <c r="NN96" s="53"/>
      <c r="NO96" s="53"/>
      <c r="NP96" s="53"/>
      <c r="NQ96" s="53"/>
      <c r="NR96" s="53"/>
      <c r="NS96" s="53"/>
      <c r="NT96" s="53"/>
      <c r="NU96" s="53"/>
      <c r="NV96" s="53"/>
      <c r="NW96" s="53"/>
      <c r="NX96" s="53"/>
      <c r="NY96" s="53"/>
      <c r="NZ96" s="53"/>
      <c r="OA96" s="53"/>
      <c r="OB96" s="53"/>
      <c r="OC96" s="53"/>
      <c r="OD96" s="53"/>
      <c r="OE96" s="53"/>
      <c r="OF96" s="53"/>
      <c r="OG96" s="53"/>
      <c r="OH96" s="53"/>
      <c r="OI96" s="53"/>
      <c r="OJ96" s="53"/>
      <c r="OK96" s="53"/>
      <c r="OL96" s="53"/>
      <c r="OM96" s="53"/>
      <c r="ON96" s="53"/>
      <c r="OO96" s="53"/>
      <c r="OP96" s="53"/>
      <c r="OQ96" s="53"/>
      <c r="OR96" s="53"/>
      <c r="OS96" s="53"/>
      <c r="OT96" s="53"/>
      <c r="OU96" s="53"/>
      <c r="OV96" s="53"/>
      <c r="OW96" s="53"/>
      <c r="OX96" s="53"/>
      <c r="OY96" s="53"/>
      <c r="OZ96" s="53"/>
      <c r="PA96" s="53"/>
      <c r="PB96" s="53"/>
      <c r="PC96" s="53"/>
      <c r="PD96" s="53"/>
      <c r="PE96" s="53"/>
      <c r="PF96" s="53"/>
      <c r="PG96" s="53"/>
      <c r="PH96" s="53"/>
      <c r="PI96" s="53"/>
      <c r="PJ96" s="53"/>
      <c r="PK96" s="53"/>
      <c r="PL96" s="53"/>
      <c r="PM96" s="53"/>
      <c r="PN96" s="53"/>
      <c r="PO96" s="53"/>
      <c r="PP96" s="53"/>
      <c r="PQ96" s="53"/>
      <c r="PR96" s="53"/>
      <c r="PS96" s="53"/>
      <c r="PT96" s="53"/>
      <c r="PU96" s="53"/>
      <c r="PV96" s="53"/>
      <c r="PW96" s="53"/>
      <c r="PX96" s="53"/>
      <c r="PY96" s="53"/>
      <c r="PZ96" s="53"/>
      <c r="QA96" s="53"/>
      <c r="QB96" s="53"/>
      <c r="QC96" s="53"/>
      <c r="QD96" s="53"/>
      <c r="QE96" s="53"/>
      <c r="QF96" s="53"/>
      <c r="QG96" s="53"/>
      <c r="QH96" s="53"/>
      <c r="QI96" s="53"/>
      <c r="QJ96" s="53"/>
      <c r="QK96" s="53"/>
      <c r="QL96" s="53"/>
      <c r="QM96" s="53"/>
      <c r="QN96" s="53"/>
      <c r="QO96" s="53"/>
      <c r="QP96" s="53"/>
      <c r="QQ96" s="53"/>
      <c r="QR96" s="53"/>
      <c r="QS96" s="53"/>
      <c r="QT96" s="53"/>
      <c r="QU96" s="53"/>
      <c r="QV96" s="53"/>
      <c r="QW96" s="53"/>
      <c r="QX96" s="53"/>
      <c r="QY96" s="53"/>
      <c r="QZ96" s="53"/>
      <c r="RA96" s="53"/>
      <c r="RB96" s="53"/>
      <c r="RC96" s="53"/>
      <c r="RD96" s="53"/>
      <c r="RE96" s="53"/>
      <c r="RF96" s="53"/>
      <c r="RG96" s="53"/>
      <c r="RH96" s="53"/>
      <c r="RI96" s="53"/>
      <c r="RJ96" s="53"/>
      <c r="RK96" s="53"/>
      <c r="RL96" s="53"/>
      <c r="RM96" s="53"/>
      <c r="RN96" s="53"/>
      <c r="RO96" s="53"/>
      <c r="RP96" s="53"/>
      <c r="RQ96" s="53"/>
      <c r="RR96" s="53"/>
      <c r="RS96" s="53"/>
      <c r="RT96" s="53"/>
      <c r="RU96" s="53"/>
      <c r="RV96" s="53"/>
      <c r="RW96" s="53"/>
      <c r="RX96" s="53"/>
      <c r="RY96" s="53"/>
      <c r="RZ96" s="53"/>
      <c r="SA96" s="53"/>
      <c r="SB96" s="53"/>
      <c r="SC96" s="53"/>
      <c r="SD96" s="53"/>
      <c r="SE96" s="53"/>
      <c r="SF96" s="53"/>
      <c r="SG96" s="53"/>
      <c r="SH96" s="53"/>
      <c r="SI96" s="53"/>
      <c r="SJ96" s="53"/>
      <c r="SK96" s="53"/>
      <c r="SL96" s="53"/>
      <c r="SM96" s="53"/>
      <c r="SN96" s="53"/>
      <c r="SO96" s="53"/>
      <c r="SP96" s="53"/>
      <c r="SQ96" s="53"/>
      <c r="SR96" s="53"/>
      <c r="SS96" s="53"/>
      <c r="ST96" s="53"/>
      <c r="SU96" s="53"/>
      <c r="SV96" s="53"/>
      <c r="SW96" s="53"/>
      <c r="SX96" s="53"/>
      <c r="SY96" s="53"/>
      <c r="SZ96" s="53"/>
      <c r="TA96" s="53"/>
      <c r="TB96" s="53"/>
      <c r="TC96" s="53"/>
      <c r="TD96" s="53"/>
      <c r="TE96" s="53"/>
      <c r="TF96" s="53"/>
      <c r="TG96" s="53"/>
      <c r="TH96" s="53"/>
      <c r="TI96" s="53"/>
      <c r="TJ96" s="53"/>
      <c r="TK96" s="53"/>
      <c r="TL96" s="53"/>
      <c r="TM96" s="53"/>
      <c r="TN96" s="53"/>
      <c r="TO96" s="53"/>
      <c r="TP96" s="53"/>
      <c r="TQ96" s="53"/>
      <c r="TR96" s="53"/>
      <c r="TS96" s="53"/>
      <c r="TT96" s="53"/>
      <c r="TU96" s="53"/>
      <c r="TV96" s="53"/>
      <c r="TW96" s="53"/>
      <c r="TX96" s="53"/>
      <c r="TY96" s="53"/>
      <c r="TZ96" s="53"/>
      <c r="UA96" s="53"/>
      <c r="UB96" s="53"/>
      <c r="UC96" s="53"/>
      <c r="UD96" s="53"/>
      <c r="UE96" s="53"/>
      <c r="UF96" s="53"/>
      <c r="UG96" s="53"/>
      <c r="UH96" s="53"/>
      <c r="UI96" s="53"/>
      <c r="UJ96" s="53"/>
      <c r="UK96" s="53"/>
      <c r="UL96" s="53"/>
      <c r="UM96" s="53"/>
      <c r="UN96" s="53"/>
      <c r="UO96" s="53"/>
      <c r="UP96" s="53"/>
      <c r="UQ96" s="53"/>
      <c r="UR96" s="53"/>
      <c r="US96" s="53"/>
      <c r="UT96" s="53"/>
      <c r="UU96" s="53"/>
      <c r="UV96" s="53"/>
      <c r="UW96" s="53"/>
      <c r="UX96" s="53"/>
      <c r="UY96" s="53"/>
      <c r="UZ96" s="53"/>
      <c r="VA96" s="53"/>
      <c r="VB96" s="53"/>
      <c r="VC96" s="53"/>
      <c r="VD96" s="53"/>
      <c r="VE96" s="53"/>
      <c r="VF96" s="53"/>
      <c r="VG96" s="53"/>
      <c r="VH96" s="53"/>
      <c r="VI96" s="53"/>
      <c r="VJ96" s="53"/>
      <c r="VK96" s="53"/>
      <c r="VL96" s="53"/>
    </row>
    <row r="97" spans="1:584" s="47" customFormat="1" ht="32.25" customHeight="1" x14ac:dyDescent="0.25">
      <c r="A97" s="45" t="s">
        <v>235</v>
      </c>
      <c r="B97" s="91">
        <f>'дод 3'!A49</f>
        <v>2144</v>
      </c>
      <c r="C97" s="91" t="str">
        <f>'дод 3'!B49</f>
        <v>0763</v>
      </c>
      <c r="D97" s="51" t="str">
        <f>'дод 3'!C49</f>
        <v>Централізовані заходи з лікування хворих на цукровий та нецукровий діабет</v>
      </c>
      <c r="E97" s="115">
        <v>9985500</v>
      </c>
      <c r="F97" s="117"/>
      <c r="G97" s="117"/>
      <c r="H97" s="115">
        <v>9985496.8699999992</v>
      </c>
      <c r="I97" s="117"/>
      <c r="J97" s="117"/>
      <c r="K97" s="164">
        <f t="shared" si="17"/>
        <v>99.999968654549093</v>
      </c>
      <c r="L97" s="115">
        <f t="shared" si="16"/>
        <v>0</v>
      </c>
      <c r="M97" s="115"/>
      <c r="N97" s="115"/>
      <c r="O97" s="115"/>
      <c r="P97" s="115"/>
      <c r="Q97" s="115"/>
      <c r="R97" s="115">
        <f t="shared" si="19"/>
        <v>0</v>
      </c>
      <c r="S97" s="115"/>
      <c r="T97" s="115"/>
      <c r="U97" s="115"/>
      <c r="V97" s="115"/>
      <c r="W97" s="115"/>
      <c r="X97" s="149"/>
      <c r="Y97" s="115">
        <f t="shared" si="27"/>
        <v>9985496.8699999992</v>
      </c>
      <c r="Z97" s="187"/>
      <c r="AA97" s="53"/>
      <c r="AB97" s="53"/>
      <c r="AC97" s="53"/>
      <c r="AD97" s="53"/>
      <c r="AE97" s="79"/>
      <c r="AF97" s="79"/>
      <c r="AG97" s="79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  <c r="IV97" s="53"/>
      <c r="IW97" s="53"/>
      <c r="IX97" s="53"/>
      <c r="IY97" s="53"/>
      <c r="IZ97" s="53"/>
      <c r="JA97" s="53"/>
      <c r="JB97" s="53"/>
      <c r="JC97" s="53"/>
      <c r="JD97" s="53"/>
      <c r="JE97" s="53"/>
      <c r="JF97" s="53"/>
      <c r="JG97" s="53"/>
      <c r="JH97" s="53"/>
      <c r="JI97" s="53"/>
      <c r="JJ97" s="53"/>
      <c r="JK97" s="53"/>
      <c r="JL97" s="53"/>
      <c r="JM97" s="53"/>
      <c r="JN97" s="53"/>
      <c r="JO97" s="53"/>
      <c r="JP97" s="53"/>
      <c r="JQ97" s="53"/>
      <c r="JR97" s="53"/>
      <c r="JS97" s="53"/>
      <c r="JT97" s="53"/>
      <c r="JU97" s="53"/>
      <c r="JV97" s="53"/>
      <c r="JW97" s="53"/>
      <c r="JX97" s="53"/>
      <c r="JY97" s="53"/>
      <c r="JZ97" s="53"/>
      <c r="KA97" s="53"/>
      <c r="KB97" s="53"/>
      <c r="KC97" s="53"/>
      <c r="KD97" s="53"/>
      <c r="KE97" s="53"/>
      <c r="KF97" s="53"/>
      <c r="KG97" s="53"/>
      <c r="KH97" s="53"/>
      <c r="KI97" s="53"/>
      <c r="KJ97" s="53"/>
      <c r="KK97" s="53"/>
      <c r="KL97" s="53"/>
      <c r="KM97" s="53"/>
      <c r="KN97" s="53"/>
      <c r="KO97" s="53"/>
      <c r="KP97" s="53"/>
      <c r="KQ97" s="53"/>
      <c r="KR97" s="53"/>
      <c r="KS97" s="53"/>
      <c r="KT97" s="53"/>
      <c r="KU97" s="53"/>
      <c r="KV97" s="53"/>
      <c r="KW97" s="53"/>
      <c r="KX97" s="53"/>
      <c r="KY97" s="53"/>
      <c r="KZ97" s="53"/>
      <c r="LA97" s="53"/>
      <c r="LB97" s="53"/>
      <c r="LC97" s="53"/>
      <c r="LD97" s="53"/>
      <c r="LE97" s="53"/>
      <c r="LF97" s="53"/>
      <c r="LG97" s="53"/>
      <c r="LH97" s="53"/>
      <c r="LI97" s="53"/>
      <c r="LJ97" s="53"/>
      <c r="LK97" s="53"/>
      <c r="LL97" s="53"/>
      <c r="LM97" s="53"/>
      <c r="LN97" s="53"/>
      <c r="LO97" s="53"/>
      <c r="LP97" s="53"/>
      <c r="LQ97" s="53"/>
      <c r="LR97" s="53"/>
      <c r="LS97" s="53"/>
      <c r="LT97" s="53"/>
      <c r="LU97" s="53"/>
      <c r="LV97" s="53"/>
      <c r="LW97" s="53"/>
      <c r="LX97" s="53"/>
      <c r="LY97" s="53"/>
      <c r="LZ97" s="53"/>
      <c r="MA97" s="53"/>
      <c r="MB97" s="53"/>
      <c r="MC97" s="53"/>
      <c r="MD97" s="53"/>
      <c r="ME97" s="53"/>
      <c r="MF97" s="53"/>
      <c r="MG97" s="53"/>
      <c r="MH97" s="53"/>
      <c r="MI97" s="53"/>
      <c r="MJ97" s="53"/>
      <c r="MK97" s="53"/>
      <c r="ML97" s="53"/>
      <c r="MM97" s="53"/>
      <c r="MN97" s="53"/>
      <c r="MO97" s="53"/>
      <c r="MP97" s="53"/>
      <c r="MQ97" s="53"/>
      <c r="MR97" s="53"/>
      <c r="MS97" s="53"/>
      <c r="MT97" s="53"/>
      <c r="MU97" s="53"/>
      <c r="MV97" s="53"/>
      <c r="MW97" s="53"/>
      <c r="MX97" s="53"/>
      <c r="MY97" s="53"/>
      <c r="MZ97" s="53"/>
      <c r="NA97" s="53"/>
      <c r="NB97" s="53"/>
      <c r="NC97" s="53"/>
      <c r="ND97" s="53"/>
      <c r="NE97" s="53"/>
      <c r="NF97" s="53"/>
      <c r="NG97" s="53"/>
      <c r="NH97" s="53"/>
      <c r="NI97" s="53"/>
      <c r="NJ97" s="53"/>
      <c r="NK97" s="53"/>
      <c r="NL97" s="53"/>
      <c r="NM97" s="53"/>
      <c r="NN97" s="53"/>
      <c r="NO97" s="53"/>
      <c r="NP97" s="53"/>
      <c r="NQ97" s="53"/>
      <c r="NR97" s="53"/>
      <c r="NS97" s="53"/>
      <c r="NT97" s="53"/>
      <c r="NU97" s="53"/>
      <c r="NV97" s="53"/>
      <c r="NW97" s="53"/>
      <c r="NX97" s="53"/>
      <c r="NY97" s="53"/>
      <c r="NZ97" s="53"/>
      <c r="OA97" s="53"/>
      <c r="OB97" s="53"/>
      <c r="OC97" s="53"/>
      <c r="OD97" s="53"/>
      <c r="OE97" s="53"/>
      <c r="OF97" s="53"/>
      <c r="OG97" s="53"/>
      <c r="OH97" s="53"/>
      <c r="OI97" s="53"/>
      <c r="OJ97" s="53"/>
      <c r="OK97" s="53"/>
      <c r="OL97" s="53"/>
      <c r="OM97" s="53"/>
      <c r="ON97" s="53"/>
      <c r="OO97" s="53"/>
      <c r="OP97" s="53"/>
      <c r="OQ97" s="53"/>
      <c r="OR97" s="53"/>
      <c r="OS97" s="53"/>
      <c r="OT97" s="53"/>
      <c r="OU97" s="53"/>
      <c r="OV97" s="53"/>
      <c r="OW97" s="53"/>
      <c r="OX97" s="53"/>
      <c r="OY97" s="53"/>
      <c r="OZ97" s="53"/>
      <c r="PA97" s="53"/>
      <c r="PB97" s="53"/>
      <c r="PC97" s="53"/>
      <c r="PD97" s="53"/>
      <c r="PE97" s="53"/>
      <c r="PF97" s="53"/>
      <c r="PG97" s="53"/>
      <c r="PH97" s="53"/>
      <c r="PI97" s="53"/>
      <c r="PJ97" s="53"/>
      <c r="PK97" s="53"/>
      <c r="PL97" s="53"/>
      <c r="PM97" s="53"/>
      <c r="PN97" s="53"/>
      <c r="PO97" s="53"/>
      <c r="PP97" s="53"/>
      <c r="PQ97" s="53"/>
      <c r="PR97" s="53"/>
      <c r="PS97" s="53"/>
      <c r="PT97" s="53"/>
      <c r="PU97" s="53"/>
      <c r="PV97" s="53"/>
      <c r="PW97" s="53"/>
      <c r="PX97" s="53"/>
      <c r="PY97" s="53"/>
      <c r="PZ97" s="53"/>
      <c r="QA97" s="53"/>
      <c r="QB97" s="53"/>
      <c r="QC97" s="53"/>
      <c r="QD97" s="53"/>
      <c r="QE97" s="53"/>
      <c r="QF97" s="53"/>
      <c r="QG97" s="53"/>
      <c r="QH97" s="53"/>
      <c r="QI97" s="53"/>
      <c r="QJ97" s="53"/>
      <c r="QK97" s="53"/>
      <c r="QL97" s="53"/>
      <c r="QM97" s="53"/>
      <c r="QN97" s="53"/>
      <c r="QO97" s="53"/>
      <c r="QP97" s="53"/>
      <c r="QQ97" s="53"/>
      <c r="QR97" s="53"/>
      <c r="QS97" s="53"/>
      <c r="QT97" s="53"/>
      <c r="QU97" s="53"/>
      <c r="QV97" s="53"/>
      <c r="QW97" s="53"/>
      <c r="QX97" s="53"/>
      <c r="QY97" s="53"/>
      <c r="QZ97" s="53"/>
      <c r="RA97" s="53"/>
      <c r="RB97" s="53"/>
      <c r="RC97" s="53"/>
      <c r="RD97" s="53"/>
      <c r="RE97" s="53"/>
      <c r="RF97" s="53"/>
      <c r="RG97" s="53"/>
      <c r="RH97" s="53"/>
      <c r="RI97" s="53"/>
      <c r="RJ97" s="53"/>
      <c r="RK97" s="53"/>
      <c r="RL97" s="53"/>
      <c r="RM97" s="53"/>
      <c r="RN97" s="53"/>
      <c r="RO97" s="53"/>
      <c r="RP97" s="53"/>
      <c r="RQ97" s="53"/>
      <c r="RR97" s="53"/>
      <c r="RS97" s="53"/>
      <c r="RT97" s="53"/>
      <c r="RU97" s="53"/>
      <c r="RV97" s="53"/>
      <c r="RW97" s="53"/>
      <c r="RX97" s="53"/>
      <c r="RY97" s="53"/>
      <c r="RZ97" s="53"/>
      <c r="SA97" s="53"/>
      <c r="SB97" s="53"/>
      <c r="SC97" s="53"/>
      <c r="SD97" s="53"/>
      <c r="SE97" s="53"/>
      <c r="SF97" s="53"/>
      <c r="SG97" s="53"/>
      <c r="SH97" s="53"/>
      <c r="SI97" s="53"/>
      <c r="SJ97" s="53"/>
      <c r="SK97" s="53"/>
      <c r="SL97" s="53"/>
      <c r="SM97" s="53"/>
      <c r="SN97" s="53"/>
      <c r="SO97" s="53"/>
      <c r="SP97" s="53"/>
      <c r="SQ97" s="53"/>
      <c r="SR97" s="53"/>
      <c r="SS97" s="53"/>
      <c r="ST97" s="53"/>
      <c r="SU97" s="53"/>
      <c r="SV97" s="53"/>
      <c r="SW97" s="53"/>
      <c r="SX97" s="53"/>
      <c r="SY97" s="53"/>
      <c r="SZ97" s="53"/>
      <c r="TA97" s="53"/>
      <c r="TB97" s="53"/>
      <c r="TC97" s="53"/>
      <c r="TD97" s="53"/>
      <c r="TE97" s="53"/>
      <c r="TF97" s="53"/>
      <c r="TG97" s="53"/>
      <c r="TH97" s="53"/>
      <c r="TI97" s="53"/>
      <c r="TJ97" s="53"/>
      <c r="TK97" s="53"/>
      <c r="TL97" s="53"/>
      <c r="TM97" s="53"/>
      <c r="TN97" s="53"/>
      <c r="TO97" s="53"/>
      <c r="TP97" s="53"/>
      <c r="TQ97" s="53"/>
      <c r="TR97" s="53"/>
      <c r="TS97" s="53"/>
      <c r="TT97" s="53"/>
      <c r="TU97" s="53"/>
      <c r="TV97" s="53"/>
      <c r="TW97" s="53"/>
      <c r="TX97" s="53"/>
      <c r="TY97" s="53"/>
      <c r="TZ97" s="53"/>
      <c r="UA97" s="53"/>
      <c r="UB97" s="53"/>
      <c r="UC97" s="53"/>
      <c r="UD97" s="53"/>
      <c r="UE97" s="53"/>
      <c r="UF97" s="53"/>
      <c r="UG97" s="53"/>
      <c r="UH97" s="53"/>
      <c r="UI97" s="53"/>
      <c r="UJ97" s="53"/>
      <c r="UK97" s="53"/>
      <c r="UL97" s="53"/>
      <c r="UM97" s="53"/>
      <c r="UN97" s="53"/>
      <c r="UO97" s="53"/>
      <c r="UP97" s="53"/>
      <c r="UQ97" s="53"/>
      <c r="UR97" s="53"/>
      <c r="US97" s="53"/>
      <c r="UT97" s="53"/>
      <c r="UU97" s="53"/>
      <c r="UV97" s="53"/>
      <c r="UW97" s="53"/>
      <c r="UX97" s="53"/>
      <c r="UY97" s="53"/>
      <c r="UZ97" s="53"/>
      <c r="VA97" s="53"/>
      <c r="VB97" s="53"/>
      <c r="VC97" s="53"/>
      <c r="VD97" s="53"/>
      <c r="VE97" s="53"/>
      <c r="VF97" s="53"/>
      <c r="VG97" s="53"/>
      <c r="VH97" s="53"/>
      <c r="VI97" s="53"/>
      <c r="VJ97" s="53"/>
      <c r="VK97" s="53"/>
      <c r="VL97" s="53"/>
    </row>
    <row r="98" spans="1:584" s="47" customFormat="1" ht="18.75" customHeight="1" x14ac:dyDescent="0.25">
      <c r="A98" s="45"/>
      <c r="B98" s="91"/>
      <c r="C98" s="91"/>
      <c r="D98" s="51" t="str">
        <f>'дод 3'!C50</f>
        <v>у т.ч. за рахунок субвенцій з держбюджету</v>
      </c>
      <c r="E98" s="115">
        <v>4580500</v>
      </c>
      <c r="F98" s="117"/>
      <c r="G98" s="117"/>
      <c r="H98" s="115">
        <v>4580500</v>
      </c>
      <c r="I98" s="117"/>
      <c r="J98" s="117"/>
      <c r="K98" s="164">
        <f t="shared" si="17"/>
        <v>100</v>
      </c>
      <c r="L98" s="115">
        <f t="shared" si="16"/>
        <v>0</v>
      </c>
      <c r="M98" s="115"/>
      <c r="N98" s="115"/>
      <c r="O98" s="115"/>
      <c r="P98" s="115"/>
      <c r="Q98" s="115"/>
      <c r="R98" s="115">
        <f t="shared" si="19"/>
        <v>0</v>
      </c>
      <c r="S98" s="115"/>
      <c r="T98" s="115"/>
      <c r="U98" s="115"/>
      <c r="V98" s="115"/>
      <c r="W98" s="115"/>
      <c r="X98" s="149"/>
      <c r="Y98" s="115">
        <f t="shared" si="27"/>
        <v>4580500</v>
      </c>
      <c r="Z98" s="187"/>
      <c r="AA98" s="53"/>
      <c r="AB98" s="53"/>
      <c r="AC98" s="53"/>
      <c r="AD98" s="53"/>
      <c r="AE98" s="79"/>
      <c r="AF98" s="79"/>
      <c r="AG98" s="79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53"/>
      <c r="IZ98" s="53"/>
      <c r="JA98" s="53"/>
      <c r="JB98" s="53"/>
      <c r="JC98" s="53"/>
      <c r="JD98" s="53"/>
      <c r="JE98" s="53"/>
      <c r="JF98" s="53"/>
      <c r="JG98" s="53"/>
      <c r="JH98" s="53"/>
      <c r="JI98" s="53"/>
      <c r="JJ98" s="53"/>
      <c r="JK98" s="53"/>
      <c r="JL98" s="53"/>
      <c r="JM98" s="53"/>
      <c r="JN98" s="53"/>
      <c r="JO98" s="53"/>
      <c r="JP98" s="53"/>
      <c r="JQ98" s="53"/>
      <c r="JR98" s="53"/>
      <c r="JS98" s="53"/>
      <c r="JT98" s="53"/>
      <c r="JU98" s="53"/>
      <c r="JV98" s="53"/>
      <c r="JW98" s="53"/>
      <c r="JX98" s="53"/>
      <c r="JY98" s="53"/>
      <c r="JZ98" s="53"/>
      <c r="KA98" s="53"/>
      <c r="KB98" s="53"/>
      <c r="KC98" s="53"/>
      <c r="KD98" s="53"/>
      <c r="KE98" s="53"/>
      <c r="KF98" s="53"/>
      <c r="KG98" s="53"/>
      <c r="KH98" s="53"/>
      <c r="KI98" s="53"/>
      <c r="KJ98" s="53"/>
      <c r="KK98" s="53"/>
      <c r="KL98" s="53"/>
      <c r="KM98" s="53"/>
      <c r="KN98" s="53"/>
      <c r="KO98" s="53"/>
      <c r="KP98" s="53"/>
      <c r="KQ98" s="53"/>
      <c r="KR98" s="53"/>
      <c r="KS98" s="53"/>
      <c r="KT98" s="53"/>
      <c r="KU98" s="53"/>
      <c r="KV98" s="53"/>
      <c r="KW98" s="53"/>
      <c r="KX98" s="53"/>
      <c r="KY98" s="53"/>
      <c r="KZ98" s="53"/>
      <c r="LA98" s="53"/>
      <c r="LB98" s="53"/>
      <c r="LC98" s="53"/>
      <c r="LD98" s="53"/>
      <c r="LE98" s="53"/>
      <c r="LF98" s="53"/>
      <c r="LG98" s="53"/>
      <c r="LH98" s="53"/>
      <c r="LI98" s="53"/>
      <c r="LJ98" s="53"/>
      <c r="LK98" s="53"/>
      <c r="LL98" s="53"/>
      <c r="LM98" s="53"/>
      <c r="LN98" s="53"/>
      <c r="LO98" s="53"/>
      <c r="LP98" s="53"/>
      <c r="LQ98" s="53"/>
      <c r="LR98" s="53"/>
      <c r="LS98" s="53"/>
      <c r="LT98" s="53"/>
      <c r="LU98" s="53"/>
      <c r="LV98" s="53"/>
      <c r="LW98" s="53"/>
      <c r="LX98" s="53"/>
      <c r="LY98" s="53"/>
      <c r="LZ98" s="53"/>
      <c r="MA98" s="53"/>
      <c r="MB98" s="53"/>
      <c r="MC98" s="53"/>
      <c r="MD98" s="53"/>
      <c r="ME98" s="53"/>
      <c r="MF98" s="53"/>
      <c r="MG98" s="53"/>
      <c r="MH98" s="53"/>
      <c r="MI98" s="53"/>
      <c r="MJ98" s="53"/>
      <c r="MK98" s="53"/>
      <c r="ML98" s="53"/>
      <c r="MM98" s="53"/>
      <c r="MN98" s="53"/>
      <c r="MO98" s="53"/>
      <c r="MP98" s="53"/>
      <c r="MQ98" s="53"/>
      <c r="MR98" s="53"/>
      <c r="MS98" s="53"/>
      <c r="MT98" s="53"/>
      <c r="MU98" s="53"/>
      <c r="MV98" s="53"/>
      <c r="MW98" s="53"/>
      <c r="MX98" s="53"/>
      <c r="MY98" s="53"/>
      <c r="MZ98" s="53"/>
      <c r="NA98" s="53"/>
      <c r="NB98" s="53"/>
      <c r="NC98" s="53"/>
      <c r="ND98" s="53"/>
      <c r="NE98" s="53"/>
      <c r="NF98" s="53"/>
      <c r="NG98" s="53"/>
      <c r="NH98" s="53"/>
      <c r="NI98" s="53"/>
      <c r="NJ98" s="53"/>
      <c r="NK98" s="53"/>
      <c r="NL98" s="53"/>
      <c r="NM98" s="53"/>
      <c r="NN98" s="53"/>
      <c r="NO98" s="53"/>
      <c r="NP98" s="53"/>
      <c r="NQ98" s="53"/>
      <c r="NR98" s="53"/>
      <c r="NS98" s="53"/>
      <c r="NT98" s="53"/>
      <c r="NU98" s="53"/>
      <c r="NV98" s="53"/>
      <c r="NW98" s="53"/>
      <c r="NX98" s="53"/>
      <c r="NY98" s="53"/>
      <c r="NZ98" s="53"/>
      <c r="OA98" s="53"/>
      <c r="OB98" s="53"/>
      <c r="OC98" s="53"/>
      <c r="OD98" s="53"/>
      <c r="OE98" s="53"/>
      <c r="OF98" s="53"/>
      <c r="OG98" s="53"/>
      <c r="OH98" s="53"/>
      <c r="OI98" s="53"/>
      <c r="OJ98" s="53"/>
      <c r="OK98" s="53"/>
      <c r="OL98" s="53"/>
      <c r="OM98" s="53"/>
      <c r="ON98" s="53"/>
      <c r="OO98" s="53"/>
      <c r="OP98" s="53"/>
      <c r="OQ98" s="53"/>
      <c r="OR98" s="53"/>
      <c r="OS98" s="53"/>
      <c r="OT98" s="53"/>
      <c r="OU98" s="53"/>
      <c r="OV98" s="53"/>
      <c r="OW98" s="53"/>
      <c r="OX98" s="53"/>
      <c r="OY98" s="53"/>
      <c r="OZ98" s="53"/>
      <c r="PA98" s="53"/>
      <c r="PB98" s="53"/>
      <c r="PC98" s="53"/>
      <c r="PD98" s="53"/>
      <c r="PE98" s="53"/>
      <c r="PF98" s="53"/>
      <c r="PG98" s="53"/>
      <c r="PH98" s="53"/>
      <c r="PI98" s="53"/>
      <c r="PJ98" s="53"/>
      <c r="PK98" s="53"/>
      <c r="PL98" s="53"/>
      <c r="PM98" s="53"/>
      <c r="PN98" s="53"/>
      <c r="PO98" s="53"/>
      <c r="PP98" s="53"/>
      <c r="PQ98" s="53"/>
      <c r="PR98" s="53"/>
      <c r="PS98" s="53"/>
      <c r="PT98" s="53"/>
      <c r="PU98" s="53"/>
      <c r="PV98" s="53"/>
      <c r="PW98" s="53"/>
      <c r="PX98" s="53"/>
      <c r="PY98" s="53"/>
      <c r="PZ98" s="53"/>
      <c r="QA98" s="53"/>
      <c r="QB98" s="53"/>
      <c r="QC98" s="53"/>
      <c r="QD98" s="53"/>
      <c r="QE98" s="53"/>
      <c r="QF98" s="53"/>
      <c r="QG98" s="53"/>
      <c r="QH98" s="53"/>
      <c r="QI98" s="53"/>
      <c r="QJ98" s="53"/>
      <c r="QK98" s="53"/>
      <c r="QL98" s="53"/>
      <c r="QM98" s="53"/>
      <c r="QN98" s="53"/>
      <c r="QO98" s="53"/>
      <c r="QP98" s="53"/>
      <c r="QQ98" s="53"/>
      <c r="QR98" s="53"/>
      <c r="QS98" s="53"/>
      <c r="QT98" s="53"/>
      <c r="QU98" s="53"/>
      <c r="QV98" s="53"/>
      <c r="QW98" s="53"/>
      <c r="QX98" s="53"/>
      <c r="QY98" s="53"/>
      <c r="QZ98" s="53"/>
      <c r="RA98" s="53"/>
      <c r="RB98" s="53"/>
      <c r="RC98" s="53"/>
      <c r="RD98" s="53"/>
      <c r="RE98" s="53"/>
      <c r="RF98" s="53"/>
      <c r="RG98" s="53"/>
      <c r="RH98" s="53"/>
      <c r="RI98" s="53"/>
      <c r="RJ98" s="53"/>
      <c r="RK98" s="53"/>
      <c r="RL98" s="53"/>
      <c r="RM98" s="53"/>
      <c r="RN98" s="53"/>
      <c r="RO98" s="53"/>
      <c r="RP98" s="53"/>
      <c r="RQ98" s="53"/>
      <c r="RR98" s="53"/>
      <c r="RS98" s="53"/>
      <c r="RT98" s="53"/>
      <c r="RU98" s="53"/>
      <c r="RV98" s="53"/>
      <c r="RW98" s="53"/>
      <c r="RX98" s="53"/>
      <c r="RY98" s="53"/>
      <c r="RZ98" s="53"/>
      <c r="SA98" s="53"/>
      <c r="SB98" s="53"/>
      <c r="SC98" s="53"/>
      <c r="SD98" s="53"/>
      <c r="SE98" s="53"/>
      <c r="SF98" s="53"/>
      <c r="SG98" s="53"/>
      <c r="SH98" s="53"/>
      <c r="SI98" s="53"/>
      <c r="SJ98" s="53"/>
      <c r="SK98" s="53"/>
      <c r="SL98" s="53"/>
      <c r="SM98" s="53"/>
      <c r="SN98" s="53"/>
      <c r="SO98" s="53"/>
      <c r="SP98" s="53"/>
      <c r="SQ98" s="53"/>
      <c r="SR98" s="53"/>
      <c r="SS98" s="53"/>
      <c r="ST98" s="53"/>
      <c r="SU98" s="53"/>
      <c r="SV98" s="53"/>
      <c r="SW98" s="53"/>
      <c r="SX98" s="53"/>
      <c r="SY98" s="53"/>
      <c r="SZ98" s="53"/>
      <c r="TA98" s="53"/>
      <c r="TB98" s="53"/>
      <c r="TC98" s="53"/>
      <c r="TD98" s="53"/>
      <c r="TE98" s="53"/>
      <c r="TF98" s="53"/>
      <c r="TG98" s="53"/>
      <c r="TH98" s="53"/>
      <c r="TI98" s="53"/>
      <c r="TJ98" s="53"/>
      <c r="TK98" s="53"/>
      <c r="TL98" s="53"/>
      <c r="TM98" s="53"/>
      <c r="TN98" s="53"/>
      <c r="TO98" s="53"/>
      <c r="TP98" s="53"/>
      <c r="TQ98" s="53"/>
      <c r="TR98" s="53"/>
      <c r="TS98" s="53"/>
      <c r="TT98" s="53"/>
      <c r="TU98" s="53"/>
      <c r="TV98" s="53"/>
      <c r="TW98" s="53"/>
      <c r="TX98" s="53"/>
      <c r="TY98" s="53"/>
      <c r="TZ98" s="53"/>
      <c r="UA98" s="53"/>
      <c r="UB98" s="53"/>
      <c r="UC98" s="53"/>
      <c r="UD98" s="53"/>
      <c r="UE98" s="53"/>
      <c r="UF98" s="53"/>
      <c r="UG98" s="53"/>
      <c r="UH98" s="53"/>
      <c r="UI98" s="53"/>
      <c r="UJ98" s="53"/>
      <c r="UK98" s="53"/>
      <c r="UL98" s="53"/>
      <c r="UM98" s="53"/>
      <c r="UN98" s="53"/>
      <c r="UO98" s="53"/>
      <c r="UP98" s="53"/>
      <c r="UQ98" s="53"/>
      <c r="UR98" s="53"/>
      <c r="US98" s="53"/>
      <c r="UT98" s="53"/>
      <c r="UU98" s="53"/>
      <c r="UV98" s="53"/>
      <c r="UW98" s="53"/>
      <c r="UX98" s="53"/>
      <c r="UY98" s="53"/>
      <c r="UZ98" s="53"/>
      <c r="VA98" s="53"/>
      <c r="VB98" s="53"/>
      <c r="VC98" s="53"/>
      <c r="VD98" s="53"/>
      <c r="VE98" s="53"/>
      <c r="VF98" s="53"/>
      <c r="VG98" s="53"/>
      <c r="VH98" s="53"/>
      <c r="VI98" s="53"/>
      <c r="VJ98" s="53"/>
      <c r="VK98" s="53"/>
      <c r="VL98" s="53"/>
    </row>
    <row r="99" spans="1:584" s="47" customFormat="1" ht="31.5" customHeight="1" x14ac:dyDescent="0.25">
      <c r="A99" s="45" t="s">
        <v>425</v>
      </c>
      <c r="B99" s="91">
        <f>'дод 3'!A51</f>
        <v>2146</v>
      </c>
      <c r="C99" s="91" t="str">
        <f>'дод 3'!B51</f>
        <v>0763</v>
      </c>
      <c r="D99" s="51" t="str">
        <f>'дод 3'!C51</f>
        <v>Відшкодування вартості лікарських засобів для лікування окремих захворювань</v>
      </c>
      <c r="E99" s="115">
        <v>1456300</v>
      </c>
      <c r="F99" s="117"/>
      <c r="G99" s="117"/>
      <c r="H99" s="115">
        <v>1456294.8</v>
      </c>
      <c r="I99" s="117"/>
      <c r="J99" s="117"/>
      <c r="K99" s="164">
        <f t="shared" si="17"/>
        <v>99.999642930714828</v>
      </c>
      <c r="L99" s="115">
        <f t="shared" si="16"/>
        <v>0</v>
      </c>
      <c r="M99" s="115"/>
      <c r="N99" s="115"/>
      <c r="O99" s="115"/>
      <c r="P99" s="115"/>
      <c r="Q99" s="115"/>
      <c r="R99" s="115">
        <f t="shared" si="19"/>
        <v>0</v>
      </c>
      <c r="S99" s="115"/>
      <c r="T99" s="115"/>
      <c r="U99" s="115"/>
      <c r="V99" s="115"/>
      <c r="W99" s="115"/>
      <c r="X99" s="149"/>
      <c r="Y99" s="115">
        <f t="shared" si="27"/>
        <v>1456294.8</v>
      </c>
      <c r="Z99" s="187"/>
      <c r="AA99" s="53"/>
      <c r="AB99" s="53"/>
      <c r="AC99" s="53"/>
      <c r="AD99" s="53"/>
      <c r="AE99" s="79"/>
      <c r="AF99" s="79"/>
      <c r="AG99" s="79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/>
      <c r="JW99" s="53"/>
      <c r="JX99" s="53"/>
      <c r="JY99" s="53"/>
      <c r="JZ99" s="53"/>
      <c r="KA99" s="53"/>
      <c r="KB99" s="53"/>
      <c r="KC99" s="53"/>
      <c r="KD99" s="53"/>
      <c r="KE99" s="53"/>
      <c r="KF99" s="53"/>
      <c r="KG99" s="53"/>
      <c r="KH99" s="53"/>
      <c r="KI99" s="53"/>
      <c r="KJ99" s="53"/>
      <c r="KK99" s="53"/>
      <c r="KL99" s="53"/>
      <c r="KM99" s="53"/>
      <c r="KN99" s="53"/>
      <c r="KO99" s="53"/>
      <c r="KP99" s="53"/>
      <c r="KQ99" s="53"/>
      <c r="KR99" s="53"/>
      <c r="KS99" s="53"/>
      <c r="KT99" s="53"/>
      <c r="KU99" s="53"/>
      <c r="KV99" s="53"/>
      <c r="KW99" s="53"/>
      <c r="KX99" s="53"/>
      <c r="KY99" s="53"/>
      <c r="KZ99" s="53"/>
      <c r="LA99" s="53"/>
      <c r="LB99" s="53"/>
      <c r="LC99" s="53"/>
      <c r="LD99" s="53"/>
      <c r="LE99" s="53"/>
      <c r="LF99" s="53"/>
      <c r="LG99" s="53"/>
      <c r="LH99" s="53"/>
      <c r="LI99" s="53"/>
      <c r="LJ99" s="53"/>
      <c r="LK99" s="53"/>
      <c r="LL99" s="53"/>
      <c r="LM99" s="53"/>
      <c r="LN99" s="53"/>
      <c r="LO99" s="53"/>
      <c r="LP99" s="53"/>
      <c r="LQ99" s="53"/>
      <c r="LR99" s="53"/>
      <c r="LS99" s="53"/>
      <c r="LT99" s="53"/>
      <c r="LU99" s="53"/>
      <c r="LV99" s="53"/>
      <c r="LW99" s="53"/>
      <c r="LX99" s="53"/>
      <c r="LY99" s="53"/>
      <c r="LZ99" s="53"/>
      <c r="MA99" s="53"/>
      <c r="MB99" s="53"/>
      <c r="MC99" s="53"/>
      <c r="MD99" s="53"/>
      <c r="ME99" s="53"/>
      <c r="MF99" s="53"/>
      <c r="MG99" s="53"/>
      <c r="MH99" s="53"/>
      <c r="MI99" s="53"/>
      <c r="MJ99" s="53"/>
      <c r="MK99" s="53"/>
      <c r="ML99" s="53"/>
      <c r="MM99" s="53"/>
      <c r="MN99" s="53"/>
      <c r="MO99" s="53"/>
      <c r="MP99" s="53"/>
      <c r="MQ99" s="53"/>
      <c r="MR99" s="53"/>
      <c r="MS99" s="53"/>
      <c r="MT99" s="53"/>
      <c r="MU99" s="53"/>
      <c r="MV99" s="53"/>
      <c r="MW99" s="53"/>
      <c r="MX99" s="53"/>
      <c r="MY99" s="53"/>
      <c r="MZ99" s="53"/>
      <c r="NA99" s="53"/>
      <c r="NB99" s="53"/>
      <c r="NC99" s="53"/>
      <c r="ND99" s="53"/>
      <c r="NE99" s="53"/>
      <c r="NF99" s="53"/>
      <c r="NG99" s="53"/>
      <c r="NH99" s="53"/>
      <c r="NI99" s="53"/>
      <c r="NJ99" s="53"/>
      <c r="NK99" s="53"/>
      <c r="NL99" s="53"/>
      <c r="NM99" s="53"/>
      <c r="NN99" s="53"/>
      <c r="NO99" s="53"/>
      <c r="NP99" s="53"/>
      <c r="NQ99" s="53"/>
      <c r="NR99" s="53"/>
      <c r="NS99" s="53"/>
      <c r="NT99" s="53"/>
      <c r="NU99" s="53"/>
      <c r="NV99" s="53"/>
      <c r="NW99" s="53"/>
      <c r="NX99" s="53"/>
      <c r="NY99" s="53"/>
      <c r="NZ99" s="53"/>
      <c r="OA99" s="53"/>
      <c r="OB99" s="53"/>
      <c r="OC99" s="53"/>
      <c r="OD99" s="53"/>
      <c r="OE99" s="53"/>
      <c r="OF99" s="53"/>
      <c r="OG99" s="53"/>
      <c r="OH99" s="53"/>
      <c r="OI99" s="53"/>
      <c r="OJ99" s="53"/>
      <c r="OK99" s="53"/>
      <c r="OL99" s="53"/>
      <c r="OM99" s="53"/>
      <c r="ON99" s="53"/>
      <c r="OO99" s="53"/>
      <c r="OP99" s="53"/>
      <c r="OQ99" s="53"/>
      <c r="OR99" s="53"/>
      <c r="OS99" s="53"/>
      <c r="OT99" s="53"/>
      <c r="OU99" s="53"/>
      <c r="OV99" s="53"/>
      <c r="OW99" s="53"/>
      <c r="OX99" s="53"/>
      <c r="OY99" s="53"/>
      <c r="OZ99" s="53"/>
      <c r="PA99" s="53"/>
      <c r="PB99" s="53"/>
      <c r="PC99" s="53"/>
      <c r="PD99" s="53"/>
      <c r="PE99" s="53"/>
      <c r="PF99" s="53"/>
      <c r="PG99" s="53"/>
      <c r="PH99" s="53"/>
      <c r="PI99" s="53"/>
      <c r="PJ99" s="53"/>
      <c r="PK99" s="53"/>
      <c r="PL99" s="53"/>
      <c r="PM99" s="53"/>
      <c r="PN99" s="53"/>
      <c r="PO99" s="53"/>
      <c r="PP99" s="53"/>
      <c r="PQ99" s="53"/>
      <c r="PR99" s="53"/>
      <c r="PS99" s="53"/>
      <c r="PT99" s="53"/>
      <c r="PU99" s="53"/>
      <c r="PV99" s="53"/>
      <c r="PW99" s="53"/>
      <c r="PX99" s="53"/>
      <c r="PY99" s="53"/>
      <c r="PZ99" s="53"/>
      <c r="QA99" s="53"/>
      <c r="QB99" s="53"/>
      <c r="QC99" s="53"/>
      <c r="QD99" s="53"/>
      <c r="QE99" s="53"/>
      <c r="QF99" s="53"/>
      <c r="QG99" s="53"/>
      <c r="QH99" s="53"/>
      <c r="QI99" s="53"/>
      <c r="QJ99" s="53"/>
      <c r="QK99" s="53"/>
      <c r="QL99" s="53"/>
      <c r="QM99" s="53"/>
      <c r="QN99" s="53"/>
      <c r="QO99" s="53"/>
      <c r="QP99" s="53"/>
      <c r="QQ99" s="53"/>
      <c r="QR99" s="53"/>
      <c r="QS99" s="53"/>
      <c r="QT99" s="53"/>
      <c r="QU99" s="53"/>
      <c r="QV99" s="53"/>
      <c r="QW99" s="53"/>
      <c r="QX99" s="53"/>
      <c r="QY99" s="53"/>
      <c r="QZ99" s="53"/>
      <c r="RA99" s="53"/>
      <c r="RB99" s="53"/>
      <c r="RC99" s="53"/>
      <c r="RD99" s="53"/>
      <c r="RE99" s="53"/>
      <c r="RF99" s="53"/>
      <c r="RG99" s="53"/>
      <c r="RH99" s="53"/>
      <c r="RI99" s="53"/>
      <c r="RJ99" s="53"/>
      <c r="RK99" s="53"/>
      <c r="RL99" s="53"/>
      <c r="RM99" s="53"/>
      <c r="RN99" s="53"/>
      <c r="RO99" s="53"/>
      <c r="RP99" s="53"/>
      <c r="RQ99" s="53"/>
      <c r="RR99" s="53"/>
      <c r="RS99" s="53"/>
      <c r="RT99" s="53"/>
      <c r="RU99" s="53"/>
      <c r="RV99" s="53"/>
      <c r="RW99" s="53"/>
      <c r="RX99" s="53"/>
      <c r="RY99" s="53"/>
      <c r="RZ99" s="53"/>
      <c r="SA99" s="53"/>
      <c r="SB99" s="53"/>
      <c r="SC99" s="53"/>
      <c r="SD99" s="53"/>
      <c r="SE99" s="53"/>
      <c r="SF99" s="53"/>
      <c r="SG99" s="53"/>
      <c r="SH99" s="53"/>
      <c r="SI99" s="53"/>
      <c r="SJ99" s="53"/>
      <c r="SK99" s="53"/>
      <c r="SL99" s="53"/>
      <c r="SM99" s="53"/>
      <c r="SN99" s="53"/>
      <c r="SO99" s="53"/>
      <c r="SP99" s="53"/>
      <c r="SQ99" s="53"/>
      <c r="SR99" s="53"/>
      <c r="SS99" s="53"/>
      <c r="ST99" s="53"/>
      <c r="SU99" s="53"/>
      <c r="SV99" s="53"/>
      <c r="SW99" s="53"/>
      <c r="SX99" s="53"/>
      <c r="SY99" s="53"/>
      <c r="SZ99" s="53"/>
      <c r="TA99" s="53"/>
      <c r="TB99" s="53"/>
      <c r="TC99" s="53"/>
      <c r="TD99" s="53"/>
      <c r="TE99" s="53"/>
      <c r="TF99" s="53"/>
      <c r="TG99" s="53"/>
      <c r="TH99" s="53"/>
      <c r="TI99" s="53"/>
      <c r="TJ99" s="53"/>
      <c r="TK99" s="53"/>
      <c r="TL99" s="53"/>
      <c r="TM99" s="53"/>
      <c r="TN99" s="53"/>
      <c r="TO99" s="53"/>
      <c r="TP99" s="53"/>
      <c r="TQ99" s="53"/>
      <c r="TR99" s="53"/>
      <c r="TS99" s="53"/>
      <c r="TT99" s="53"/>
      <c r="TU99" s="53"/>
      <c r="TV99" s="53"/>
      <c r="TW99" s="53"/>
      <c r="TX99" s="53"/>
      <c r="TY99" s="53"/>
      <c r="TZ99" s="53"/>
      <c r="UA99" s="53"/>
      <c r="UB99" s="53"/>
      <c r="UC99" s="53"/>
      <c r="UD99" s="53"/>
      <c r="UE99" s="53"/>
      <c r="UF99" s="53"/>
      <c r="UG99" s="53"/>
      <c r="UH99" s="53"/>
      <c r="UI99" s="53"/>
      <c r="UJ99" s="53"/>
      <c r="UK99" s="53"/>
      <c r="UL99" s="53"/>
      <c r="UM99" s="53"/>
      <c r="UN99" s="53"/>
      <c r="UO99" s="53"/>
      <c r="UP99" s="53"/>
      <c r="UQ99" s="53"/>
      <c r="UR99" s="53"/>
      <c r="US99" s="53"/>
      <c r="UT99" s="53"/>
      <c r="UU99" s="53"/>
      <c r="UV99" s="53"/>
      <c r="UW99" s="53"/>
      <c r="UX99" s="53"/>
      <c r="UY99" s="53"/>
      <c r="UZ99" s="53"/>
      <c r="VA99" s="53"/>
      <c r="VB99" s="53"/>
      <c r="VC99" s="53"/>
      <c r="VD99" s="53"/>
      <c r="VE99" s="53"/>
      <c r="VF99" s="53"/>
      <c r="VG99" s="53"/>
      <c r="VH99" s="53"/>
      <c r="VI99" s="53"/>
      <c r="VJ99" s="53"/>
      <c r="VK99" s="53"/>
      <c r="VL99" s="53"/>
    </row>
    <row r="100" spans="1:584" s="47" customFormat="1" ht="16.5" customHeight="1" x14ac:dyDescent="0.25">
      <c r="A100" s="45"/>
      <c r="B100" s="91"/>
      <c r="C100" s="91"/>
      <c r="D100" s="51" t="str">
        <f>'дод 3'!C52</f>
        <v>у т.ч. за рахунок субвенцій з держбюджету</v>
      </c>
      <c r="E100" s="115">
        <v>1456300</v>
      </c>
      <c r="F100" s="117"/>
      <c r="G100" s="117"/>
      <c r="H100" s="115">
        <v>1456294.8</v>
      </c>
      <c r="I100" s="117"/>
      <c r="J100" s="117"/>
      <c r="K100" s="164">
        <f t="shared" si="17"/>
        <v>99.999642930714828</v>
      </c>
      <c r="L100" s="115">
        <f t="shared" si="16"/>
        <v>0</v>
      </c>
      <c r="M100" s="115"/>
      <c r="N100" s="115"/>
      <c r="O100" s="115"/>
      <c r="P100" s="115"/>
      <c r="Q100" s="115"/>
      <c r="R100" s="115">
        <f t="shared" si="19"/>
        <v>0</v>
      </c>
      <c r="S100" s="115"/>
      <c r="T100" s="115"/>
      <c r="U100" s="115"/>
      <c r="V100" s="115"/>
      <c r="W100" s="115"/>
      <c r="X100" s="166"/>
      <c r="Y100" s="115">
        <f t="shared" si="27"/>
        <v>1456294.8</v>
      </c>
      <c r="Z100" s="187">
        <v>12</v>
      </c>
      <c r="AA100" s="53"/>
      <c r="AB100" s="53"/>
      <c r="AC100" s="53"/>
      <c r="AD100" s="53"/>
      <c r="AE100" s="79"/>
      <c r="AF100" s="79"/>
      <c r="AG100" s="79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/>
      <c r="JB100" s="53"/>
      <c r="JC100" s="53"/>
      <c r="JD100" s="53"/>
      <c r="JE100" s="53"/>
      <c r="JF100" s="53"/>
      <c r="JG100" s="53"/>
      <c r="JH100" s="53"/>
      <c r="JI100" s="53"/>
      <c r="JJ100" s="53"/>
      <c r="JK100" s="53"/>
      <c r="JL100" s="53"/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/>
      <c r="KA100" s="53"/>
      <c r="KB100" s="53"/>
      <c r="KC100" s="53"/>
      <c r="KD100" s="53"/>
      <c r="KE100" s="53"/>
      <c r="KF100" s="53"/>
      <c r="KG100" s="53"/>
      <c r="KH100" s="53"/>
      <c r="KI100" s="53"/>
      <c r="KJ100" s="53"/>
      <c r="KK100" s="53"/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/>
      <c r="KW100" s="53"/>
      <c r="KX100" s="53"/>
      <c r="KY100" s="53"/>
      <c r="KZ100" s="53"/>
      <c r="LA100" s="53"/>
      <c r="LB100" s="53"/>
      <c r="LC100" s="53"/>
      <c r="LD100" s="53"/>
      <c r="LE100" s="53"/>
      <c r="LF100" s="53"/>
      <c r="LG100" s="53"/>
      <c r="LH100" s="53"/>
      <c r="LI100" s="53"/>
      <c r="LJ100" s="53"/>
      <c r="LK100" s="53"/>
      <c r="LL100" s="53"/>
      <c r="LM100" s="53"/>
      <c r="LN100" s="53"/>
      <c r="LO100" s="53"/>
      <c r="LP100" s="53"/>
      <c r="LQ100" s="53"/>
      <c r="LR100" s="53"/>
      <c r="LS100" s="53"/>
      <c r="LT100" s="53"/>
      <c r="LU100" s="53"/>
      <c r="LV100" s="53"/>
      <c r="LW100" s="53"/>
      <c r="LX100" s="53"/>
      <c r="LY100" s="53"/>
      <c r="LZ100" s="53"/>
      <c r="MA100" s="53"/>
      <c r="MB100" s="53"/>
      <c r="MC100" s="53"/>
      <c r="MD100" s="53"/>
      <c r="ME100" s="53"/>
      <c r="MF100" s="53"/>
      <c r="MG100" s="53"/>
      <c r="MH100" s="53"/>
      <c r="MI100" s="53"/>
      <c r="MJ100" s="53"/>
      <c r="MK100" s="53"/>
      <c r="ML100" s="53"/>
      <c r="MM100" s="53"/>
      <c r="MN100" s="53"/>
      <c r="MO100" s="53"/>
      <c r="MP100" s="53"/>
      <c r="MQ100" s="53"/>
      <c r="MR100" s="53"/>
      <c r="MS100" s="53"/>
      <c r="MT100" s="53"/>
      <c r="MU100" s="53"/>
      <c r="MV100" s="53"/>
      <c r="MW100" s="53"/>
      <c r="MX100" s="53"/>
      <c r="MY100" s="53"/>
      <c r="MZ100" s="53"/>
      <c r="NA100" s="53"/>
      <c r="NB100" s="53"/>
      <c r="NC100" s="53"/>
      <c r="ND100" s="53"/>
      <c r="NE100" s="53"/>
      <c r="NF100" s="53"/>
      <c r="NG100" s="53"/>
      <c r="NH100" s="53"/>
      <c r="NI100" s="53"/>
      <c r="NJ100" s="53"/>
      <c r="NK100" s="53"/>
      <c r="NL100" s="53"/>
      <c r="NM100" s="53"/>
      <c r="NN100" s="53"/>
      <c r="NO100" s="53"/>
      <c r="NP100" s="53"/>
      <c r="NQ100" s="53"/>
      <c r="NR100" s="53"/>
      <c r="NS100" s="53"/>
      <c r="NT100" s="53"/>
      <c r="NU100" s="53"/>
      <c r="NV100" s="53"/>
      <c r="NW100" s="53"/>
      <c r="NX100" s="53"/>
      <c r="NY100" s="53"/>
      <c r="NZ100" s="53"/>
      <c r="OA100" s="53"/>
      <c r="OB100" s="53"/>
      <c r="OC100" s="53"/>
      <c r="OD100" s="53"/>
      <c r="OE100" s="53"/>
      <c r="OF100" s="53"/>
      <c r="OG100" s="53"/>
      <c r="OH100" s="53"/>
      <c r="OI100" s="53"/>
      <c r="OJ100" s="53"/>
      <c r="OK100" s="53"/>
      <c r="OL100" s="53"/>
      <c r="OM100" s="53"/>
      <c r="ON100" s="53"/>
      <c r="OO100" s="53"/>
      <c r="OP100" s="53"/>
      <c r="OQ100" s="53"/>
      <c r="OR100" s="53"/>
      <c r="OS100" s="53"/>
      <c r="OT100" s="53"/>
      <c r="OU100" s="53"/>
      <c r="OV100" s="53"/>
      <c r="OW100" s="53"/>
      <c r="OX100" s="53"/>
      <c r="OY100" s="53"/>
      <c r="OZ100" s="53"/>
      <c r="PA100" s="53"/>
      <c r="PB100" s="53"/>
      <c r="PC100" s="53"/>
      <c r="PD100" s="53"/>
      <c r="PE100" s="53"/>
      <c r="PF100" s="53"/>
      <c r="PG100" s="53"/>
      <c r="PH100" s="53"/>
      <c r="PI100" s="53"/>
      <c r="PJ100" s="53"/>
      <c r="PK100" s="53"/>
      <c r="PL100" s="53"/>
      <c r="PM100" s="53"/>
      <c r="PN100" s="53"/>
      <c r="PO100" s="53"/>
      <c r="PP100" s="53"/>
      <c r="PQ100" s="53"/>
      <c r="PR100" s="53"/>
      <c r="PS100" s="53"/>
      <c r="PT100" s="53"/>
      <c r="PU100" s="53"/>
      <c r="PV100" s="53"/>
      <c r="PW100" s="53"/>
      <c r="PX100" s="53"/>
      <c r="PY100" s="53"/>
      <c r="PZ100" s="53"/>
      <c r="QA100" s="53"/>
      <c r="QB100" s="53"/>
      <c r="QC100" s="53"/>
      <c r="QD100" s="53"/>
      <c r="QE100" s="53"/>
      <c r="QF100" s="53"/>
      <c r="QG100" s="53"/>
      <c r="QH100" s="53"/>
      <c r="QI100" s="53"/>
      <c r="QJ100" s="53"/>
      <c r="QK100" s="53"/>
      <c r="QL100" s="53"/>
      <c r="QM100" s="53"/>
      <c r="QN100" s="53"/>
      <c r="QO100" s="53"/>
      <c r="QP100" s="53"/>
      <c r="QQ100" s="53"/>
      <c r="QR100" s="53"/>
      <c r="QS100" s="53"/>
      <c r="QT100" s="53"/>
      <c r="QU100" s="53"/>
      <c r="QV100" s="53"/>
      <c r="QW100" s="53"/>
      <c r="QX100" s="53"/>
      <c r="QY100" s="53"/>
      <c r="QZ100" s="53"/>
      <c r="RA100" s="53"/>
      <c r="RB100" s="53"/>
      <c r="RC100" s="53"/>
      <c r="RD100" s="53"/>
      <c r="RE100" s="53"/>
      <c r="RF100" s="53"/>
      <c r="RG100" s="53"/>
      <c r="RH100" s="53"/>
      <c r="RI100" s="53"/>
      <c r="RJ100" s="53"/>
      <c r="RK100" s="53"/>
      <c r="RL100" s="53"/>
      <c r="RM100" s="53"/>
      <c r="RN100" s="53"/>
      <c r="RO100" s="53"/>
      <c r="RP100" s="53"/>
      <c r="RQ100" s="53"/>
      <c r="RR100" s="53"/>
      <c r="RS100" s="53"/>
      <c r="RT100" s="53"/>
      <c r="RU100" s="53"/>
      <c r="RV100" s="53"/>
      <c r="RW100" s="53"/>
      <c r="RX100" s="53"/>
      <c r="RY100" s="53"/>
      <c r="RZ100" s="53"/>
      <c r="SA100" s="53"/>
      <c r="SB100" s="53"/>
      <c r="SC100" s="53"/>
      <c r="SD100" s="53"/>
      <c r="SE100" s="53"/>
      <c r="SF100" s="53"/>
      <c r="SG100" s="53"/>
      <c r="SH100" s="53"/>
      <c r="SI100" s="53"/>
      <c r="SJ100" s="53"/>
      <c r="SK100" s="53"/>
      <c r="SL100" s="53"/>
      <c r="SM100" s="53"/>
      <c r="SN100" s="53"/>
      <c r="SO100" s="53"/>
      <c r="SP100" s="53"/>
      <c r="SQ100" s="53"/>
      <c r="SR100" s="53"/>
      <c r="SS100" s="53"/>
      <c r="ST100" s="53"/>
      <c r="SU100" s="53"/>
      <c r="SV100" s="53"/>
      <c r="SW100" s="53"/>
      <c r="SX100" s="53"/>
      <c r="SY100" s="53"/>
      <c r="SZ100" s="53"/>
      <c r="TA100" s="53"/>
      <c r="TB100" s="53"/>
      <c r="TC100" s="53"/>
      <c r="TD100" s="53"/>
      <c r="TE100" s="53"/>
      <c r="TF100" s="53"/>
      <c r="TG100" s="53"/>
      <c r="TH100" s="53"/>
      <c r="TI100" s="53"/>
      <c r="TJ100" s="53"/>
      <c r="TK100" s="53"/>
      <c r="TL100" s="53"/>
      <c r="TM100" s="53"/>
      <c r="TN100" s="53"/>
      <c r="TO100" s="53"/>
      <c r="TP100" s="53"/>
      <c r="TQ100" s="53"/>
      <c r="TR100" s="53"/>
      <c r="TS100" s="53"/>
      <c r="TT100" s="53"/>
      <c r="TU100" s="53"/>
      <c r="TV100" s="53"/>
      <c r="TW100" s="53"/>
      <c r="TX100" s="53"/>
      <c r="TY100" s="53"/>
      <c r="TZ100" s="53"/>
      <c r="UA100" s="53"/>
      <c r="UB100" s="53"/>
      <c r="UC100" s="53"/>
      <c r="UD100" s="53"/>
      <c r="UE100" s="53"/>
      <c r="UF100" s="53"/>
      <c r="UG100" s="53"/>
      <c r="UH100" s="53"/>
      <c r="UI100" s="53"/>
      <c r="UJ100" s="53"/>
      <c r="UK100" s="53"/>
      <c r="UL100" s="53"/>
      <c r="UM100" s="53"/>
      <c r="UN100" s="53"/>
      <c r="UO100" s="53"/>
      <c r="UP100" s="53"/>
      <c r="UQ100" s="53"/>
      <c r="UR100" s="53"/>
      <c r="US100" s="53"/>
      <c r="UT100" s="53"/>
      <c r="UU100" s="53"/>
      <c r="UV100" s="53"/>
      <c r="UW100" s="53"/>
      <c r="UX100" s="53"/>
      <c r="UY100" s="53"/>
      <c r="UZ100" s="53"/>
      <c r="VA100" s="53"/>
      <c r="VB100" s="53"/>
      <c r="VC100" s="53"/>
      <c r="VD100" s="53"/>
      <c r="VE100" s="53"/>
      <c r="VF100" s="53"/>
      <c r="VG100" s="53"/>
      <c r="VH100" s="53"/>
      <c r="VI100" s="53"/>
      <c r="VJ100" s="53"/>
      <c r="VK100" s="53"/>
      <c r="VL100" s="53"/>
    </row>
    <row r="101" spans="1:584" s="47" customFormat="1" ht="30" customHeight="1" x14ac:dyDescent="0.25">
      <c r="A101" s="45" t="s">
        <v>498</v>
      </c>
      <c r="B101" s="93" t="str">
        <f>'дод 3'!A53</f>
        <v>2151</v>
      </c>
      <c r="C101" s="93" t="str">
        <f>'дод 3'!B53</f>
        <v>0763</v>
      </c>
      <c r="D101" s="48" t="str">
        <f>'дод 3'!C53</f>
        <v>Забезпечення діяльності інших закладів у сфері охорони здоров’я</v>
      </c>
      <c r="E101" s="115">
        <v>2602469</v>
      </c>
      <c r="F101" s="117"/>
      <c r="G101" s="117"/>
      <c r="H101" s="115">
        <v>2510793.2000000002</v>
      </c>
      <c r="I101" s="117"/>
      <c r="J101" s="117"/>
      <c r="K101" s="164">
        <f t="shared" si="17"/>
        <v>96.477352852233793</v>
      </c>
      <c r="L101" s="115">
        <f t="shared" si="16"/>
        <v>0</v>
      </c>
      <c r="M101" s="115"/>
      <c r="N101" s="115"/>
      <c r="O101" s="115"/>
      <c r="P101" s="115"/>
      <c r="Q101" s="115"/>
      <c r="R101" s="115">
        <f t="shared" si="19"/>
        <v>46.5</v>
      </c>
      <c r="S101" s="115"/>
      <c r="T101" s="115">
        <v>46.5</v>
      </c>
      <c r="U101" s="115"/>
      <c r="V101" s="115"/>
      <c r="W101" s="115"/>
      <c r="X101" s="166"/>
      <c r="Y101" s="115">
        <f t="shared" si="27"/>
        <v>2510839.7000000002</v>
      </c>
      <c r="Z101" s="187"/>
      <c r="AA101" s="53"/>
      <c r="AB101" s="53"/>
      <c r="AC101" s="53"/>
      <c r="AD101" s="53"/>
      <c r="AE101" s="79"/>
      <c r="AF101" s="79"/>
      <c r="AG101" s="79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53"/>
      <c r="JJ101" s="53"/>
      <c r="JK101" s="53"/>
      <c r="JL101" s="53"/>
      <c r="JM101" s="53"/>
      <c r="JN101" s="53"/>
      <c r="JO101" s="53"/>
      <c r="JP101" s="53"/>
      <c r="JQ101" s="53"/>
      <c r="JR101" s="53"/>
      <c r="JS101" s="53"/>
      <c r="JT101" s="53"/>
      <c r="JU101" s="53"/>
      <c r="JV101" s="53"/>
      <c r="JW101" s="53"/>
      <c r="JX101" s="53"/>
      <c r="JY101" s="53"/>
      <c r="JZ101" s="53"/>
      <c r="KA101" s="53"/>
      <c r="KB101" s="53"/>
      <c r="KC101" s="53"/>
      <c r="KD101" s="53"/>
      <c r="KE101" s="53"/>
      <c r="KF101" s="53"/>
      <c r="KG101" s="53"/>
      <c r="KH101" s="53"/>
      <c r="KI101" s="53"/>
      <c r="KJ101" s="53"/>
      <c r="KK101" s="53"/>
      <c r="KL101" s="53"/>
      <c r="KM101" s="53"/>
      <c r="KN101" s="53"/>
      <c r="KO101" s="53"/>
      <c r="KP101" s="53"/>
      <c r="KQ101" s="53"/>
      <c r="KR101" s="53"/>
      <c r="KS101" s="53"/>
      <c r="KT101" s="53"/>
      <c r="KU101" s="53"/>
      <c r="KV101" s="53"/>
      <c r="KW101" s="53"/>
      <c r="KX101" s="53"/>
      <c r="KY101" s="53"/>
      <c r="KZ101" s="53"/>
      <c r="LA101" s="53"/>
      <c r="LB101" s="53"/>
      <c r="LC101" s="53"/>
      <c r="LD101" s="53"/>
      <c r="LE101" s="53"/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3"/>
      <c r="LR101" s="53"/>
      <c r="LS101" s="53"/>
      <c r="LT101" s="53"/>
      <c r="LU101" s="53"/>
      <c r="LV101" s="53"/>
      <c r="LW101" s="53"/>
      <c r="LX101" s="53"/>
      <c r="LY101" s="53"/>
      <c r="LZ101" s="53"/>
      <c r="MA101" s="53"/>
      <c r="MB101" s="53"/>
      <c r="MC101" s="53"/>
      <c r="MD101" s="53"/>
      <c r="ME101" s="53"/>
      <c r="MF101" s="53"/>
      <c r="MG101" s="53"/>
      <c r="MH101" s="53"/>
      <c r="MI101" s="53"/>
      <c r="MJ101" s="53"/>
      <c r="MK101" s="53"/>
      <c r="ML101" s="53"/>
      <c r="MM101" s="53"/>
      <c r="MN101" s="53"/>
      <c r="MO101" s="53"/>
      <c r="MP101" s="53"/>
      <c r="MQ101" s="53"/>
      <c r="MR101" s="53"/>
      <c r="MS101" s="53"/>
      <c r="MT101" s="53"/>
      <c r="MU101" s="53"/>
      <c r="MV101" s="53"/>
      <c r="MW101" s="53"/>
      <c r="MX101" s="53"/>
      <c r="MY101" s="53"/>
      <c r="MZ101" s="53"/>
      <c r="NA101" s="53"/>
      <c r="NB101" s="5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53"/>
      <c r="OC101" s="53"/>
      <c r="OD101" s="53"/>
      <c r="OE101" s="53"/>
      <c r="OF101" s="53"/>
      <c r="OG101" s="53"/>
      <c r="OH101" s="53"/>
      <c r="OI101" s="53"/>
      <c r="OJ101" s="53"/>
      <c r="OK101" s="53"/>
      <c r="OL101" s="53"/>
      <c r="OM101" s="53"/>
      <c r="ON101" s="53"/>
      <c r="OO101" s="53"/>
      <c r="OP101" s="53"/>
      <c r="OQ101" s="53"/>
      <c r="OR101" s="53"/>
      <c r="OS101" s="53"/>
      <c r="OT101" s="53"/>
      <c r="OU101" s="53"/>
      <c r="OV101" s="53"/>
      <c r="OW101" s="53"/>
      <c r="OX101" s="53"/>
      <c r="OY101" s="53"/>
      <c r="OZ101" s="53"/>
      <c r="PA101" s="53"/>
      <c r="PB101" s="53"/>
      <c r="PC101" s="53"/>
      <c r="PD101" s="53"/>
      <c r="PE101" s="53"/>
      <c r="PF101" s="53"/>
      <c r="PG101" s="53"/>
      <c r="PH101" s="53"/>
      <c r="PI101" s="53"/>
      <c r="PJ101" s="53"/>
      <c r="PK101" s="53"/>
      <c r="PL101" s="53"/>
      <c r="PM101" s="53"/>
      <c r="PN101" s="53"/>
      <c r="PO101" s="53"/>
      <c r="PP101" s="53"/>
      <c r="PQ101" s="53"/>
      <c r="PR101" s="53"/>
      <c r="PS101" s="53"/>
      <c r="PT101" s="53"/>
      <c r="PU101" s="53"/>
      <c r="PV101" s="53"/>
      <c r="PW101" s="53"/>
      <c r="PX101" s="53"/>
      <c r="PY101" s="53"/>
      <c r="PZ101" s="53"/>
      <c r="QA101" s="53"/>
      <c r="QB101" s="53"/>
      <c r="QC101" s="53"/>
      <c r="QD101" s="53"/>
      <c r="QE101" s="53"/>
      <c r="QF101" s="53"/>
      <c r="QG101" s="53"/>
      <c r="QH101" s="53"/>
      <c r="QI101" s="53"/>
      <c r="QJ101" s="53"/>
      <c r="QK101" s="53"/>
      <c r="QL101" s="53"/>
      <c r="QM101" s="53"/>
      <c r="QN101" s="53"/>
      <c r="QO101" s="53"/>
      <c r="QP101" s="53"/>
      <c r="QQ101" s="53"/>
      <c r="QR101" s="53"/>
      <c r="QS101" s="53"/>
      <c r="QT101" s="53"/>
      <c r="QU101" s="53"/>
      <c r="QV101" s="53"/>
      <c r="QW101" s="53"/>
      <c r="QX101" s="53"/>
      <c r="QY101" s="53"/>
      <c r="QZ101" s="53"/>
      <c r="RA101" s="53"/>
      <c r="RB101" s="53"/>
      <c r="RC101" s="53"/>
      <c r="RD101" s="53"/>
      <c r="RE101" s="53"/>
      <c r="RF101" s="53"/>
      <c r="RG101" s="53"/>
      <c r="RH101" s="53"/>
      <c r="RI101" s="53"/>
      <c r="RJ101" s="53"/>
      <c r="RK101" s="53"/>
      <c r="RL101" s="53"/>
      <c r="RM101" s="53"/>
      <c r="RN101" s="53"/>
      <c r="RO101" s="53"/>
      <c r="RP101" s="53"/>
      <c r="RQ101" s="53"/>
      <c r="RR101" s="53"/>
      <c r="RS101" s="53"/>
      <c r="RT101" s="53"/>
      <c r="RU101" s="53"/>
      <c r="RV101" s="53"/>
      <c r="RW101" s="53"/>
      <c r="RX101" s="53"/>
      <c r="RY101" s="53"/>
      <c r="RZ101" s="53"/>
      <c r="SA101" s="53"/>
      <c r="SB101" s="53"/>
      <c r="SC101" s="53"/>
      <c r="SD101" s="53"/>
      <c r="SE101" s="53"/>
      <c r="SF101" s="53"/>
      <c r="SG101" s="53"/>
      <c r="SH101" s="53"/>
      <c r="SI101" s="53"/>
      <c r="SJ101" s="53"/>
      <c r="SK101" s="53"/>
      <c r="SL101" s="53"/>
      <c r="SM101" s="53"/>
      <c r="SN101" s="53"/>
      <c r="SO101" s="53"/>
      <c r="SP101" s="53"/>
      <c r="SQ101" s="53"/>
      <c r="SR101" s="53"/>
      <c r="SS101" s="53"/>
      <c r="ST101" s="53"/>
      <c r="SU101" s="53"/>
      <c r="SV101" s="53"/>
      <c r="SW101" s="53"/>
      <c r="SX101" s="53"/>
      <c r="SY101" s="53"/>
      <c r="SZ101" s="53"/>
      <c r="TA101" s="53"/>
      <c r="TB101" s="53"/>
      <c r="TC101" s="53"/>
      <c r="TD101" s="53"/>
      <c r="TE101" s="53"/>
      <c r="TF101" s="53"/>
      <c r="TG101" s="53"/>
      <c r="TH101" s="53"/>
      <c r="TI101" s="53"/>
      <c r="TJ101" s="53"/>
      <c r="TK101" s="53"/>
      <c r="TL101" s="53"/>
      <c r="TM101" s="53"/>
      <c r="TN101" s="53"/>
      <c r="TO101" s="53"/>
      <c r="TP101" s="53"/>
      <c r="TQ101" s="53"/>
      <c r="TR101" s="53"/>
      <c r="TS101" s="53"/>
      <c r="TT101" s="53"/>
      <c r="TU101" s="53"/>
      <c r="TV101" s="53"/>
      <c r="TW101" s="53"/>
      <c r="TX101" s="53"/>
      <c r="TY101" s="53"/>
      <c r="TZ101" s="53"/>
      <c r="UA101" s="53"/>
      <c r="UB101" s="53"/>
      <c r="UC101" s="53"/>
      <c r="UD101" s="53"/>
      <c r="UE101" s="53"/>
      <c r="UF101" s="53"/>
      <c r="UG101" s="53"/>
      <c r="UH101" s="53"/>
      <c r="UI101" s="53"/>
      <c r="UJ101" s="53"/>
      <c r="UK101" s="53"/>
      <c r="UL101" s="53"/>
      <c r="UM101" s="53"/>
      <c r="UN101" s="53"/>
      <c r="UO101" s="53"/>
      <c r="UP101" s="53"/>
      <c r="UQ101" s="53"/>
      <c r="UR101" s="53"/>
      <c r="US101" s="53"/>
      <c r="UT101" s="53"/>
      <c r="UU101" s="53"/>
      <c r="UV101" s="53"/>
      <c r="UW101" s="53"/>
      <c r="UX101" s="53"/>
      <c r="UY101" s="53"/>
      <c r="UZ101" s="53"/>
      <c r="VA101" s="53"/>
      <c r="VB101" s="53"/>
      <c r="VC101" s="53"/>
      <c r="VD101" s="53"/>
      <c r="VE101" s="53"/>
      <c r="VF101" s="53"/>
      <c r="VG101" s="53"/>
      <c r="VH101" s="53"/>
      <c r="VI101" s="53"/>
      <c r="VJ101" s="53"/>
      <c r="VK101" s="53"/>
      <c r="VL101" s="53"/>
    </row>
    <row r="102" spans="1:584" s="47" customFormat="1" ht="13.5" hidden="1" customHeight="1" x14ac:dyDescent="0.25">
      <c r="A102" s="45"/>
      <c r="B102" s="93"/>
      <c r="C102" s="93"/>
      <c r="D102" s="46" t="s">
        <v>342</v>
      </c>
      <c r="E102" s="115">
        <v>0</v>
      </c>
      <c r="F102" s="115"/>
      <c r="G102" s="115"/>
      <c r="H102" s="115"/>
      <c r="I102" s="115"/>
      <c r="J102" s="115"/>
      <c r="K102" s="164" t="e">
        <f t="shared" si="17"/>
        <v>#DIV/0!</v>
      </c>
      <c r="L102" s="115">
        <f t="shared" si="16"/>
        <v>0</v>
      </c>
      <c r="M102" s="115"/>
      <c r="N102" s="115"/>
      <c r="O102" s="115"/>
      <c r="P102" s="115"/>
      <c r="Q102" s="115"/>
      <c r="R102" s="115">
        <f t="shared" si="19"/>
        <v>0</v>
      </c>
      <c r="S102" s="115"/>
      <c r="T102" s="115"/>
      <c r="U102" s="115"/>
      <c r="V102" s="115"/>
      <c r="W102" s="115"/>
      <c r="X102" s="166" t="e">
        <f t="shared" si="18"/>
        <v>#DIV/0!</v>
      </c>
      <c r="Y102" s="115">
        <f t="shared" si="27"/>
        <v>0</v>
      </c>
      <c r="Z102" s="187"/>
      <c r="AA102" s="53"/>
      <c r="AB102" s="53"/>
      <c r="AC102" s="53"/>
      <c r="AD102" s="53"/>
      <c r="AE102" s="79"/>
      <c r="AF102" s="79"/>
      <c r="AG102" s="79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  <c r="IW102" s="53"/>
      <c r="IX102" s="53"/>
      <c r="IY102" s="53"/>
      <c r="IZ102" s="53"/>
      <c r="JA102" s="53"/>
      <c r="JB102" s="53"/>
      <c r="JC102" s="53"/>
      <c r="JD102" s="53"/>
      <c r="JE102" s="53"/>
      <c r="JF102" s="53"/>
      <c r="JG102" s="53"/>
      <c r="JH102" s="53"/>
      <c r="JI102" s="53"/>
      <c r="JJ102" s="53"/>
      <c r="JK102" s="53"/>
      <c r="JL102" s="53"/>
      <c r="JM102" s="53"/>
      <c r="JN102" s="53"/>
      <c r="JO102" s="53"/>
      <c r="JP102" s="53"/>
      <c r="JQ102" s="53"/>
      <c r="JR102" s="53"/>
      <c r="JS102" s="53"/>
      <c r="JT102" s="53"/>
      <c r="JU102" s="53"/>
      <c r="JV102" s="53"/>
      <c r="JW102" s="53"/>
      <c r="JX102" s="53"/>
      <c r="JY102" s="53"/>
      <c r="JZ102" s="53"/>
      <c r="KA102" s="53"/>
      <c r="KB102" s="53"/>
      <c r="KC102" s="53"/>
      <c r="KD102" s="53"/>
      <c r="KE102" s="53"/>
      <c r="KF102" s="53"/>
      <c r="KG102" s="53"/>
      <c r="KH102" s="53"/>
      <c r="KI102" s="53"/>
      <c r="KJ102" s="53"/>
      <c r="KK102" s="53"/>
      <c r="KL102" s="53"/>
      <c r="KM102" s="53"/>
      <c r="KN102" s="53"/>
      <c r="KO102" s="53"/>
      <c r="KP102" s="53"/>
      <c r="KQ102" s="53"/>
      <c r="KR102" s="53"/>
      <c r="KS102" s="53"/>
      <c r="KT102" s="53"/>
      <c r="KU102" s="53"/>
      <c r="KV102" s="53"/>
      <c r="KW102" s="53"/>
      <c r="KX102" s="53"/>
      <c r="KY102" s="53"/>
      <c r="KZ102" s="53"/>
      <c r="LA102" s="53"/>
      <c r="LB102" s="53"/>
      <c r="LC102" s="53"/>
      <c r="LD102" s="53"/>
      <c r="LE102" s="53"/>
      <c r="LF102" s="53"/>
      <c r="LG102" s="53"/>
      <c r="LH102" s="53"/>
      <c r="LI102" s="53"/>
      <c r="LJ102" s="53"/>
      <c r="LK102" s="53"/>
      <c r="LL102" s="53"/>
      <c r="LM102" s="53"/>
      <c r="LN102" s="53"/>
      <c r="LO102" s="53"/>
      <c r="LP102" s="53"/>
      <c r="LQ102" s="53"/>
      <c r="LR102" s="53"/>
      <c r="LS102" s="53"/>
      <c r="LT102" s="53"/>
      <c r="LU102" s="53"/>
      <c r="LV102" s="53"/>
      <c r="LW102" s="53"/>
      <c r="LX102" s="53"/>
      <c r="LY102" s="53"/>
      <c r="LZ102" s="53"/>
      <c r="MA102" s="53"/>
      <c r="MB102" s="53"/>
      <c r="MC102" s="53"/>
      <c r="MD102" s="53"/>
      <c r="ME102" s="53"/>
      <c r="MF102" s="53"/>
      <c r="MG102" s="53"/>
      <c r="MH102" s="53"/>
      <c r="MI102" s="53"/>
      <c r="MJ102" s="53"/>
      <c r="MK102" s="53"/>
      <c r="ML102" s="53"/>
      <c r="MM102" s="53"/>
      <c r="MN102" s="53"/>
      <c r="MO102" s="53"/>
      <c r="MP102" s="53"/>
      <c r="MQ102" s="53"/>
      <c r="MR102" s="53"/>
      <c r="MS102" s="53"/>
      <c r="MT102" s="53"/>
      <c r="MU102" s="53"/>
      <c r="MV102" s="53"/>
      <c r="MW102" s="53"/>
      <c r="MX102" s="53"/>
      <c r="MY102" s="53"/>
      <c r="MZ102" s="53"/>
      <c r="NA102" s="53"/>
      <c r="NB102" s="53"/>
      <c r="NC102" s="53"/>
      <c r="ND102" s="53"/>
      <c r="NE102" s="53"/>
      <c r="NF102" s="53"/>
      <c r="NG102" s="53"/>
      <c r="NH102" s="53"/>
      <c r="NI102" s="53"/>
      <c r="NJ102" s="53"/>
      <c r="NK102" s="53"/>
      <c r="NL102" s="53"/>
      <c r="NM102" s="53"/>
      <c r="NN102" s="53"/>
      <c r="NO102" s="53"/>
      <c r="NP102" s="53"/>
      <c r="NQ102" s="53"/>
      <c r="NR102" s="53"/>
      <c r="NS102" s="53"/>
      <c r="NT102" s="53"/>
      <c r="NU102" s="53"/>
      <c r="NV102" s="53"/>
      <c r="NW102" s="53"/>
      <c r="NX102" s="53"/>
      <c r="NY102" s="53"/>
      <c r="NZ102" s="53"/>
      <c r="OA102" s="53"/>
      <c r="OB102" s="53"/>
      <c r="OC102" s="53"/>
      <c r="OD102" s="53"/>
      <c r="OE102" s="53"/>
      <c r="OF102" s="53"/>
      <c r="OG102" s="53"/>
      <c r="OH102" s="53"/>
      <c r="OI102" s="53"/>
      <c r="OJ102" s="53"/>
      <c r="OK102" s="53"/>
      <c r="OL102" s="53"/>
      <c r="OM102" s="53"/>
      <c r="ON102" s="53"/>
      <c r="OO102" s="53"/>
      <c r="OP102" s="53"/>
      <c r="OQ102" s="53"/>
      <c r="OR102" s="53"/>
      <c r="OS102" s="53"/>
      <c r="OT102" s="53"/>
      <c r="OU102" s="53"/>
      <c r="OV102" s="53"/>
      <c r="OW102" s="53"/>
      <c r="OX102" s="53"/>
      <c r="OY102" s="53"/>
      <c r="OZ102" s="53"/>
      <c r="PA102" s="53"/>
      <c r="PB102" s="53"/>
      <c r="PC102" s="53"/>
      <c r="PD102" s="53"/>
      <c r="PE102" s="53"/>
      <c r="PF102" s="53"/>
      <c r="PG102" s="53"/>
      <c r="PH102" s="53"/>
      <c r="PI102" s="53"/>
      <c r="PJ102" s="53"/>
      <c r="PK102" s="53"/>
      <c r="PL102" s="53"/>
      <c r="PM102" s="53"/>
      <c r="PN102" s="53"/>
      <c r="PO102" s="53"/>
      <c r="PP102" s="53"/>
      <c r="PQ102" s="53"/>
      <c r="PR102" s="53"/>
      <c r="PS102" s="53"/>
      <c r="PT102" s="53"/>
      <c r="PU102" s="53"/>
      <c r="PV102" s="53"/>
      <c r="PW102" s="53"/>
      <c r="PX102" s="53"/>
      <c r="PY102" s="53"/>
      <c r="PZ102" s="53"/>
      <c r="QA102" s="53"/>
      <c r="QB102" s="53"/>
      <c r="QC102" s="53"/>
      <c r="QD102" s="53"/>
      <c r="QE102" s="53"/>
      <c r="QF102" s="53"/>
      <c r="QG102" s="53"/>
      <c r="QH102" s="53"/>
      <c r="QI102" s="53"/>
      <c r="QJ102" s="53"/>
      <c r="QK102" s="53"/>
      <c r="QL102" s="53"/>
      <c r="QM102" s="53"/>
      <c r="QN102" s="53"/>
      <c r="QO102" s="53"/>
      <c r="QP102" s="53"/>
      <c r="QQ102" s="53"/>
      <c r="QR102" s="53"/>
      <c r="QS102" s="53"/>
      <c r="QT102" s="53"/>
      <c r="QU102" s="53"/>
      <c r="QV102" s="53"/>
      <c r="QW102" s="53"/>
      <c r="QX102" s="53"/>
      <c r="QY102" s="53"/>
      <c r="QZ102" s="53"/>
      <c r="RA102" s="53"/>
      <c r="RB102" s="53"/>
      <c r="RC102" s="53"/>
      <c r="RD102" s="53"/>
      <c r="RE102" s="53"/>
      <c r="RF102" s="53"/>
      <c r="RG102" s="53"/>
      <c r="RH102" s="53"/>
      <c r="RI102" s="53"/>
      <c r="RJ102" s="53"/>
      <c r="RK102" s="53"/>
      <c r="RL102" s="53"/>
      <c r="RM102" s="53"/>
      <c r="RN102" s="53"/>
      <c r="RO102" s="53"/>
      <c r="RP102" s="53"/>
      <c r="RQ102" s="53"/>
      <c r="RR102" s="53"/>
      <c r="RS102" s="53"/>
      <c r="RT102" s="53"/>
      <c r="RU102" s="53"/>
      <c r="RV102" s="53"/>
      <c r="RW102" s="53"/>
      <c r="RX102" s="53"/>
      <c r="RY102" s="53"/>
      <c r="RZ102" s="53"/>
      <c r="SA102" s="53"/>
      <c r="SB102" s="53"/>
      <c r="SC102" s="53"/>
      <c r="SD102" s="53"/>
      <c r="SE102" s="53"/>
      <c r="SF102" s="53"/>
      <c r="SG102" s="53"/>
      <c r="SH102" s="53"/>
      <c r="SI102" s="53"/>
      <c r="SJ102" s="53"/>
      <c r="SK102" s="53"/>
      <c r="SL102" s="53"/>
      <c r="SM102" s="53"/>
      <c r="SN102" s="53"/>
      <c r="SO102" s="53"/>
      <c r="SP102" s="53"/>
      <c r="SQ102" s="53"/>
      <c r="SR102" s="53"/>
      <c r="SS102" s="53"/>
      <c r="ST102" s="53"/>
      <c r="SU102" s="53"/>
      <c r="SV102" s="53"/>
      <c r="SW102" s="53"/>
      <c r="SX102" s="53"/>
      <c r="SY102" s="53"/>
      <c r="SZ102" s="53"/>
      <c r="TA102" s="53"/>
      <c r="TB102" s="53"/>
      <c r="TC102" s="53"/>
      <c r="TD102" s="53"/>
      <c r="TE102" s="53"/>
      <c r="TF102" s="53"/>
      <c r="TG102" s="53"/>
      <c r="TH102" s="53"/>
      <c r="TI102" s="53"/>
      <c r="TJ102" s="53"/>
      <c r="TK102" s="53"/>
      <c r="TL102" s="53"/>
      <c r="TM102" s="53"/>
      <c r="TN102" s="53"/>
      <c r="TO102" s="53"/>
      <c r="TP102" s="53"/>
      <c r="TQ102" s="53"/>
      <c r="TR102" s="53"/>
      <c r="TS102" s="53"/>
      <c r="TT102" s="53"/>
      <c r="TU102" s="53"/>
      <c r="TV102" s="53"/>
      <c r="TW102" s="53"/>
      <c r="TX102" s="53"/>
      <c r="TY102" s="53"/>
      <c r="TZ102" s="53"/>
      <c r="UA102" s="53"/>
      <c r="UB102" s="53"/>
      <c r="UC102" s="53"/>
      <c r="UD102" s="53"/>
      <c r="UE102" s="53"/>
      <c r="UF102" s="53"/>
      <c r="UG102" s="53"/>
      <c r="UH102" s="53"/>
      <c r="UI102" s="53"/>
      <c r="UJ102" s="53"/>
      <c r="UK102" s="53"/>
      <c r="UL102" s="53"/>
      <c r="UM102" s="53"/>
      <c r="UN102" s="53"/>
      <c r="UO102" s="53"/>
      <c r="UP102" s="53"/>
      <c r="UQ102" s="53"/>
      <c r="UR102" s="53"/>
      <c r="US102" s="53"/>
      <c r="UT102" s="53"/>
      <c r="UU102" s="53"/>
      <c r="UV102" s="53"/>
      <c r="UW102" s="53"/>
      <c r="UX102" s="53"/>
      <c r="UY102" s="53"/>
      <c r="UZ102" s="53"/>
      <c r="VA102" s="53"/>
      <c r="VB102" s="53"/>
      <c r="VC102" s="53"/>
      <c r="VD102" s="53"/>
      <c r="VE102" s="53"/>
      <c r="VF102" s="53"/>
      <c r="VG102" s="53"/>
      <c r="VH102" s="53"/>
      <c r="VI102" s="53"/>
      <c r="VJ102" s="53"/>
      <c r="VK102" s="53"/>
      <c r="VL102" s="53"/>
    </row>
    <row r="103" spans="1:584" s="47" customFormat="1" ht="24.75" customHeight="1" x14ac:dyDescent="0.25">
      <c r="A103" s="45" t="s">
        <v>499</v>
      </c>
      <c r="B103" s="93" t="str">
        <f>'дод 3'!A55</f>
        <v>2152</v>
      </c>
      <c r="C103" s="93" t="str">
        <f>'дод 3'!B55</f>
        <v>0763</v>
      </c>
      <c r="D103" s="46" t="str">
        <f>'дод 3'!C55</f>
        <v>Інші програми та заходи у сфері охорони здоров’я</v>
      </c>
      <c r="E103" s="115">
        <v>15286600</v>
      </c>
      <c r="F103" s="115"/>
      <c r="G103" s="115"/>
      <c r="H103" s="115">
        <v>15011236.99</v>
      </c>
      <c r="I103" s="115"/>
      <c r="J103" s="115"/>
      <c r="K103" s="164">
        <f t="shared" si="17"/>
        <v>98.198664124134865</v>
      </c>
      <c r="L103" s="115">
        <f t="shared" si="16"/>
        <v>3000000</v>
      </c>
      <c r="M103" s="115">
        <f>3000000-3000000+2042260+957740</f>
        <v>3000000</v>
      </c>
      <c r="N103" s="115"/>
      <c r="O103" s="115"/>
      <c r="P103" s="115"/>
      <c r="Q103" s="115">
        <f>3000000-3000000+2042260+957740</f>
        <v>3000000</v>
      </c>
      <c r="R103" s="115">
        <f t="shared" si="19"/>
        <v>2994566.59</v>
      </c>
      <c r="S103" s="115">
        <v>2994566.59</v>
      </c>
      <c r="T103" s="115"/>
      <c r="U103" s="115"/>
      <c r="V103" s="115"/>
      <c r="W103" s="115">
        <v>2994566.59</v>
      </c>
      <c r="X103" s="166">
        <f t="shared" si="18"/>
        <v>99.818886333333325</v>
      </c>
      <c r="Y103" s="115">
        <f t="shared" si="27"/>
        <v>18005803.579999998</v>
      </c>
      <c r="Z103" s="187"/>
      <c r="AA103" s="53"/>
      <c r="AB103" s="53"/>
      <c r="AC103" s="53"/>
      <c r="AD103" s="53"/>
      <c r="AE103" s="79"/>
      <c r="AF103" s="79"/>
      <c r="AG103" s="79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  <c r="IW103" s="53"/>
      <c r="IX103" s="53"/>
      <c r="IY103" s="53"/>
      <c r="IZ103" s="53"/>
      <c r="JA103" s="53"/>
      <c r="JB103" s="53"/>
      <c r="JC103" s="53"/>
      <c r="JD103" s="53"/>
      <c r="JE103" s="53"/>
      <c r="JF103" s="53"/>
      <c r="JG103" s="53"/>
      <c r="JH103" s="53"/>
      <c r="JI103" s="53"/>
      <c r="JJ103" s="53"/>
      <c r="JK103" s="53"/>
      <c r="JL103" s="53"/>
      <c r="JM103" s="53"/>
      <c r="JN103" s="53"/>
      <c r="JO103" s="53"/>
      <c r="JP103" s="53"/>
      <c r="JQ103" s="53"/>
      <c r="JR103" s="53"/>
      <c r="JS103" s="53"/>
      <c r="JT103" s="53"/>
      <c r="JU103" s="53"/>
      <c r="JV103" s="53"/>
      <c r="JW103" s="53"/>
      <c r="JX103" s="53"/>
      <c r="JY103" s="53"/>
      <c r="JZ103" s="53"/>
      <c r="KA103" s="53"/>
      <c r="KB103" s="53"/>
      <c r="KC103" s="53"/>
      <c r="KD103" s="53"/>
      <c r="KE103" s="53"/>
      <c r="KF103" s="53"/>
      <c r="KG103" s="53"/>
      <c r="KH103" s="53"/>
      <c r="KI103" s="53"/>
      <c r="KJ103" s="53"/>
      <c r="KK103" s="53"/>
      <c r="KL103" s="53"/>
      <c r="KM103" s="53"/>
      <c r="KN103" s="53"/>
      <c r="KO103" s="53"/>
      <c r="KP103" s="53"/>
      <c r="KQ103" s="53"/>
      <c r="KR103" s="53"/>
      <c r="KS103" s="53"/>
      <c r="KT103" s="53"/>
      <c r="KU103" s="53"/>
      <c r="KV103" s="53"/>
      <c r="KW103" s="53"/>
      <c r="KX103" s="53"/>
      <c r="KY103" s="53"/>
      <c r="KZ103" s="53"/>
      <c r="LA103" s="53"/>
      <c r="LB103" s="53"/>
      <c r="LC103" s="53"/>
      <c r="LD103" s="53"/>
      <c r="LE103" s="53"/>
      <c r="LF103" s="53"/>
      <c r="LG103" s="53"/>
      <c r="LH103" s="53"/>
      <c r="LI103" s="53"/>
      <c r="LJ103" s="53"/>
      <c r="LK103" s="53"/>
      <c r="LL103" s="53"/>
      <c r="LM103" s="53"/>
      <c r="LN103" s="53"/>
      <c r="LO103" s="53"/>
      <c r="LP103" s="53"/>
      <c r="LQ103" s="53"/>
      <c r="LR103" s="53"/>
      <c r="LS103" s="53"/>
      <c r="LT103" s="53"/>
      <c r="LU103" s="53"/>
      <c r="LV103" s="53"/>
      <c r="LW103" s="53"/>
      <c r="LX103" s="53"/>
      <c r="LY103" s="53"/>
      <c r="LZ103" s="53"/>
      <c r="MA103" s="53"/>
      <c r="MB103" s="53"/>
      <c r="MC103" s="53"/>
      <c r="MD103" s="53"/>
      <c r="ME103" s="53"/>
      <c r="MF103" s="53"/>
      <c r="MG103" s="53"/>
      <c r="MH103" s="53"/>
      <c r="MI103" s="53"/>
      <c r="MJ103" s="53"/>
      <c r="MK103" s="53"/>
      <c r="ML103" s="53"/>
      <c r="MM103" s="53"/>
      <c r="MN103" s="53"/>
      <c r="MO103" s="53"/>
      <c r="MP103" s="53"/>
      <c r="MQ103" s="53"/>
      <c r="MR103" s="53"/>
      <c r="MS103" s="53"/>
      <c r="MT103" s="53"/>
      <c r="MU103" s="53"/>
      <c r="MV103" s="53"/>
      <c r="MW103" s="53"/>
      <c r="MX103" s="53"/>
      <c r="MY103" s="53"/>
      <c r="MZ103" s="53"/>
      <c r="NA103" s="53"/>
      <c r="NB103" s="53"/>
      <c r="NC103" s="53"/>
      <c r="ND103" s="53"/>
      <c r="NE103" s="53"/>
      <c r="NF103" s="53"/>
      <c r="NG103" s="53"/>
      <c r="NH103" s="53"/>
      <c r="NI103" s="53"/>
      <c r="NJ103" s="53"/>
      <c r="NK103" s="53"/>
      <c r="NL103" s="53"/>
      <c r="NM103" s="53"/>
      <c r="NN103" s="53"/>
      <c r="NO103" s="53"/>
      <c r="NP103" s="53"/>
      <c r="NQ103" s="53"/>
      <c r="NR103" s="53"/>
      <c r="NS103" s="53"/>
      <c r="NT103" s="53"/>
      <c r="NU103" s="53"/>
      <c r="NV103" s="53"/>
      <c r="NW103" s="53"/>
      <c r="NX103" s="53"/>
      <c r="NY103" s="53"/>
      <c r="NZ103" s="53"/>
      <c r="OA103" s="53"/>
      <c r="OB103" s="53"/>
      <c r="OC103" s="53"/>
      <c r="OD103" s="53"/>
      <c r="OE103" s="53"/>
      <c r="OF103" s="53"/>
      <c r="OG103" s="53"/>
      <c r="OH103" s="53"/>
      <c r="OI103" s="53"/>
      <c r="OJ103" s="53"/>
      <c r="OK103" s="53"/>
      <c r="OL103" s="53"/>
      <c r="OM103" s="53"/>
      <c r="ON103" s="53"/>
      <c r="OO103" s="53"/>
      <c r="OP103" s="53"/>
      <c r="OQ103" s="53"/>
      <c r="OR103" s="53"/>
      <c r="OS103" s="53"/>
      <c r="OT103" s="53"/>
      <c r="OU103" s="53"/>
      <c r="OV103" s="53"/>
      <c r="OW103" s="53"/>
      <c r="OX103" s="53"/>
      <c r="OY103" s="53"/>
      <c r="OZ103" s="53"/>
      <c r="PA103" s="53"/>
      <c r="PB103" s="53"/>
      <c r="PC103" s="53"/>
      <c r="PD103" s="53"/>
      <c r="PE103" s="53"/>
      <c r="PF103" s="53"/>
      <c r="PG103" s="53"/>
      <c r="PH103" s="53"/>
      <c r="PI103" s="53"/>
      <c r="PJ103" s="53"/>
      <c r="PK103" s="53"/>
      <c r="PL103" s="53"/>
      <c r="PM103" s="53"/>
      <c r="PN103" s="53"/>
      <c r="PO103" s="53"/>
      <c r="PP103" s="53"/>
      <c r="PQ103" s="53"/>
      <c r="PR103" s="53"/>
      <c r="PS103" s="53"/>
      <c r="PT103" s="53"/>
      <c r="PU103" s="53"/>
      <c r="PV103" s="53"/>
      <c r="PW103" s="53"/>
      <c r="PX103" s="53"/>
      <c r="PY103" s="53"/>
      <c r="PZ103" s="53"/>
      <c r="QA103" s="53"/>
      <c r="QB103" s="53"/>
      <c r="QC103" s="53"/>
      <c r="QD103" s="53"/>
      <c r="QE103" s="53"/>
      <c r="QF103" s="53"/>
      <c r="QG103" s="53"/>
      <c r="QH103" s="53"/>
      <c r="QI103" s="53"/>
      <c r="QJ103" s="53"/>
      <c r="QK103" s="53"/>
      <c r="QL103" s="53"/>
      <c r="QM103" s="53"/>
      <c r="QN103" s="53"/>
      <c r="QO103" s="53"/>
      <c r="QP103" s="53"/>
      <c r="QQ103" s="53"/>
      <c r="QR103" s="53"/>
      <c r="QS103" s="53"/>
      <c r="QT103" s="53"/>
      <c r="QU103" s="53"/>
      <c r="QV103" s="53"/>
      <c r="QW103" s="53"/>
      <c r="QX103" s="53"/>
      <c r="QY103" s="53"/>
      <c r="QZ103" s="53"/>
      <c r="RA103" s="53"/>
      <c r="RB103" s="53"/>
      <c r="RC103" s="53"/>
      <c r="RD103" s="53"/>
      <c r="RE103" s="53"/>
      <c r="RF103" s="53"/>
      <c r="RG103" s="53"/>
      <c r="RH103" s="53"/>
      <c r="RI103" s="53"/>
      <c r="RJ103" s="53"/>
      <c r="RK103" s="53"/>
      <c r="RL103" s="53"/>
      <c r="RM103" s="53"/>
      <c r="RN103" s="53"/>
      <c r="RO103" s="53"/>
      <c r="RP103" s="53"/>
      <c r="RQ103" s="53"/>
      <c r="RR103" s="53"/>
      <c r="RS103" s="53"/>
      <c r="RT103" s="53"/>
      <c r="RU103" s="53"/>
      <c r="RV103" s="53"/>
      <c r="RW103" s="53"/>
      <c r="RX103" s="53"/>
      <c r="RY103" s="53"/>
      <c r="RZ103" s="53"/>
      <c r="SA103" s="53"/>
      <c r="SB103" s="53"/>
      <c r="SC103" s="53"/>
      <c r="SD103" s="53"/>
      <c r="SE103" s="53"/>
      <c r="SF103" s="53"/>
      <c r="SG103" s="53"/>
      <c r="SH103" s="53"/>
      <c r="SI103" s="53"/>
      <c r="SJ103" s="53"/>
      <c r="SK103" s="53"/>
      <c r="SL103" s="53"/>
      <c r="SM103" s="53"/>
      <c r="SN103" s="53"/>
      <c r="SO103" s="53"/>
      <c r="SP103" s="53"/>
      <c r="SQ103" s="53"/>
      <c r="SR103" s="53"/>
      <c r="SS103" s="53"/>
      <c r="ST103" s="53"/>
      <c r="SU103" s="53"/>
      <c r="SV103" s="53"/>
      <c r="SW103" s="53"/>
      <c r="SX103" s="53"/>
      <c r="SY103" s="53"/>
      <c r="SZ103" s="53"/>
      <c r="TA103" s="53"/>
      <c r="TB103" s="53"/>
      <c r="TC103" s="53"/>
      <c r="TD103" s="53"/>
      <c r="TE103" s="53"/>
      <c r="TF103" s="53"/>
      <c r="TG103" s="53"/>
      <c r="TH103" s="53"/>
      <c r="TI103" s="53"/>
      <c r="TJ103" s="53"/>
      <c r="TK103" s="53"/>
      <c r="TL103" s="53"/>
      <c r="TM103" s="53"/>
      <c r="TN103" s="53"/>
      <c r="TO103" s="53"/>
      <c r="TP103" s="53"/>
      <c r="TQ103" s="53"/>
      <c r="TR103" s="53"/>
      <c r="TS103" s="53"/>
      <c r="TT103" s="53"/>
      <c r="TU103" s="53"/>
      <c r="TV103" s="53"/>
      <c r="TW103" s="53"/>
      <c r="TX103" s="53"/>
      <c r="TY103" s="53"/>
      <c r="TZ103" s="53"/>
      <c r="UA103" s="53"/>
      <c r="UB103" s="53"/>
      <c r="UC103" s="53"/>
      <c r="UD103" s="53"/>
      <c r="UE103" s="53"/>
      <c r="UF103" s="53"/>
      <c r="UG103" s="53"/>
      <c r="UH103" s="53"/>
      <c r="UI103" s="53"/>
      <c r="UJ103" s="53"/>
      <c r="UK103" s="53"/>
      <c r="UL103" s="53"/>
      <c r="UM103" s="53"/>
      <c r="UN103" s="53"/>
      <c r="UO103" s="53"/>
      <c r="UP103" s="53"/>
      <c r="UQ103" s="53"/>
      <c r="UR103" s="53"/>
      <c r="US103" s="53"/>
      <c r="UT103" s="53"/>
      <c r="UU103" s="53"/>
      <c r="UV103" s="53"/>
      <c r="UW103" s="53"/>
      <c r="UX103" s="53"/>
      <c r="UY103" s="53"/>
      <c r="UZ103" s="53"/>
      <c r="VA103" s="53"/>
      <c r="VB103" s="53"/>
      <c r="VC103" s="53"/>
      <c r="VD103" s="53"/>
      <c r="VE103" s="53"/>
      <c r="VF103" s="53"/>
      <c r="VG103" s="53"/>
      <c r="VH103" s="53"/>
      <c r="VI103" s="53"/>
      <c r="VJ103" s="53"/>
      <c r="VK103" s="53"/>
      <c r="VL103" s="53"/>
    </row>
    <row r="104" spans="1:584" s="47" customFormat="1" ht="15" hidden="1" customHeight="1" x14ac:dyDescent="0.25">
      <c r="A104" s="45"/>
      <c r="B104" s="93"/>
      <c r="C104" s="93"/>
      <c r="D104" s="46" t="s">
        <v>342</v>
      </c>
      <c r="E104" s="115">
        <v>0</v>
      </c>
      <c r="F104" s="115"/>
      <c r="G104" s="115"/>
      <c r="H104" s="115"/>
      <c r="I104" s="115"/>
      <c r="J104" s="115"/>
      <c r="K104" s="135" t="e">
        <f t="shared" si="17"/>
        <v>#DIV/0!</v>
      </c>
      <c r="L104" s="115">
        <f t="shared" si="16"/>
        <v>0</v>
      </c>
      <c r="M104" s="115"/>
      <c r="N104" s="115"/>
      <c r="O104" s="115"/>
      <c r="P104" s="115"/>
      <c r="Q104" s="115"/>
      <c r="R104" s="115">
        <f t="shared" si="19"/>
        <v>0</v>
      </c>
      <c r="S104" s="115"/>
      <c r="T104" s="115"/>
      <c r="U104" s="115"/>
      <c r="V104" s="115"/>
      <c r="W104" s="115"/>
      <c r="X104" s="166" t="e">
        <f t="shared" si="18"/>
        <v>#DIV/0!</v>
      </c>
      <c r="Y104" s="115">
        <f t="shared" si="27"/>
        <v>0</v>
      </c>
      <c r="Z104" s="187"/>
      <c r="AA104" s="53"/>
      <c r="AB104" s="53"/>
      <c r="AC104" s="53"/>
      <c r="AD104" s="53"/>
      <c r="AE104" s="79"/>
      <c r="AF104" s="79"/>
      <c r="AG104" s="79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  <c r="IW104" s="53"/>
      <c r="IX104" s="53"/>
      <c r="IY104" s="53"/>
      <c r="IZ104" s="53"/>
      <c r="JA104" s="53"/>
      <c r="JB104" s="53"/>
      <c r="JC104" s="53"/>
      <c r="JD104" s="53"/>
      <c r="JE104" s="53"/>
      <c r="JF104" s="53"/>
      <c r="JG104" s="53"/>
      <c r="JH104" s="53"/>
      <c r="JI104" s="53"/>
      <c r="JJ104" s="53"/>
      <c r="JK104" s="53"/>
      <c r="JL104" s="53"/>
      <c r="JM104" s="53"/>
      <c r="JN104" s="53"/>
      <c r="JO104" s="53"/>
      <c r="JP104" s="53"/>
      <c r="JQ104" s="53"/>
      <c r="JR104" s="53"/>
      <c r="JS104" s="53"/>
      <c r="JT104" s="53"/>
      <c r="JU104" s="53"/>
      <c r="JV104" s="53"/>
      <c r="JW104" s="53"/>
      <c r="JX104" s="53"/>
      <c r="JY104" s="53"/>
      <c r="JZ104" s="53"/>
      <c r="KA104" s="53"/>
      <c r="KB104" s="53"/>
      <c r="KC104" s="53"/>
      <c r="KD104" s="53"/>
      <c r="KE104" s="53"/>
      <c r="KF104" s="53"/>
      <c r="KG104" s="53"/>
      <c r="KH104" s="53"/>
      <c r="KI104" s="53"/>
      <c r="KJ104" s="53"/>
      <c r="KK104" s="53"/>
      <c r="KL104" s="53"/>
      <c r="KM104" s="53"/>
      <c r="KN104" s="53"/>
      <c r="KO104" s="53"/>
      <c r="KP104" s="53"/>
      <c r="KQ104" s="53"/>
      <c r="KR104" s="53"/>
      <c r="KS104" s="53"/>
      <c r="KT104" s="53"/>
      <c r="KU104" s="53"/>
      <c r="KV104" s="53"/>
      <c r="KW104" s="53"/>
      <c r="KX104" s="53"/>
      <c r="KY104" s="53"/>
      <c r="KZ104" s="53"/>
      <c r="LA104" s="53"/>
      <c r="LB104" s="53"/>
      <c r="LC104" s="53"/>
      <c r="LD104" s="53"/>
      <c r="LE104" s="53"/>
      <c r="LF104" s="53"/>
      <c r="LG104" s="53"/>
      <c r="LH104" s="53"/>
      <c r="LI104" s="53"/>
      <c r="LJ104" s="53"/>
      <c r="LK104" s="53"/>
      <c r="LL104" s="53"/>
      <c r="LM104" s="53"/>
      <c r="LN104" s="53"/>
      <c r="LO104" s="53"/>
      <c r="LP104" s="53"/>
      <c r="LQ104" s="53"/>
      <c r="LR104" s="53"/>
      <c r="LS104" s="53"/>
      <c r="LT104" s="53"/>
      <c r="LU104" s="53"/>
      <c r="LV104" s="53"/>
      <c r="LW104" s="53"/>
      <c r="LX104" s="53"/>
      <c r="LY104" s="53"/>
      <c r="LZ104" s="53"/>
      <c r="MA104" s="53"/>
      <c r="MB104" s="53"/>
      <c r="MC104" s="53"/>
      <c r="MD104" s="53"/>
      <c r="ME104" s="53"/>
      <c r="MF104" s="53"/>
      <c r="MG104" s="53"/>
      <c r="MH104" s="53"/>
      <c r="MI104" s="53"/>
      <c r="MJ104" s="53"/>
      <c r="MK104" s="53"/>
      <c r="ML104" s="53"/>
      <c r="MM104" s="53"/>
      <c r="MN104" s="53"/>
      <c r="MO104" s="53"/>
      <c r="MP104" s="53"/>
      <c r="MQ104" s="53"/>
      <c r="MR104" s="53"/>
      <c r="MS104" s="53"/>
      <c r="MT104" s="53"/>
      <c r="MU104" s="53"/>
      <c r="MV104" s="53"/>
      <c r="MW104" s="53"/>
      <c r="MX104" s="53"/>
      <c r="MY104" s="53"/>
      <c r="MZ104" s="53"/>
      <c r="NA104" s="53"/>
      <c r="NB104" s="53"/>
      <c r="NC104" s="53"/>
      <c r="ND104" s="53"/>
      <c r="NE104" s="53"/>
      <c r="NF104" s="53"/>
      <c r="NG104" s="53"/>
      <c r="NH104" s="53"/>
      <c r="NI104" s="53"/>
      <c r="NJ104" s="53"/>
      <c r="NK104" s="53"/>
      <c r="NL104" s="53"/>
      <c r="NM104" s="53"/>
      <c r="NN104" s="53"/>
      <c r="NO104" s="53"/>
      <c r="NP104" s="53"/>
      <c r="NQ104" s="53"/>
      <c r="NR104" s="53"/>
      <c r="NS104" s="53"/>
      <c r="NT104" s="53"/>
      <c r="NU104" s="53"/>
      <c r="NV104" s="53"/>
      <c r="NW104" s="53"/>
      <c r="NX104" s="53"/>
      <c r="NY104" s="53"/>
      <c r="NZ104" s="53"/>
      <c r="OA104" s="53"/>
      <c r="OB104" s="53"/>
      <c r="OC104" s="53"/>
      <c r="OD104" s="53"/>
      <c r="OE104" s="53"/>
      <c r="OF104" s="53"/>
      <c r="OG104" s="53"/>
      <c r="OH104" s="53"/>
      <c r="OI104" s="53"/>
      <c r="OJ104" s="53"/>
      <c r="OK104" s="53"/>
      <c r="OL104" s="53"/>
      <c r="OM104" s="53"/>
      <c r="ON104" s="53"/>
      <c r="OO104" s="53"/>
      <c r="OP104" s="53"/>
      <c r="OQ104" s="53"/>
      <c r="OR104" s="53"/>
      <c r="OS104" s="53"/>
      <c r="OT104" s="53"/>
      <c r="OU104" s="53"/>
      <c r="OV104" s="53"/>
      <c r="OW104" s="53"/>
      <c r="OX104" s="53"/>
      <c r="OY104" s="53"/>
      <c r="OZ104" s="53"/>
      <c r="PA104" s="53"/>
      <c r="PB104" s="53"/>
      <c r="PC104" s="53"/>
      <c r="PD104" s="53"/>
      <c r="PE104" s="53"/>
      <c r="PF104" s="53"/>
      <c r="PG104" s="53"/>
      <c r="PH104" s="53"/>
      <c r="PI104" s="53"/>
      <c r="PJ104" s="53"/>
      <c r="PK104" s="53"/>
      <c r="PL104" s="53"/>
      <c r="PM104" s="53"/>
      <c r="PN104" s="53"/>
      <c r="PO104" s="53"/>
      <c r="PP104" s="53"/>
      <c r="PQ104" s="53"/>
      <c r="PR104" s="53"/>
      <c r="PS104" s="53"/>
      <c r="PT104" s="53"/>
      <c r="PU104" s="53"/>
      <c r="PV104" s="53"/>
      <c r="PW104" s="53"/>
      <c r="PX104" s="53"/>
      <c r="PY104" s="53"/>
      <c r="PZ104" s="53"/>
      <c r="QA104" s="53"/>
      <c r="QB104" s="53"/>
      <c r="QC104" s="53"/>
      <c r="QD104" s="53"/>
      <c r="QE104" s="53"/>
      <c r="QF104" s="53"/>
      <c r="QG104" s="53"/>
      <c r="QH104" s="53"/>
      <c r="QI104" s="53"/>
      <c r="QJ104" s="53"/>
      <c r="QK104" s="53"/>
      <c r="QL104" s="53"/>
      <c r="QM104" s="53"/>
      <c r="QN104" s="53"/>
      <c r="QO104" s="53"/>
      <c r="QP104" s="53"/>
      <c r="QQ104" s="53"/>
      <c r="QR104" s="53"/>
      <c r="QS104" s="53"/>
      <c r="QT104" s="53"/>
      <c r="QU104" s="53"/>
      <c r="QV104" s="53"/>
      <c r="QW104" s="53"/>
      <c r="QX104" s="53"/>
      <c r="QY104" s="53"/>
      <c r="QZ104" s="53"/>
      <c r="RA104" s="53"/>
      <c r="RB104" s="53"/>
      <c r="RC104" s="53"/>
      <c r="RD104" s="53"/>
      <c r="RE104" s="53"/>
      <c r="RF104" s="53"/>
      <c r="RG104" s="53"/>
      <c r="RH104" s="53"/>
      <c r="RI104" s="53"/>
      <c r="RJ104" s="53"/>
      <c r="RK104" s="53"/>
      <c r="RL104" s="53"/>
      <c r="RM104" s="53"/>
      <c r="RN104" s="53"/>
      <c r="RO104" s="53"/>
      <c r="RP104" s="53"/>
      <c r="RQ104" s="53"/>
      <c r="RR104" s="53"/>
      <c r="RS104" s="53"/>
      <c r="RT104" s="53"/>
      <c r="RU104" s="53"/>
      <c r="RV104" s="53"/>
      <c r="RW104" s="53"/>
      <c r="RX104" s="53"/>
      <c r="RY104" s="53"/>
      <c r="RZ104" s="53"/>
      <c r="SA104" s="53"/>
      <c r="SB104" s="53"/>
      <c r="SC104" s="53"/>
      <c r="SD104" s="53"/>
      <c r="SE104" s="53"/>
      <c r="SF104" s="53"/>
      <c r="SG104" s="53"/>
      <c r="SH104" s="53"/>
      <c r="SI104" s="53"/>
      <c r="SJ104" s="53"/>
      <c r="SK104" s="53"/>
      <c r="SL104" s="53"/>
      <c r="SM104" s="53"/>
      <c r="SN104" s="53"/>
      <c r="SO104" s="53"/>
      <c r="SP104" s="53"/>
      <c r="SQ104" s="53"/>
      <c r="SR104" s="53"/>
      <c r="SS104" s="53"/>
      <c r="ST104" s="53"/>
      <c r="SU104" s="53"/>
      <c r="SV104" s="53"/>
      <c r="SW104" s="53"/>
      <c r="SX104" s="53"/>
      <c r="SY104" s="53"/>
      <c r="SZ104" s="53"/>
      <c r="TA104" s="53"/>
      <c r="TB104" s="53"/>
      <c r="TC104" s="53"/>
      <c r="TD104" s="53"/>
      <c r="TE104" s="53"/>
      <c r="TF104" s="53"/>
      <c r="TG104" s="53"/>
      <c r="TH104" s="53"/>
      <c r="TI104" s="53"/>
      <c r="TJ104" s="53"/>
      <c r="TK104" s="53"/>
      <c r="TL104" s="53"/>
      <c r="TM104" s="53"/>
      <c r="TN104" s="53"/>
      <c r="TO104" s="53"/>
      <c r="TP104" s="53"/>
      <c r="TQ104" s="53"/>
      <c r="TR104" s="53"/>
      <c r="TS104" s="53"/>
      <c r="TT104" s="53"/>
      <c r="TU104" s="53"/>
      <c r="TV104" s="53"/>
      <c r="TW104" s="53"/>
      <c r="TX104" s="53"/>
      <c r="TY104" s="53"/>
      <c r="TZ104" s="53"/>
      <c r="UA104" s="53"/>
      <c r="UB104" s="53"/>
      <c r="UC104" s="53"/>
      <c r="UD104" s="53"/>
      <c r="UE104" s="53"/>
      <c r="UF104" s="53"/>
      <c r="UG104" s="53"/>
      <c r="UH104" s="53"/>
      <c r="UI104" s="53"/>
      <c r="UJ104" s="53"/>
      <c r="UK104" s="53"/>
      <c r="UL104" s="53"/>
      <c r="UM104" s="53"/>
      <c r="UN104" s="53"/>
      <c r="UO104" s="53"/>
      <c r="UP104" s="53"/>
      <c r="UQ104" s="53"/>
      <c r="UR104" s="53"/>
      <c r="US104" s="53"/>
      <c r="UT104" s="53"/>
      <c r="UU104" s="53"/>
      <c r="UV104" s="53"/>
      <c r="UW104" s="53"/>
      <c r="UX104" s="53"/>
      <c r="UY104" s="53"/>
      <c r="UZ104" s="53"/>
      <c r="VA104" s="53"/>
      <c r="VB104" s="53"/>
      <c r="VC104" s="53"/>
      <c r="VD104" s="53"/>
      <c r="VE104" s="53"/>
      <c r="VF104" s="53"/>
      <c r="VG104" s="53"/>
      <c r="VH104" s="53"/>
      <c r="VI104" s="53"/>
      <c r="VJ104" s="53"/>
      <c r="VK104" s="53"/>
      <c r="VL104" s="53"/>
    </row>
    <row r="105" spans="1:584" s="47" customFormat="1" ht="36.75" customHeight="1" x14ac:dyDescent="0.25">
      <c r="A105" s="45" t="s">
        <v>500</v>
      </c>
      <c r="B105" s="93" t="str">
        <f>'дод 3'!A172</f>
        <v>7363</v>
      </c>
      <c r="C105" s="93" t="str">
        <f>'дод 3'!B172</f>
        <v>0490</v>
      </c>
      <c r="D105" s="46" t="str">
        <f>'дод 3'!C172</f>
        <v>Виконання інвестиційних проектів в рамках здійснення заходів щодо соціально-економічного розвитку окремих територій</v>
      </c>
      <c r="E105" s="115">
        <v>0</v>
      </c>
      <c r="F105" s="115"/>
      <c r="G105" s="115"/>
      <c r="H105" s="115"/>
      <c r="I105" s="115"/>
      <c r="J105" s="115"/>
      <c r="K105" s="135"/>
      <c r="L105" s="115">
        <f t="shared" si="16"/>
        <v>4819135</v>
      </c>
      <c r="M105" s="115">
        <f>679911.7+2639223.3+1500000+4000000-4000000</f>
        <v>4819135</v>
      </c>
      <c r="N105" s="115"/>
      <c r="O105" s="115"/>
      <c r="P105" s="115"/>
      <c r="Q105" s="115">
        <f>679911.7+2639223.3+1500000+4000000-4000000</f>
        <v>4819135</v>
      </c>
      <c r="R105" s="115">
        <f t="shared" si="19"/>
        <v>4814355</v>
      </c>
      <c r="S105" s="115">
        <v>4814355</v>
      </c>
      <c r="T105" s="115"/>
      <c r="U105" s="115"/>
      <c r="V105" s="115"/>
      <c r="W105" s="115">
        <v>4814355</v>
      </c>
      <c r="X105" s="166">
        <f t="shared" si="18"/>
        <v>99.900812075196072</v>
      </c>
      <c r="Y105" s="115">
        <f t="shared" si="27"/>
        <v>4814355</v>
      </c>
      <c r="Z105" s="187"/>
      <c r="AA105" s="53"/>
      <c r="AB105" s="53"/>
      <c r="AC105" s="53"/>
      <c r="AD105" s="53"/>
      <c r="AE105" s="79"/>
      <c r="AF105" s="79"/>
      <c r="AG105" s="79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3"/>
      <c r="IS105" s="53"/>
      <c r="IT105" s="53"/>
      <c r="IU105" s="53"/>
      <c r="IV105" s="53"/>
      <c r="IW105" s="53"/>
      <c r="IX105" s="53"/>
      <c r="IY105" s="53"/>
      <c r="IZ105" s="53"/>
      <c r="JA105" s="53"/>
      <c r="JB105" s="53"/>
      <c r="JC105" s="53"/>
      <c r="JD105" s="53"/>
      <c r="JE105" s="53"/>
      <c r="JF105" s="53"/>
      <c r="JG105" s="53"/>
      <c r="JH105" s="53"/>
      <c r="JI105" s="53"/>
      <c r="JJ105" s="53"/>
      <c r="JK105" s="53"/>
      <c r="JL105" s="53"/>
      <c r="JM105" s="53"/>
      <c r="JN105" s="53"/>
      <c r="JO105" s="53"/>
      <c r="JP105" s="53"/>
      <c r="JQ105" s="53"/>
      <c r="JR105" s="53"/>
      <c r="JS105" s="53"/>
      <c r="JT105" s="53"/>
      <c r="JU105" s="53"/>
      <c r="JV105" s="53"/>
      <c r="JW105" s="53"/>
      <c r="JX105" s="53"/>
      <c r="JY105" s="53"/>
      <c r="JZ105" s="53"/>
      <c r="KA105" s="53"/>
      <c r="KB105" s="53"/>
      <c r="KC105" s="53"/>
      <c r="KD105" s="53"/>
      <c r="KE105" s="53"/>
      <c r="KF105" s="53"/>
      <c r="KG105" s="53"/>
      <c r="KH105" s="53"/>
      <c r="KI105" s="53"/>
      <c r="KJ105" s="53"/>
      <c r="KK105" s="53"/>
      <c r="KL105" s="53"/>
      <c r="KM105" s="53"/>
      <c r="KN105" s="53"/>
      <c r="KO105" s="53"/>
      <c r="KP105" s="53"/>
      <c r="KQ105" s="53"/>
      <c r="KR105" s="53"/>
      <c r="KS105" s="53"/>
      <c r="KT105" s="53"/>
      <c r="KU105" s="53"/>
      <c r="KV105" s="53"/>
      <c r="KW105" s="53"/>
      <c r="KX105" s="53"/>
      <c r="KY105" s="53"/>
      <c r="KZ105" s="53"/>
      <c r="LA105" s="53"/>
      <c r="LB105" s="53"/>
      <c r="LC105" s="53"/>
      <c r="LD105" s="53"/>
      <c r="LE105" s="53"/>
      <c r="LF105" s="53"/>
      <c r="LG105" s="53"/>
      <c r="LH105" s="53"/>
      <c r="LI105" s="53"/>
      <c r="LJ105" s="53"/>
      <c r="LK105" s="53"/>
      <c r="LL105" s="53"/>
      <c r="LM105" s="53"/>
      <c r="LN105" s="53"/>
      <c r="LO105" s="53"/>
      <c r="LP105" s="53"/>
      <c r="LQ105" s="53"/>
      <c r="LR105" s="53"/>
      <c r="LS105" s="53"/>
      <c r="LT105" s="53"/>
      <c r="LU105" s="53"/>
      <c r="LV105" s="53"/>
      <c r="LW105" s="53"/>
      <c r="LX105" s="53"/>
      <c r="LY105" s="53"/>
      <c r="LZ105" s="53"/>
      <c r="MA105" s="53"/>
      <c r="MB105" s="53"/>
      <c r="MC105" s="53"/>
      <c r="MD105" s="53"/>
      <c r="ME105" s="53"/>
      <c r="MF105" s="53"/>
      <c r="MG105" s="53"/>
      <c r="MH105" s="53"/>
      <c r="MI105" s="53"/>
      <c r="MJ105" s="53"/>
      <c r="MK105" s="53"/>
      <c r="ML105" s="53"/>
      <c r="MM105" s="53"/>
      <c r="MN105" s="53"/>
      <c r="MO105" s="53"/>
      <c r="MP105" s="53"/>
      <c r="MQ105" s="53"/>
      <c r="MR105" s="53"/>
      <c r="MS105" s="53"/>
      <c r="MT105" s="53"/>
      <c r="MU105" s="53"/>
      <c r="MV105" s="53"/>
      <c r="MW105" s="53"/>
      <c r="MX105" s="53"/>
      <c r="MY105" s="53"/>
      <c r="MZ105" s="53"/>
      <c r="NA105" s="53"/>
      <c r="NB105" s="53"/>
      <c r="NC105" s="53"/>
      <c r="ND105" s="53"/>
      <c r="NE105" s="53"/>
      <c r="NF105" s="53"/>
      <c r="NG105" s="53"/>
      <c r="NH105" s="53"/>
      <c r="NI105" s="53"/>
      <c r="NJ105" s="53"/>
      <c r="NK105" s="53"/>
      <c r="NL105" s="53"/>
      <c r="NM105" s="53"/>
      <c r="NN105" s="53"/>
      <c r="NO105" s="53"/>
      <c r="NP105" s="53"/>
      <c r="NQ105" s="53"/>
      <c r="NR105" s="53"/>
      <c r="NS105" s="53"/>
      <c r="NT105" s="53"/>
      <c r="NU105" s="53"/>
      <c r="NV105" s="53"/>
      <c r="NW105" s="53"/>
      <c r="NX105" s="53"/>
      <c r="NY105" s="53"/>
      <c r="NZ105" s="53"/>
      <c r="OA105" s="53"/>
      <c r="OB105" s="53"/>
      <c r="OC105" s="53"/>
      <c r="OD105" s="53"/>
      <c r="OE105" s="53"/>
      <c r="OF105" s="53"/>
      <c r="OG105" s="53"/>
      <c r="OH105" s="53"/>
      <c r="OI105" s="53"/>
      <c r="OJ105" s="53"/>
      <c r="OK105" s="53"/>
      <c r="OL105" s="53"/>
      <c r="OM105" s="53"/>
      <c r="ON105" s="53"/>
      <c r="OO105" s="53"/>
      <c r="OP105" s="53"/>
      <c r="OQ105" s="53"/>
      <c r="OR105" s="53"/>
      <c r="OS105" s="53"/>
      <c r="OT105" s="53"/>
      <c r="OU105" s="53"/>
      <c r="OV105" s="53"/>
      <c r="OW105" s="53"/>
      <c r="OX105" s="53"/>
      <c r="OY105" s="53"/>
      <c r="OZ105" s="53"/>
      <c r="PA105" s="53"/>
      <c r="PB105" s="53"/>
      <c r="PC105" s="53"/>
      <c r="PD105" s="53"/>
      <c r="PE105" s="53"/>
      <c r="PF105" s="53"/>
      <c r="PG105" s="53"/>
      <c r="PH105" s="53"/>
      <c r="PI105" s="53"/>
      <c r="PJ105" s="53"/>
      <c r="PK105" s="53"/>
      <c r="PL105" s="53"/>
      <c r="PM105" s="53"/>
      <c r="PN105" s="53"/>
      <c r="PO105" s="53"/>
      <c r="PP105" s="53"/>
      <c r="PQ105" s="53"/>
      <c r="PR105" s="53"/>
      <c r="PS105" s="53"/>
      <c r="PT105" s="53"/>
      <c r="PU105" s="53"/>
      <c r="PV105" s="53"/>
      <c r="PW105" s="53"/>
      <c r="PX105" s="53"/>
      <c r="PY105" s="53"/>
      <c r="PZ105" s="53"/>
      <c r="QA105" s="53"/>
      <c r="QB105" s="53"/>
      <c r="QC105" s="53"/>
      <c r="QD105" s="53"/>
      <c r="QE105" s="53"/>
      <c r="QF105" s="53"/>
      <c r="QG105" s="53"/>
      <c r="QH105" s="53"/>
      <c r="QI105" s="53"/>
      <c r="QJ105" s="53"/>
      <c r="QK105" s="53"/>
      <c r="QL105" s="53"/>
      <c r="QM105" s="53"/>
      <c r="QN105" s="53"/>
      <c r="QO105" s="53"/>
      <c r="QP105" s="53"/>
      <c r="QQ105" s="53"/>
      <c r="QR105" s="53"/>
      <c r="QS105" s="53"/>
      <c r="QT105" s="53"/>
      <c r="QU105" s="53"/>
      <c r="QV105" s="53"/>
      <c r="QW105" s="53"/>
      <c r="QX105" s="53"/>
      <c r="QY105" s="53"/>
      <c r="QZ105" s="53"/>
      <c r="RA105" s="53"/>
      <c r="RB105" s="53"/>
      <c r="RC105" s="53"/>
      <c r="RD105" s="53"/>
      <c r="RE105" s="53"/>
      <c r="RF105" s="53"/>
      <c r="RG105" s="53"/>
      <c r="RH105" s="53"/>
      <c r="RI105" s="53"/>
      <c r="RJ105" s="53"/>
      <c r="RK105" s="53"/>
      <c r="RL105" s="53"/>
      <c r="RM105" s="53"/>
      <c r="RN105" s="53"/>
      <c r="RO105" s="53"/>
      <c r="RP105" s="53"/>
      <c r="RQ105" s="53"/>
      <c r="RR105" s="53"/>
      <c r="RS105" s="53"/>
      <c r="RT105" s="53"/>
      <c r="RU105" s="53"/>
      <c r="RV105" s="53"/>
      <c r="RW105" s="53"/>
      <c r="RX105" s="53"/>
      <c r="RY105" s="53"/>
      <c r="RZ105" s="53"/>
      <c r="SA105" s="53"/>
      <c r="SB105" s="53"/>
      <c r="SC105" s="53"/>
      <c r="SD105" s="53"/>
      <c r="SE105" s="53"/>
      <c r="SF105" s="53"/>
      <c r="SG105" s="53"/>
      <c r="SH105" s="53"/>
      <c r="SI105" s="53"/>
      <c r="SJ105" s="53"/>
      <c r="SK105" s="53"/>
      <c r="SL105" s="53"/>
      <c r="SM105" s="53"/>
      <c r="SN105" s="53"/>
      <c r="SO105" s="53"/>
      <c r="SP105" s="53"/>
      <c r="SQ105" s="53"/>
      <c r="SR105" s="53"/>
      <c r="SS105" s="53"/>
      <c r="ST105" s="53"/>
      <c r="SU105" s="53"/>
      <c r="SV105" s="53"/>
      <c r="SW105" s="53"/>
      <c r="SX105" s="53"/>
      <c r="SY105" s="53"/>
      <c r="SZ105" s="53"/>
      <c r="TA105" s="53"/>
      <c r="TB105" s="53"/>
      <c r="TC105" s="53"/>
      <c r="TD105" s="53"/>
      <c r="TE105" s="53"/>
      <c r="TF105" s="53"/>
      <c r="TG105" s="53"/>
      <c r="TH105" s="53"/>
      <c r="TI105" s="53"/>
      <c r="TJ105" s="53"/>
      <c r="TK105" s="53"/>
      <c r="TL105" s="53"/>
      <c r="TM105" s="53"/>
      <c r="TN105" s="53"/>
      <c r="TO105" s="53"/>
      <c r="TP105" s="53"/>
      <c r="TQ105" s="53"/>
      <c r="TR105" s="53"/>
      <c r="TS105" s="53"/>
      <c r="TT105" s="53"/>
      <c r="TU105" s="53"/>
      <c r="TV105" s="53"/>
      <c r="TW105" s="53"/>
      <c r="TX105" s="53"/>
      <c r="TY105" s="53"/>
      <c r="TZ105" s="53"/>
      <c r="UA105" s="53"/>
      <c r="UB105" s="53"/>
      <c r="UC105" s="53"/>
      <c r="UD105" s="53"/>
      <c r="UE105" s="53"/>
      <c r="UF105" s="53"/>
      <c r="UG105" s="53"/>
      <c r="UH105" s="53"/>
      <c r="UI105" s="53"/>
      <c r="UJ105" s="53"/>
      <c r="UK105" s="53"/>
      <c r="UL105" s="53"/>
      <c r="UM105" s="53"/>
      <c r="UN105" s="53"/>
      <c r="UO105" s="53"/>
      <c r="UP105" s="53"/>
      <c r="UQ105" s="53"/>
      <c r="UR105" s="53"/>
      <c r="US105" s="53"/>
      <c r="UT105" s="53"/>
      <c r="UU105" s="53"/>
      <c r="UV105" s="53"/>
      <c r="UW105" s="53"/>
      <c r="UX105" s="53"/>
      <c r="UY105" s="53"/>
      <c r="UZ105" s="53"/>
      <c r="VA105" s="53"/>
      <c r="VB105" s="53"/>
      <c r="VC105" s="53"/>
      <c r="VD105" s="53"/>
      <c r="VE105" s="53"/>
      <c r="VF105" s="53"/>
      <c r="VG105" s="53"/>
      <c r="VH105" s="53"/>
      <c r="VI105" s="53"/>
      <c r="VJ105" s="53"/>
      <c r="VK105" s="53"/>
      <c r="VL105" s="53"/>
    </row>
    <row r="106" spans="1:584" s="47" customFormat="1" ht="20.25" customHeight="1" x14ac:dyDescent="0.25">
      <c r="A106" s="45"/>
      <c r="B106" s="93"/>
      <c r="C106" s="93"/>
      <c r="D106" s="51" t="s">
        <v>342</v>
      </c>
      <c r="E106" s="115">
        <v>0</v>
      </c>
      <c r="F106" s="115"/>
      <c r="G106" s="115"/>
      <c r="H106" s="115"/>
      <c r="I106" s="115"/>
      <c r="J106" s="115"/>
      <c r="K106" s="135"/>
      <c r="L106" s="115">
        <f t="shared" si="16"/>
        <v>4139223.3</v>
      </c>
      <c r="M106" s="115">
        <f>2639223.3+1500000+4000000-4000000</f>
        <v>4139223.3</v>
      </c>
      <c r="N106" s="115"/>
      <c r="O106" s="115"/>
      <c r="P106" s="115"/>
      <c r="Q106" s="115">
        <f>2639223.3+1500000+4000000-4000000</f>
        <v>4139223.3</v>
      </c>
      <c r="R106" s="115">
        <f t="shared" si="19"/>
        <v>4134443.3</v>
      </c>
      <c r="S106" s="115">
        <v>4134443.3</v>
      </c>
      <c r="T106" s="115"/>
      <c r="U106" s="115"/>
      <c r="V106" s="115"/>
      <c r="W106" s="115">
        <v>4134443.3</v>
      </c>
      <c r="X106" s="166">
        <f t="shared" si="18"/>
        <v>99.884519397636751</v>
      </c>
      <c r="Y106" s="115">
        <f t="shared" si="27"/>
        <v>4134443.3</v>
      </c>
      <c r="Z106" s="187"/>
      <c r="AA106" s="53"/>
      <c r="AB106" s="53"/>
      <c r="AC106" s="53"/>
      <c r="AD106" s="53"/>
      <c r="AE106" s="79"/>
      <c r="AF106" s="79"/>
      <c r="AG106" s="79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/>
      <c r="IT106" s="53"/>
      <c r="IU106" s="53"/>
      <c r="IV106" s="53"/>
      <c r="IW106" s="53"/>
      <c r="IX106" s="53"/>
      <c r="IY106" s="53"/>
      <c r="IZ106" s="53"/>
      <c r="JA106" s="53"/>
      <c r="JB106" s="53"/>
      <c r="JC106" s="53"/>
      <c r="JD106" s="53"/>
      <c r="JE106" s="53"/>
      <c r="JF106" s="53"/>
      <c r="JG106" s="53"/>
      <c r="JH106" s="53"/>
      <c r="JI106" s="53"/>
      <c r="JJ106" s="53"/>
      <c r="JK106" s="53"/>
      <c r="JL106" s="53"/>
      <c r="JM106" s="53"/>
      <c r="JN106" s="53"/>
      <c r="JO106" s="53"/>
      <c r="JP106" s="53"/>
      <c r="JQ106" s="53"/>
      <c r="JR106" s="53"/>
      <c r="JS106" s="53"/>
      <c r="JT106" s="53"/>
      <c r="JU106" s="53"/>
      <c r="JV106" s="53"/>
      <c r="JW106" s="53"/>
      <c r="JX106" s="53"/>
      <c r="JY106" s="53"/>
      <c r="JZ106" s="53"/>
      <c r="KA106" s="53"/>
      <c r="KB106" s="53"/>
      <c r="KC106" s="53"/>
      <c r="KD106" s="53"/>
      <c r="KE106" s="53"/>
      <c r="KF106" s="53"/>
      <c r="KG106" s="53"/>
      <c r="KH106" s="53"/>
      <c r="KI106" s="53"/>
      <c r="KJ106" s="53"/>
      <c r="KK106" s="53"/>
      <c r="KL106" s="53"/>
      <c r="KM106" s="53"/>
      <c r="KN106" s="53"/>
      <c r="KO106" s="53"/>
      <c r="KP106" s="53"/>
      <c r="KQ106" s="53"/>
      <c r="KR106" s="53"/>
      <c r="KS106" s="53"/>
      <c r="KT106" s="53"/>
      <c r="KU106" s="53"/>
      <c r="KV106" s="53"/>
      <c r="KW106" s="53"/>
      <c r="KX106" s="53"/>
      <c r="KY106" s="53"/>
      <c r="KZ106" s="53"/>
      <c r="LA106" s="53"/>
      <c r="LB106" s="53"/>
      <c r="LC106" s="53"/>
      <c r="LD106" s="53"/>
      <c r="LE106" s="53"/>
      <c r="LF106" s="53"/>
      <c r="LG106" s="53"/>
      <c r="LH106" s="53"/>
      <c r="LI106" s="53"/>
      <c r="LJ106" s="53"/>
      <c r="LK106" s="53"/>
      <c r="LL106" s="53"/>
      <c r="LM106" s="53"/>
      <c r="LN106" s="53"/>
      <c r="LO106" s="53"/>
      <c r="LP106" s="53"/>
      <c r="LQ106" s="53"/>
      <c r="LR106" s="53"/>
      <c r="LS106" s="53"/>
      <c r="LT106" s="53"/>
      <c r="LU106" s="53"/>
      <c r="LV106" s="53"/>
      <c r="LW106" s="53"/>
      <c r="LX106" s="53"/>
      <c r="LY106" s="53"/>
      <c r="LZ106" s="53"/>
      <c r="MA106" s="53"/>
      <c r="MB106" s="53"/>
      <c r="MC106" s="53"/>
      <c r="MD106" s="53"/>
      <c r="ME106" s="53"/>
      <c r="MF106" s="53"/>
      <c r="MG106" s="53"/>
      <c r="MH106" s="53"/>
      <c r="MI106" s="53"/>
      <c r="MJ106" s="53"/>
      <c r="MK106" s="53"/>
      <c r="ML106" s="53"/>
      <c r="MM106" s="53"/>
      <c r="MN106" s="53"/>
      <c r="MO106" s="53"/>
      <c r="MP106" s="53"/>
      <c r="MQ106" s="53"/>
      <c r="MR106" s="53"/>
      <c r="MS106" s="53"/>
      <c r="MT106" s="53"/>
      <c r="MU106" s="53"/>
      <c r="MV106" s="53"/>
      <c r="MW106" s="53"/>
      <c r="MX106" s="53"/>
      <c r="MY106" s="53"/>
      <c r="MZ106" s="53"/>
      <c r="NA106" s="53"/>
      <c r="NB106" s="53"/>
      <c r="NC106" s="53"/>
      <c r="ND106" s="53"/>
      <c r="NE106" s="53"/>
      <c r="NF106" s="53"/>
      <c r="NG106" s="53"/>
      <c r="NH106" s="53"/>
      <c r="NI106" s="53"/>
      <c r="NJ106" s="53"/>
      <c r="NK106" s="53"/>
      <c r="NL106" s="53"/>
      <c r="NM106" s="53"/>
      <c r="NN106" s="53"/>
      <c r="NO106" s="53"/>
      <c r="NP106" s="53"/>
      <c r="NQ106" s="53"/>
      <c r="NR106" s="53"/>
      <c r="NS106" s="53"/>
      <c r="NT106" s="53"/>
      <c r="NU106" s="53"/>
      <c r="NV106" s="53"/>
      <c r="NW106" s="53"/>
      <c r="NX106" s="53"/>
      <c r="NY106" s="53"/>
      <c r="NZ106" s="53"/>
      <c r="OA106" s="53"/>
      <c r="OB106" s="53"/>
      <c r="OC106" s="53"/>
      <c r="OD106" s="53"/>
      <c r="OE106" s="53"/>
      <c r="OF106" s="53"/>
      <c r="OG106" s="53"/>
      <c r="OH106" s="53"/>
      <c r="OI106" s="53"/>
      <c r="OJ106" s="53"/>
      <c r="OK106" s="53"/>
      <c r="OL106" s="53"/>
      <c r="OM106" s="53"/>
      <c r="ON106" s="53"/>
      <c r="OO106" s="53"/>
      <c r="OP106" s="53"/>
      <c r="OQ106" s="53"/>
      <c r="OR106" s="53"/>
      <c r="OS106" s="53"/>
      <c r="OT106" s="53"/>
      <c r="OU106" s="53"/>
      <c r="OV106" s="53"/>
      <c r="OW106" s="53"/>
      <c r="OX106" s="53"/>
      <c r="OY106" s="53"/>
      <c r="OZ106" s="53"/>
      <c r="PA106" s="53"/>
      <c r="PB106" s="53"/>
      <c r="PC106" s="53"/>
      <c r="PD106" s="53"/>
      <c r="PE106" s="53"/>
      <c r="PF106" s="53"/>
      <c r="PG106" s="53"/>
      <c r="PH106" s="53"/>
      <c r="PI106" s="53"/>
      <c r="PJ106" s="53"/>
      <c r="PK106" s="53"/>
      <c r="PL106" s="53"/>
      <c r="PM106" s="53"/>
      <c r="PN106" s="53"/>
      <c r="PO106" s="53"/>
      <c r="PP106" s="53"/>
      <c r="PQ106" s="53"/>
      <c r="PR106" s="53"/>
      <c r="PS106" s="53"/>
      <c r="PT106" s="53"/>
      <c r="PU106" s="53"/>
      <c r="PV106" s="53"/>
      <c r="PW106" s="53"/>
      <c r="PX106" s="53"/>
      <c r="PY106" s="53"/>
      <c r="PZ106" s="53"/>
      <c r="QA106" s="53"/>
      <c r="QB106" s="53"/>
      <c r="QC106" s="53"/>
      <c r="QD106" s="53"/>
      <c r="QE106" s="53"/>
      <c r="QF106" s="53"/>
      <c r="QG106" s="53"/>
      <c r="QH106" s="53"/>
      <c r="QI106" s="53"/>
      <c r="QJ106" s="53"/>
      <c r="QK106" s="53"/>
      <c r="QL106" s="53"/>
      <c r="QM106" s="53"/>
      <c r="QN106" s="53"/>
      <c r="QO106" s="53"/>
      <c r="QP106" s="53"/>
      <c r="QQ106" s="53"/>
      <c r="QR106" s="53"/>
      <c r="QS106" s="53"/>
      <c r="QT106" s="53"/>
      <c r="QU106" s="53"/>
      <c r="QV106" s="53"/>
      <c r="QW106" s="53"/>
      <c r="QX106" s="53"/>
      <c r="QY106" s="53"/>
      <c r="QZ106" s="53"/>
      <c r="RA106" s="53"/>
      <c r="RB106" s="53"/>
      <c r="RC106" s="53"/>
      <c r="RD106" s="53"/>
      <c r="RE106" s="53"/>
      <c r="RF106" s="53"/>
      <c r="RG106" s="53"/>
      <c r="RH106" s="53"/>
      <c r="RI106" s="53"/>
      <c r="RJ106" s="53"/>
      <c r="RK106" s="53"/>
      <c r="RL106" s="53"/>
      <c r="RM106" s="53"/>
      <c r="RN106" s="53"/>
      <c r="RO106" s="53"/>
      <c r="RP106" s="53"/>
      <c r="RQ106" s="53"/>
      <c r="RR106" s="53"/>
      <c r="RS106" s="53"/>
      <c r="RT106" s="53"/>
      <c r="RU106" s="53"/>
      <c r="RV106" s="53"/>
      <c r="RW106" s="53"/>
      <c r="RX106" s="53"/>
      <c r="RY106" s="53"/>
      <c r="RZ106" s="53"/>
      <c r="SA106" s="53"/>
      <c r="SB106" s="53"/>
      <c r="SC106" s="53"/>
      <c r="SD106" s="53"/>
      <c r="SE106" s="53"/>
      <c r="SF106" s="53"/>
      <c r="SG106" s="53"/>
      <c r="SH106" s="53"/>
      <c r="SI106" s="53"/>
      <c r="SJ106" s="53"/>
      <c r="SK106" s="53"/>
      <c r="SL106" s="53"/>
      <c r="SM106" s="53"/>
      <c r="SN106" s="53"/>
      <c r="SO106" s="53"/>
      <c r="SP106" s="53"/>
      <c r="SQ106" s="53"/>
      <c r="SR106" s="53"/>
      <c r="SS106" s="53"/>
      <c r="ST106" s="53"/>
      <c r="SU106" s="53"/>
      <c r="SV106" s="53"/>
      <c r="SW106" s="53"/>
      <c r="SX106" s="53"/>
      <c r="SY106" s="53"/>
      <c r="SZ106" s="53"/>
      <c r="TA106" s="53"/>
      <c r="TB106" s="53"/>
      <c r="TC106" s="53"/>
      <c r="TD106" s="53"/>
      <c r="TE106" s="53"/>
      <c r="TF106" s="53"/>
      <c r="TG106" s="53"/>
      <c r="TH106" s="53"/>
      <c r="TI106" s="53"/>
      <c r="TJ106" s="53"/>
      <c r="TK106" s="53"/>
      <c r="TL106" s="53"/>
      <c r="TM106" s="53"/>
      <c r="TN106" s="53"/>
      <c r="TO106" s="53"/>
      <c r="TP106" s="53"/>
      <c r="TQ106" s="53"/>
      <c r="TR106" s="53"/>
      <c r="TS106" s="53"/>
      <c r="TT106" s="53"/>
      <c r="TU106" s="53"/>
      <c r="TV106" s="53"/>
      <c r="TW106" s="53"/>
      <c r="TX106" s="53"/>
      <c r="TY106" s="53"/>
      <c r="TZ106" s="53"/>
      <c r="UA106" s="53"/>
      <c r="UB106" s="53"/>
      <c r="UC106" s="53"/>
      <c r="UD106" s="53"/>
      <c r="UE106" s="53"/>
      <c r="UF106" s="53"/>
      <c r="UG106" s="53"/>
      <c r="UH106" s="53"/>
      <c r="UI106" s="53"/>
      <c r="UJ106" s="53"/>
      <c r="UK106" s="53"/>
      <c r="UL106" s="53"/>
      <c r="UM106" s="53"/>
      <c r="UN106" s="53"/>
      <c r="UO106" s="53"/>
      <c r="UP106" s="53"/>
      <c r="UQ106" s="53"/>
      <c r="UR106" s="53"/>
      <c r="US106" s="53"/>
      <c r="UT106" s="53"/>
      <c r="UU106" s="53"/>
      <c r="UV106" s="53"/>
      <c r="UW106" s="53"/>
      <c r="UX106" s="53"/>
      <c r="UY106" s="53"/>
      <c r="UZ106" s="53"/>
      <c r="VA106" s="53"/>
      <c r="VB106" s="53"/>
      <c r="VC106" s="53"/>
      <c r="VD106" s="53"/>
      <c r="VE106" s="53"/>
      <c r="VF106" s="53"/>
      <c r="VG106" s="53"/>
      <c r="VH106" s="53"/>
      <c r="VI106" s="53"/>
      <c r="VJ106" s="53"/>
      <c r="VK106" s="53"/>
      <c r="VL106" s="53"/>
    </row>
    <row r="107" spans="1:584" s="47" customFormat="1" ht="18.75" customHeight="1" x14ac:dyDescent="0.25">
      <c r="A107" s="45" t="s">
        <v>234</v>
      </c>
      <c r="B107" s="91" t="str">
        <f>'дод 3'!A189</f>
        <v>7640</v>
      </c>
      <c r="C107" s="91" t="str">
        <f>'дод 3'!B189</f>
        <v>0470</v>
      </c>
      <c r="D107" s="48" t="str">
        <f>'дод 3'!C189</f>
        <v>Заходи з енергозбереження</v>
      </c>
      <c r="E107" s="115">
        <v>0</v>
      </c>
      <c r="F107" s="115"/>
      <c r="G107" s="115"/>
      <c r="H107" s="115"/>
      <c r="I107" s="115"/>
      <c r="J107" s="115"/>
      <c r="K107" s="135"/>
      <c r="L107" s="115">
        <f t="shared" si="16"/>
        <v>12017098</v>
      </c>
      <c r="M107" s="115">
        <f>8300000-40000+3900000+450000-376752+101000-189150-128000</f>
        <v>12017098</v>
      </c>
      <c r="N107" s="115"/>
      <c r="O107" s="115"/>
      <c r="P107" s="115"/>
      <c r="Q107" s="115">
        <f>8300000-40000+3900000+450000-376752+101000-189150-128000</f>
        <v>12017098</v>
      </c>
      <c r="R107" s="115">
        <f t="shared" si="19"/>
        <v>7651007.7300000004</v>
      </c>
      <c r="S107" s="115">
        <v>7651007.7300000004</v>
      </c>
      <c r="T107" s="115"/>
      <c r="U107" s="115"/>
      <c r="V107" s="115"/>
      <c r="W107" s="115">
        <v>7651007.7300000004</v>
      </c>
      <c r="X107" s="166">
        <f t="shared" si="18"/>
        <v>63.667681914552091</v>
      </c>
      <c r="Y107" s="115">
        <f t="shared" si="27"/>
        <v>7651007.7300000004</v>
      </c>
      <c r="Z107" s="187"/>
      <c r="AA107" s="53"/>
      <c r="AB107" s="53"/>
      <c r="AC107" s="53"/>
      <c r="AD107" s="53"/>
      <c r="AE107" s="79"/>
      <c r="AF107" s="79"/>
      <c r="AG107" s="79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  <c r="IW107" s="53"/>
      <c r="IX107" s="53"/>
      <c r="IY107" s="53"/>
      <c r="IZ107" s="53"/>
      <c r="JA107" s="53"/>
      <c r="JB107" s="53"/>
      <c r="JC107" s="53"/>
      <c r="JD107" s="53"/>
      <c r="JE107" s="53"/>
      <c r="JF107" s="53"/>
      <c r="JG107" s="53"/>
      <c r="JH107" s="53"/>
      <c r="JI107" s="53"/>
      <c r="JJ107" s="53"/>
      <c r="JK107" s="53"/>
      <c r="JL107" s="53"/>
      <c r="JM107" s="53"/>
      <c r="JN107" s="53"/>
      <c r="JO107" s="53"/>
      <c r="JP107" s="53"/>
      <c r="JQ107" s="53"/>
      <c r="JR107" s="53"/>
      <c r="JS107" s="53"/>
      <c r="JT107" s="53"/>
      <c r="JU107" s="53"/>
      <c r="JV107" s="53"/>
      <c r="JW107" s="53"/>
      <c r="JX107" s="53"/>
      <c r="JY107" s="53"/>
      <c r="JZ107" s="53"/>
      <c r="KA107" s="53"/>
      <c r="KB107" s="53"/>
      <c r="KC107" s="53"/>
      <c r="KD107" s="53"/>
      <c r="KE107" s="53"/>
      <c r="KF107" s="53"/>
      <c r="KG107" s="53"/>
      <c r="KH107" s="53"/>
      <c r="KI107" s="53"/>
      <c r="KJ107" s="53"/>
      <c r="KK107" s="53"/>
      <c r="KL107" s="53"/>
      <c r="KM107" s="53"/>
      <c r="KN107" s="53"/>
      <c r="KO107" s="53"/>
      <c r="KP107" s="53"/>
      <c r="KQ107" s="53"/>
      <c r="KR107" s="53"/>
      <c r="KS107" s="53"/>
      <c r="KT107" s="53"/>
      <c r="KU107" s="53"/>
      <c r="KV107" s="53"/>
      <c r="KW107" s="53"/>
      <c r="KX107" s="53"/>
      <c r="KY107" s="53"/>
      <c r="KZ107" s="53"/>
      <c r="LA107" s="53"/>
      <c r="LB107" s="53"/>
      <c r="LC107" s="53"/>
      <c r="LD107" s="53"/>
      <c r="LE107" s="53"/>
      <c r="LF107" s="53"/>
      <c r="LG107" s="53"/>
      <c r="LH107" s="53"/>
      <c r="LI107" s="53"/>
      <c r="LJ107" s="53"/>
      <c r="LK107" s="53"/>
      <c r="LL107" s="53"/>
      <c r="LM107" s="53"/>
      <c r="LN107" s="53"/>
      <c r="LO107" s="53"/>
      <c r="LP107" s="53"/>
      <c r="LQ107" s="53"/>
      <c r="LR107" s="53"/>
      <c r="LS107" s="53"/>
      <c r="LT107" s="53"/>
      <c r="LU107" s="53"/>
      <c r="LV107" s="53"/>
      <c r="LW107" s="53"/>
      <c r="LX107" s="53"/>
      <c r="LY107" s="53"/>
      <c r="LZ107" s="53"/>
      <c r="MA107" s="53"/>
      <c r="MB107" s="53"/>
      <c r="MC107" s="53"/>
      <c r="MD107" s="53"/>
      <c r="ME107" s="53"/>
      <c r="MF107" s="53"/>
      <c r="MG107" s="53"/>
      <c r="MH107" s="53"/>
      <c r="MI107" s="53"/>
      <c r="MJ107" s="53"/>
      <c r="MK107" s="53"/>
      <c r="ML107" s="53"/>
      <c r="MM107" s="53"/>
      <c r="MN107" s="53"/>
      <c r="MO107" s="53"/>
      <c r="MP107" s="53"/>
      <c r="MQ107" s="53"/>
      <c r="MR107" s="53"/>
      <c r="MS107" s="53"/>
      <c r="MT107" s="53"/>
      <c r="MU107" s="53"/>
      <c r="MV107" s="53"/>
      <c r="MW107" s="53"/>
      <c r="MX107" s="53"/>
      <c r="MY107" s="53"/>
      <c r="MZ107" s="53"/>
      <c r="NA107" s="53"/>
      <c r="NB107" s="53"/>
      <c r="NC107" s="53"/>
      <c r="ND107" s="53"/>
      <c r="NE107" s="53"/>
      <c r="NF107" s="53"/>
      <c r="NG107" s="53"/>
      <c r="NH107" s="53"/>
      <c r="NI107" s="53"/>
      <c r="NJ107" s="53"/>
      <c r="NK107" s="53"/>
      <c r="NL107" s="53"/>
      <c r="NM107" s="53"/>
      <c r="NN107" s="53"/>
      <c r="NO107" s="53"/>
      <c r="NP107" s="53"/>
      <c r="NQ107" s="53"/>
      <c r="NR107" s="53"/>
      <c r="NS107" s="53"/>
      <c r="NT107" s="53"/>
      <c r="NU107" s="53"/>
      <c r="NV107" s="53"/>
      <c r="NW107" s="53"/>
      <c r="NX107" s="53"/>
      <c r="NY107" s="53"/>
      <c r="NZ107" s="53"/>
      <c r="OA107" s="53"/>
      <c r="OB107" s="53"/>
      <c r="OC107" s="53"/>
      <c r="OD107" s="53"/>
      <c r="OE107" s="53"/>
      <c r="OF107" s="53"/>
      <c r="OG107" s="53"/>
      <c r="OH107" s="53"/>
      <c r="OI107" s="53"/>
      <c r="OJ107" s="53"/>
      <c r="OK107" s="53"/>
      <c r="OL107" s="53"/>
      <c r="OM107" s="53"/>
      <c r="ON107" s="53"/>
      <c r="OO107" s="53"/>
      <c r="OP107" s="53"/>
      <c r="OQ107" s="53"/>
      <c r="OR107" s="53"/>
      <c r="OS107" s="53"/>
      <c r="OT107" s="53"/>
      <c r="OU107" s="53"/>
      <c r="OV107" s="53"/>
      <c r="OW107" s="53"/>
      <c r="OX107" s="53"/>
      <c r="OY107" s="53"/>
      <c r="OZ107" s="53"/>
      <c r="PA107" s="53"/>
      <c r="PB107" s="53"/>
      <c r="PC107" s="53"/>
      <c r="PD107" s="53"/>
      <c r="PE107" s="53"/>
      <c r="PF107" s="53"/>
      <c r="PG107" s="53"/>
      <c r="PH107" s="53"/>
      <c r="PI107" s="53"/>
      <c r="PJ107" s="53"/>
      <c r="PK107" s="53"/>
      <c r="PL107" s="53"/>
      <c r="PM107" s="53"/>
      <c r="PN107" s="53"/>
      <c r="PO107" s="53"/>
      <c r="PP107" s="53"/>
      <c r="PQ107" s="53"/>
      <c r="PR107" s="53"/>
      <c r="PS107" s="53"/>
      <c r="PT107" s="53"/>
      <c r="PU107" s="53"/>
      <c r="PV107" s="53"/>
      <c r="PW107" s="53"/>
      <c r="PX107" s="53"/>
      <c r="PY107" s="53"/>
      <c r="PZ107" s="53"/>
      <c r="QA107" s="53"/>
      <c r="QB107" s="53"/>
      <c r="QC107" s="53"/>
      <c r="QD107" s="53"/>
      <c r="QE107" s="53"/>
      <c r="QF107" s="53"/>
      <c r="QG107" s="53"/>
      <c r="QH107" s="53"/>
      <c r="QI107" s="53"/>
      <c r="QJ107" s="53"/>
      <c r="QK107" s="53"/>
      <c r="QL107" s="53"/>
      <c r="QM107" s="53"/>
      <c r="QN107" s="53"/>
      <c r="QO107" s="53"/>
      <c r="QP107" s="53"/>
      <c r="QQ107" s="53"/>
      <c r="QR107" s="53"/>
      <c r="QS107" s="53"/>
      <c r="QT107" s="53"/>
      <c r="QU107" s="53"/>
      <c r="QV107" s="53"/>
      <c r="QW107" s="53"/>
      <c r="QX107" s="53"/>
      <c r="QY107" s="53"/>
      <c r="QZ107" s="53"/>
      <c r="RA107" s="53"/>
      <c r="RB107" s="53"/>
      <c r="RC107" s="53"/>
      <c r="RD107" s="53"/>
      <c r="RE107" s="53"/>
      <c r="RF107" s="53"/>
      <c r="RG107" s="53"/>
      <c r="RH107" s="53"/>
      <c r="RI107" s="53"/>
      <c r="RJ107" s="53"/>
      <c r="RK107" s="53"/>
      <c r="RL107" s="53"/>
      <c r="RM107" s="53"/>
      <c r="RN107" s="53"/>
      <c r="RO107" s="53"/>
      <c r="RP107" s="53"/>
      <c r="RQ107" s="53"/>
      <c r="RR107" s="53"/>
      <c r="RS107" s="53"/>
      <c r="RT107" s="53"/>
      <c r="RU107" s="53"/>
      <c r="RV107" s="53"/>
      <c r="RW107" s="53"/>
      <c r="RX107" s="53"/>
      <c r="RY107" s="53"/>
      <c r="RZ107" s="53"/>
      <c r="SA107" s="53"/>
      <c r="SB107" s="53"/>
      <c r="SC107" s="53"/>
      <c r="SD107" s="53"/>
      <c r="SE107" s="53"/>
      <c r="SF107" s="53"/>
      <c r="SG107" s="53"/>
      <c r="SH107" s="53"/>
      <c r="SI107" s="53"/>
      <c r="SJ107" s="53"/>
      <c r="SK107" s="53"/>
      <c r="SL107" s="53"/>
      <c r="SM107" s="53"/>
      <c r="SN107" s="53"/>
      <c r="SO107" s="53"/>
      <c r="SP107" s="53"/>
      <c r="SQ107" s="53"/>
      <c r="SR107" s="53"/>
      <c r="SS107" s="53"/>
      <c r="ST107" s="53"/>
      <c r="SU107" s="53"/>
      <c r="SV107" s="53"/>
      <c r="SW107" s="53"/>
      <c r="SX107" s="53"/>
      <c r="SY107" s="53"/>
      <c r="SZ107" s="53"/>
      <c r="TA107" s="53"/>
      <c r="TB107" s="53"/>
      <c r="TC107" s="53"/>
      <c r="TD107" s="53"/>
      <c r="TE107" s="53"/>
      <c r="TF107" s="53"/>
      <c r="TG107" s="53"/>
      <c r="TH107" s="53"/>
      <c r="TI107" s="53"/>
      <c r="TJ107" s="53"/>
      <c r="TK107" s="53"/>
      <c r="TL107" s="53"/>
      <c r="TM107" s="53"/>
      <c r="TN107" s="53"/>
      <c r="TO107" s="53"/>
      <c r="TP107" s="53"/>
      <c r="TQ107" s="53"/>
      <c r="TR107" s="53"/>
      <c r="TS107" s="53"/>
      <c r="TT107" s="53"/>
      <c r="TU107" s="53"/>
      <c r="TV107" s="53"/>
      <c r="TW107" s="53"/>
      <c r="TX107" s="53"/>
      <c r="TY107" s="53"/>
      <c r="TZ107" s="53"/>
      <c r="UA107" s="53"/>
      <c r="UB107" s="53"/>
      <c r="UC107" s="53"/>
      <c r="UD107" s="53"/>
      <c r="UE107" s="53"/>
      <c r="UF107" s="53"/>
      <c r="UG107" s="53"/>
      <c r="UH107" s="53"/>
      <c r="UI107" s="53"/>
      <c r="UJ107" s="53"/>
      <c r="UK107" s="53"/>
      <c r="UL107" s="53"/>
      <c r="UM107" s="53"/>
      <c r="UN107" s="53"/>
      <c r="UO107" s="53"/>
      <c r="UP107" s="53"/>
      <c r="UQ107" s="53"/>
      <c r="UR107" s="53"/>
      <c r="US107" s="53"/>
      <c r="UT107" s="53"/>
      <c r="UU107" s="53"/>
      <c r="UV107" s="53"/>
      <c r="UW107" s="53"/>
      <c r="UX107" s="53"/>
      <c r="UY107" s="53"/>
      <c r="UZ107" s="53"/>
      <c r="VA107" s="53"/>
      <c r="VB107" s="53"/>
      <c r="VC107" s="53"/>
      <c r="VD107" s="53"/>
      <c r="VE107" s="53"/>
      <c r="VF107" s="53"/>
      <c r="VG107" s="53"/>
      <c r="VH107" s="53"/>
      <c r="VI107" s="53"/>
      <c r="VJ107" s="53"/>
      <c r="VK107" s="53"/>
      <c r="VL107" s="53"/>
    </row>
    <row r="108" spans="1:584" s="47" customFormat="1" ht="48" customHeight="1" x14ac:dyDescent="0.25">
      <c r="A108" s="71" t="s">
        <v>566</v>
      </c>
      <c r="B108" s="91" t="str">
        <f>'дод 3'!A197</f>
        <v>7700</v>
      </c>
      <c r="C108" s="91" t="str">
        <f>'дод 3'!B197</f>
        <v>0133</v>
      </c>
      <c r="D108" s="48" t="str">
        <f>'дод 3'!C197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8" s="115">
        <v>0</v>
      </c>
      <c r="F108" s="115"/>
      <c r="G108" s="115"/>
      <c r="H108" s="115"/>
      <c r="I108" s="115"/>
      <c r="J108" s="115"/>
      <c r="K108" s="135"/>
      <c r="L108" s="115">
        <f t="shared" ref="L108:L113" si="28">N108+Q108</f>
        <v>9592653.5800000001</v>
      </c>
      <c r="M108" s="115"/>
      <c r="N108" s="115"/>
      <c r="O108" s="115"/>
      <c r="P108" s="115"/>
      <c r="Q108" s="115">
        <f>5760000+3832653.58</f>
        <v>9592653.5800000001</v>
      </c>
      <c r="R108" s="115">
        <f t="shared" si="19"/>
        <v>7239521.54</v>
      </c>
      <c r="S108" s="115"/>
      <c r="T108" s="115"/>
      <c r="U108" s="115"/>
      <c r="V108" s="115"/>
      <c r="W108" s="115">
        <v>7239521.54</v>
      </c>
      <c r="X108" s="166">
        <f t="shared" si="18"/>
        <v>75.46943585134656</v>
      </c>
      <c r="Y108" s="115">
        <f t="shared" si="27"/>
        <v>7239521.54</v>
      </c>
      <c r="Z108" s="187"/>
      <c r="AA108" s="53"/>
      <c r="AB108" s="53"/>
      <c r="AC108" s="53"/>
      <c r="AD108" s="53"/>
      <c r="AE108" s="79"/>
      <c r="AF108" s="79"/>
      <c r="AG108" s="79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  <c r="IW108" s="53"/>
      <c r="IX108" s="53"/>
      <c r="IY108" s="53"/>
      <c r="IZ108" s="53"/>
      <c r="JA108" s="53"/>
      <c r="JB108" s="53"/>
      <c r="JC108" s="53"/>
      <c r="JD108" s="53"/>
      <c r="JE108" s="53"/>
      <c r="JF108" s="53"/>
      <c r="JG108" s="53"/>
      <c r="JH108" s="53"/>
      <c r="JI108" s="53"/>
      <c r="JJ108" s="53"/>
      <c r="JK108" s="53"/>
      <c r="JL108" s="53"/>
      <c r="JM108" s="53"/>
      <c r="JN108" s="53"/>
      <c r="JO108" s="53"/>
      <c r="JP108" s="53"/>
      <c r="JQ108" s="53"/>
      <c r="JR108" s="53"/>
      <c r="JS108" s="53"/>
      <c r="JT108" s="53"/>
      <c r="JU108" s="53"/>
      <c r="JV108" s="53"/>
      <c r="JW108" s="53"/>
      <c r="JX108" s="53"/>
      <c r="JY108" s="53"/>
      <c r="JZ108" s="53"/>
      <c r="KA108" s="53"/>
      <c r="KB108" s="53"/>
      <c r="KC108" s="53"/>
      <c r="KD108" s="53"/>
      <c r="KE108" s="53"/>
      <c r="KF108" s="53"/>
      <c r="KG108" s="53"/>
      <c r="KH108" s="53"/>
      <c r="KI108" s="53"/>
      <c r="KJ108" s="53"/>
      <c r="KK108" s="53"/>
      <c r="KL108" s="53"/>
      <c r="KM108" s="53"/>
      <c r="KN108" s="53"/>
      <c r="KO108" s="53"/>
      <c r="KP108" s="53"/>
      <c r="KQ108" s="53"/>
      <c r="KR108" s="53"/>
      <c r="KS108" s="53"/>
      <c r="KT108" s="53"/>
      <c r="KU108" s="53"/>
      <c r="KV108" s="53"/>
      <c r="KW108" s="53"/>
      <c r="KX108" s="53"/>
      <c r="KY108" s="53"/>
      <c r="KZ108" s="53"/>
      <c r="LA108" s="53"/>
      <c r="LB108" s="53"/>
      <c r="LC108" s="53"/>
      <c r="LD108" s="53"/>
      <c r="LE108" s="53"/>
      <c r="LF108" s="53"/>
      <c r="LG108" s="53"/>
      <c r="LH108" s="53"/>
      <c r="LI108" s="53"/>
      <c r="LJ108" s="53"/>
      <c r="LK108" s="53"/>
      <c r="LL108" s="53"/>
      <c r="LM108" s="53"/>
      <c r="LN108" s="53"/>
      <c r="LO108" s="53"/>
      <c r="LP108" s="53"/>
      <c r="LQ108" s="53"/>
      <c r="LR108" s="53"/>
      <c r="LS108" s="53"/>
      <c r="LT108" s="53"/>
      <c r="LU108" s="53"/>
      <c r="LV108" s="53"/>
      <c r="LW108" s="53"/>
      <c r="LX108" s="53"/>
      <c r="LY108" s="53"/>
      <c r="LZ108" s="53"/>
      <c r="MA108" s="53"/>
      <c r="MB108" s="53"/>
      <c r="MC108" s="53"/>
      <c r="MD108" s="53"/>
      <c r="ME108" s="53"/>
      <c r="MF108" s="53"/>
      <c r="MG108" s="53"/>
      <c r="MH108" s="53"/>
      <c r="MI108" s="53"/>
      <c r="MJ108" s="53"/>
      <c r="MK108" s="53"/>
      <c r="ML108" s="53"/>
      <c r="MM108" s="53"/>
      <c r="MN108" s="53"/>
      <c r="MO108" s="53"/>
      <c r="MP108" s="53"/>
      <c r="MQ108" s="53"/>
      <c r="MR108" s="53"/>
      <c r="MS108" s="53"/>
      <c r="MT108" s="53"/>
      <c r="MU108" s="53"/>
      <c r="MV108" s="53"/>
      <c r="MW108" s="53"/>
      <c r="MX108" s="53"/>
      <c r="MY108" s="53"/>
      <c r="MZ108" s="53"/>
      <c r="NA108" s="53"/>
      <c r="NB108" s="53"/>
      <c r="NC108" s="53"/>
      <c r="ND108" s="53"/>
      <c r="NE108" s="53"/>
      <c r="NF108" s="53"/>
      <c r="NG108" s="53"/>
      <c r="NH108" s="53"/>
      <c r="NI108" s="53"/>
      <c r="NJ108" s="53"/>
      <c r="NK108" s="53"/>
      <c r="NL108" s="53"/>
      <c r="NM108" s="53"/>
      <c r="NN108" s="53"/>
      <c r="NO108" s="53"/>
      <c r="NP108" s="53"/>
      <c r="NQ108" s="53"/>
      <c r="NR108" s="53"/>
      <c r="NS108" s="53"/>
      <c r="NT108" s="53"/>
      <c r="NU108" s="53"/>
      <c r="NV108" s="53"/>
      <c r="NW108" s="53"/>
      <c r="NX108" s="53"/>
      <c r="NY108" s="53"/>
      <c r="NZ108" s="53"/>
      <c r="OA108" s="53"/>
      <c r="OB108" s="53"/>
      <c r="OC108" s="53"/>
      <c r="OD108" s="53"/>
      <c r="OE108" s="53"/>
      <c r="OF108" s="53"/>
      <c r="OG108" s="53"/>
      <c r="OH108" s="53"/>
      <c r="OI108" s="53"/>
      <c r="OJ108" s="53"/>
      <c r="OK108" s="53"/>
      <c r="OL108" s="53"/>
      <c r="OM108" s="53"/>
      <c r="ON108" s="53"/>
      <c r="OO108" s="53"/>
      <c r="OP108" s="53"/>
      <c r="OQ108" s="53"/>
      <c r="OR108" s="53"/>
      <c r="OS108" s="53"/>
      <c r="OT108" s="53"/>
      <c r="OU108" s="53"/>
      <c r="OV108" s="53"/>
      <c r="OW108" s="53"/>
      <c r="OX108" s="53"/>
      <c r="OY108" s="53"/>
      <c r="OZ108" s="53"/>
      <c r="PA108" s="53"/>
      <c r="PB108" s="53"/>
      <c r="PC108" s="53"/>
      <c r="PD108" s="53"/>
      <c r="PE108" s="53"/>
      <c r="PF108" s="53"/>
      <c r="PG108" s="53"/>
      <c r="PH108" s="53"/>
      <c r="PI108" s="53"/>
      <c r="PJ108" s="53"/>
      <c r="PK108" s="53"/>
      <c r="PL108" s="53"/>
      <c r="PM108" s="53"/>
      <c r="PN108" s="53"/>
      <c r="PO108" s="53"/>
      <c r="PP108" s="53"/>
      <c r="PQ108" s="53"/>
      <c r="PR108" s="53"/>
      <c r="PS108" s="53"/>
      <c r="PT108" s="53"/>
      <c r="PU108" s="53"/>
      <c r="PV108" s="53"/>
      <c r="PW108" s="53"/>
      <c r="PX108" s="53"/>
      <c r="PY108" s="53"/>
      <c r="PZ108" s="53"/>
      <c r="QA108" s="53"/>
      <c r="QB108" s="53"/>
      <c r="QC108" s="53"/>
      <c r="QD108" s="53"/>
      <c r="QE108" s="53"/>
      <c r="QF108" s="53"/>
      <c r="QG108" s="53"/>
      <c r="QH108" s="53"/>
      <c r="QI108" s="53"/>
      <c r="QJ108" s="53"/>
      <c r="QK108" s="53"/>
      <c r="QL108" s="53"/>
      <c r="QM108" s="53"/>
      <c r="QN108" s="53"/>
      <c r="QO108" s="53"/>
      <c r="QP108" s="53"/>
      <c r="QQ108" s="53"/>
      <c r="QR108" s="53"/>
      <c r="QS108" s="53"/>
      <c r="QT108" s="53"/>
      <c r="QU108" s="53"/>
      <c r="QV108" s="53"/>
      <c r="QW108" s="53"/>
      <c r="QX108" s="53"/>
      <c r="QY108" s="53"/>
      <c r="QZ108" s="53"/>
      <c r="RA108" s="53"/>
      <c r="RB108" s="53"/>
      <c r="RC108" s="53"/>
      <c r="RD108" s="53"/>
      <c r="RE108" s="53"/>
      <c r="RF108" s="53"/>
      <c r="RG108" s="53"/>
      <c r="RH108" s="53"/>
      <c r="RI108" s="53"/>
      <c r="RJ108" s="53"/>
      <c r="RK108" s="53"/>
      <c r="RL108" s="53"/>
      <c r="RM108" s="53"/>
      <c r="RN108" s="53"/>
      <c r="RO108" s="53"/>
      <c r="RP108" s="53"/>
      <c r="RQ108" s="53"/>
      <c r="RR108" s="53"/>
      <c r="RS108" s="53"/>
      <c r="RT108" s="53"/>
      <c r="RU108" s="53"/>
      <c r="RV108" s="53"/>
      <c r="RW108" s="53"/>
      <c r="RX108" s="53"/>
      <c r="RY108" s="53"/>
      <c r="RZ108" s="53"/>
      <c r="SA108" s="53"/>
      <c r="SB108" s="53"/>
      <c r="SC108" s="53"/>
      <c r="SD108" s="53"/>
      <c r="SE108" s="53"/>
      <c r="SF108" s="53"/>
      <c r="SG108" s="53"/>
      <c r="SH108" s="53"/>
      <c r="SI108" s="53"/>
      <c r="SJ108" s="53"/>
      <c r="SK108" s="53"/>
      <c r="SL108" s="53"/>
      <c r="SM108" s="53"/>
      <c r="SN108" s="53"/>
      <c r="SO108" s="53"/>
      <c r="SP108" s="53"/>
      <c r="SQ108" s="53"/>
      <c r="SR108" s="53"/>
      <c r="SS108" s="53"/>
      <c r="ST108" s="53"/>
      <c r="SU108" s="53"/>
      <c r="SV108" s="53"/>
      <c r="SW108" s="53"/>
      <c r="SX108" s="53"/>
      <c r="SY108" s="53"/>
      <c r="SZ108" s="53"/>
      <c r="TA108" s="53"/>
      <c r="TB108" s="53"/>
      <c r="TC108" s="53"/>
      <c r="TD108" s="53"/>
      <c r="TE108" s="53"/>
      <c r="TF108" s="53"/>
      <c r="TG108" s="53"/>
      <c r="TH108" s="53"/>
      <c r="TI108" s="53"/>
      <c r="TJ108" s="53"/>
      <c r="TK108" s="53"/>
      <c r="TL108" s="53"/>
      <c r="TM108" s="53"/>
      <c r="TN108" s="53"/>
      <c r="TO108" s="53"/>
      <c r="TP108" s="53"/>
      <c r="TQ108" s="53"/>
      <c r="TR108" s="53"/>
      <c r="TS108" s="53"/>
      <c r="TT108" s="53"/>
      <c r="TU108" s="53"/>
      <c r="TV108" s="53"/>
      <c r="TW108" s="53"/>
      <c r="TX108" s="53"/>
      <c r="TY108" s="53"/>
      <c r="TZ108" s="53"/>
      <c r="UA108" s="53"/>
      <c r="UB108" s="53"/>
      <c r="UC108" s="53"/>
      <c r="UD108" s="53"/>
      <c r="UE108" s="53"/>
      <c r="UF108" s="53"/>
      <c r="UG108" s="53"/>
      <c r="UH108" s="53"/>
      <c r="UI108" s="53"/>
      <c r="UJ108" s="53"/>
      <c r="UK108" s="53"/>
      <c r="UL108" s="53"/>
      <c r="UM108" s="53"/>
      <c r="UN108" s="53"/>
      <c r="UO108" s="53"/>
      <c r="UP108" s="53"/>
      <c r="UQ108" s="53"/>
      <c r="UR108" s="53"/>
      <c r="US108" s="53"/>
      <c r="UT108" s="53"/>
      <c r="UU108" s="53"/>
      <c r="UV108" s="53"/>
      <c r="UW108" s="53"/>
      <c r="UX108" s="53"/>
      <c r="UY108" s="53"/>
      <c r="UZ108" s="53"/>
      <c r="VA108" s="53"/>
      <c r="VB108" s="53"/>
      <c r="VC108" s="53"/>
      <c r="VD108" s="53"/>
      <c r="VE108" s="53"/>
      <c r="VF108" s="53"/>
      <c r="VG108" s="53"/>
      <c r="VH108" s="53"/>
      <c r="VI108" s="53"/>
      <c r="VJ108" s="53"/>
      <c r="VK108" s="53"/>
      <c r="VL108" s="53"/>
    </row>
    <row r="109" spans="1:584" s="47" customFormat="1" ht="15" hidden="1" customHeight="1" x14ac:dyDescent="0.25">
      <c r="A109" s="45" t="s">
        <v>548</v>
      </c>
      <c r="B109" s="91" t="s">
        <v>17</v>
      </c>
      <c r="C109" s="91" t="s">
        <v>124</v>
      </c>
      <c r="D109" s="48" t="s">
        <v>18</v>
      </c>
      <c r="E109" s="115">
        <v>0</v>
      </c>
      <c r="F109" s="115"/>
      <c r="G109" s="115"/>
      <c r="H109" s="115"/>
      <c r="I109" s="115"/>
      <c r="J109" s="115"/>
      <c r="K109" s="135" t="e">
        <f t="shared" si="17"/>
        <v>#DIV/0!</v>
      </c>
      <c r="L109" s="115">
        <f t="shared" si="16"/>
        <v>0</v>
      </c>
      <c r="M109" s="115"/>
      <c r="N109" s="115"/>
      <c r="O109" s="115"/>
      <c r="P109" s="115"/>
      <c r="Q109" s="115"/>
      <c r="R109" s="115">
        <f t="shared" si="19"/>
        <v>0</v>
      </c>
      <c r="S109" s="115"/>
      <c r="T109" s="115"/>
      <c r="U109" s="115"/>
      <c r="V109" s="115"/>
      <c r="W109" s="115"/>
      <c r="X109" s="149" t="e">
        <f t="shared" si="18"/>
        <v>#DIV/0!</v>
      </c>
      <c r="Y109" s="115">
        <f t="shared" si="27"/>
        <v>0</v>
      </c>
      <c r="Z109" s="187"/>
      <c r="AA109" s="53"/>
      <c r="AB109" s="53"/>
      <c r="AC109" s="53"/>
      <c r="AD109" s="53"/>
      <c r="AE109" s="79"/>
      <c r="AF109" s="79"/>
      <c r="AG109" s="79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  <c r="IW109" s="53"/>
      <c r="IX109" s="53"/>
      <c r="IY109" s="53"/>
      <c r="IZ109" s="53"/>
      <c r="JA109" s="53"/>
      <c r="JB109" s="53"/>
      <c r="JC109" s="53"/>
      <c r="JD109" s="53"/>
      <c r="JE109" s="53"/>
      <c r="JF109" s="53"/>
      <c r="JG109" s="53"/>
      <c r="JH109" s="53"/>
      <c r="JI109" s="53"/>
      <c r="JJ109" s="53"/>
      <c r="JK109" s="53"/>
      <c r="JL109" s="53"/>
      <c r="JM109" s="53"/>
      <c r="JN109" s="53"/>
      <c r="JO109" s="53"/>
      <c r="JP109" s="53"/>
      <c r="JQ109" s="53"/>
      <c r="JR109" s="53"/>
      <c r="JS109" s="53"/>
      <c r="JT109" s="53"/>
      <c r="JU109" s="53"/>
      <c r="JV109" s="53"/>
      <c r="JW109" s="53"/>
      <c r="JX109" s="53"/>
      <c r="JY109" s="53"/>
      <c r="JZ109" s="53"/>
      <c r="KA109" s="53"/>
      <c r="KB109" s="53"/>
      <c r="KC109" s="53"/>
      <c r="KD109" s="53"/>
      <c r="KE109" s="53"/>
      <c r="KF109" s="53"/>
      <c r="KG109" s="53"/>
      <c r="KH109" s="53"/>
      <c r="KI109" s="53"/>
      <c r="KJ109" s="53"/>
      <c r="KK109" s="53"/>
      <c r="KL109" s="53"/>
      <c r="KM109" s="53"/>
      <c r="KN109" s="53"/>
      <c r="KO109" s="53"/>
      <c r="KP109" s="53"/>
      <c r="KQ109" s="53"/>
      <c r="KR109" s="53"/>
      <c r="KS109" s="53"/>
      <c r="KT109" s="53"/>
      <c r="KU109" s="53"/>
      <c r="KV109" s="53"/>
      <c r="KW109" s="53"/>
      <c r="KX109" s="53"/>
      <c r="KY109" s="53"/>
      <c r="KZ109" s="53"/>
      <c r="LA109" s="53"/>
      <c r="LB109" s="53"/>
      <c r="LC109" s="53"/>
      <c r="LD109" s="53"/>
      <c r="LE109" s="53"/>
      <c r="LF109" s="53"/>
      <c r="LG109" s="53"/>
      <c r="LH109" s="53"/>
      <c r="LI109" s="53"/>
      <c r="LJ109" s="53"/>
      <c r="LK109" s="53"/>
      <c r="LL109" s="53"/>
      <c r="LM109" s="53"/>
      <c r="LN109" s="53"/>
      <c r="LO109" s="53"/>
      <c r="LP109" s="53"/>
      <c r="LQ109" s="53"/>
      <c r="LR109" s="53"/>
      <c r="LS109" s="53"/>
      <c r="LT109" s="53"/>
      <c r="LU109" s="53"/>
      <c r="LV109" s="53"/>
      <c r="LW109" s="53"/>
      <c r="LX109" s="53"/>
      <c r="LY109" s="53"/>
      <c r="LZ109" s="53"/>
      <c r="MA109" s="53"/>
      <c r="MB109" s="53"/>
      <c r="MC109" s="53"/>
      <c r="MD109" s="53"/>
      <c r="ME109" s="53"/>
      <c r="MF109" s="53"/>
      <c r="MG109" s="53"/>
      <c r="MH109" s="53"/>
      <c r="MI109" s="53"/>
      <c r="MJ109" s="53"/>
      <c r="MK109" s="53"/>
      <c r="ML109" s="53"/>
      <c r="MM109" s="53"/>
      <c r="MN109" s="53"/>
      <c r="MO109" s="53"/>
      <c r="MP109" s="53"/>
      <c r="MQ109" s="53"/>
      <c r="MR109" s="53"/>
      <c r="MS109" s="53"/>
      <c r="MT109" s="53"/>
      <c r="MU109" s="53"/>
      <c r="MV109" s="53"/>
      <c r="MW109" s="53"/>
      <c r="MX109" s="53"/>
      <c r="MY109" s="53"/>
      <c r="MZ109" s="53"/>
      <c r="NA109" s="53"/>
      <c r="NB109" s="53"/>
      <c r="NC109" s="53"/>
      <c r="ND109" s="53"/>
      <c r="NE109" s="53"/>
      <c r="NF109" s="53"/>
      <c r="NG109" s="53"/>
      <c r="NH109" s="53"/>
      <c r="NI109" s="53"/>
      <c r="NJ109" s="53"/>
      <c r="NK109" s="53"/>
      <c r="NL109" s="53"/>
      <c r="NM109" s="53"/>
      <c r="NN109" s="53"/>
      <c r="NO109" s="53"/>
      <c r="NP109" s="53"/>
      <c r="NQ109" s="53"/>
      <c r="NR109" s="53"/>
      <c r="NS109" s="53"/>
      <c r="NT109" s="53"/>
      <c r="NU109" s="53"/>
      <c r="NV109" s="53"/>
      <c r="NW109" s="53"/>
      <c r="NX109" s="53"/>
      <c r="NY109" s="53"/>
      <c r="NZ109" s="53"/>
      <c r="OA109" s="53"/>
      <c r="OB109" s="53"/>
      <c r="OC109" s="53"/>
      <c r="OD109" s="53"/>
      <c r="OE109" s="53"/>
      <c r="OF109" s="53"/>
      <c r="OG109" s="53"/>
      <c r="OH109" s="53"/>
      <c r="OI109" s="53"/>
      <c r="OJ109" s="53"/>
      <c r="OK109" s="53"/>
      <c r="OL109" s="53"/>
      <c r="OM109" s="53"/>
      <c r="ON109" s="53"/>
      <c r="OO109" s="53"/>
      <c r="OP109" s="53"/>
      <c r="OQ109" s="53"/>
      <c r="OR109" s="53"/>
      <c r="OS109" s="53"/>
      <c r="OT109" s="53"/>
      <c r="OU109" s="53"/>
      <c r="OV109" s="53"/>
      <c r="OW109" s="53"/>
      <c r="OX109" s="53"/>
      <c r="OY109" s="53"/>
      <c r="OZ109" s="53"/>
      <c r="PA109" s="53"/>
      <c r="PB109" s="53"/>
      <c r="PC109" s="53"/>
      <c r="PD109" s="53"/>
      <c r="PE109" s="53"/>
      <c r="PF109" s="53"/>
      <c r="PG109" s="53"/>
      <c r="PH109" s="53"/>
      <c r="PI109" s="53"/>
      <c r="PJ109" s="53"/>
      <c r="PK109" s="53"/>
      <c r="PL109" s="53"/>
      <c r="PM109" s="53"/>
      <c r="PN109" s="53"/>
      <c r="PO109" s="53"/>
      <c r="PP109" s="53"/>
      <c r="PQ109" s="53"/>
      <c r="PR109" s="53"/>
      <c r="PS109" s="53"/>
      <c r="PT109" s="53"/>
      <c r="PU109" s="53"/>
      <c r="PV109" s="53"/>
      <c r="PW109" s="53"/>
      <c r="PX109" s="53"/>
      <c r="PY109" s="53"/>
      <c r="PZ109" s="53"/>
      <c r="QA109" s="53"/>
      <c r="QB109" s="53"/>
      <c r="QC109" s="53"/>
      <c r="QD109" s="53"/>
      <c r="QE109" s="53"/>
      <c r="QF109" s="53"/>
      <c r="QG109" s="53"/>
      <c r="QH109" s="53"/>
      <c r="QI109" s="53"/>
      <c r="QJ109" s="53"/>
      <c r="QK109" s="53"/>
      <c r="QL109" s="53"/>
      <c r="QM109" s="53"/>
      <c r="QN109" s="53"/>
      <c r="QO109" s="53"/>
      <c r="QP109" s="53"/>
      <c r="QQ109" s="53"/>
      <c r="QR109" s="53"/>
      <c r="QS109" s="53"/>
      <c r="QT109" s="53"/>
      <c r="QU109" s="53"/>
      <c r="QV109" s="53"/>
      <c r="QW109" s="53"/>
      <c r="QX109" s="53"/>
      <c r="QY109" s="53"/>
      <c r="QZ109" s="53"/>
      <c r="RA109" s="53"/>
      <c r="RB109" s="53"/>
      <c r="RC109" s="53"/>
      <c r="RD109" s="53"/>
      <c r="RE109" s="53"/>
      <c r="RF109" s="53"/>
      <c r="RG109" s="53"/>
      <c r="RH109" s="53"/>
      <c r="RI109" s="53"/>
      <c r="RJ109" s="53"/>
      <c r="RK109" s="53"/>
      <c r="RL109" s="53"/>
      <c r="RM109" s="53"/>
      <c r="RN109" s="53"/>
      <c r="RO109" s="53"/>
      <c r="RP109" s="53"/>
      <c r="RQ109" s="53"/>
      <c r="RR109" s="53"/>
      <c r="RS109" s="53"/>
      <c r="RT109" s="53"/>
      <c r="RU109" s="53"/>
      <c r="RV109" s="53"/>
      <c r="RW109" s="53"/>
      <c r="RX109" s="53"/>
      <c r="RY109" s="53"/>
      <c r="RZ109" s="53"/>
      <c r="SA109" s="53"/>
      <c r="SB109" s="53"/>
      <c r="SC109" s="53"/>
      <c r="SD109" s="53"/>
      <c r="SE109" s="53"/>
      <c r="SF109" s="53"/>
      <c r="SG109" s="53"/>
      <c r="SH109" s="53"/>
      <c r="SI109" s="53"/>
      <c r="SJ109" s="53"/>
      <c r="SK109" s="53"/>
      <c r="SL109" s="53"/>
      <c r="SM109" s="53"/>
      <c r="SN109" s="53"/>
      <c r="SO109" s="53"/>
      <c r="SP109" s="53"/>
      <c r="SQ109" s="53"/>
      <c r="SR109" s="53"/>
      <c r="SS109" s="53"/>
      <c r="ST109" s="53"/>
      <c r="SU109" s="53"/>
      <c r="SV109" s="53"/>
      <c r="SW109" s="53"/>
      <c r="SX109" s="53"/>
      <c r="SY109" s="53"/>
      <c r="SZ109" s="53"/>
      <c r="TA109" s="53"/>
      <c r="TB109" s="53"/>
      <c r="TC109" s="53"/>
      <c r="TD109" s="53"/>
      <c r="TE109" s="53"/>
      <c r="TF109" s="53"/>
      <c r="TG109" s="53"/>
      <c r="TH109" s="53"/>
      <c r="TI109" s="53"/>
      <c r="TJ109" s="53"/>
      <c r="TK109" s="53"/>
      <c r="TL109" s="53"/>
      <c r="TM109" s="53"/>
      <c r="TN109" s="53"/>
      <c r="TO109" s="53"/>
      <c r="TP109" s="53"/>
      <c r="TQ109" s="53"/>
      <c r="TR109" s="53"/>
      <c r="TS109" s="53"/>
      <c r="TT109" s="53"/>
      <c r="TU109" s="53"/>
      <c r="TV109" s="53"/>
      <c r="TW109" s="53"/>
      <c r="TX109" s="53"/>
      <c r="TY109" s="53"/>
      <c r="TZ109" s="53"/>
      <c r="UA109" s="53"/>
      <c r="UB109" s="53"/>
      <c r="UC109" s="53"/>
      <c r="UD109" s="53"/>
      <c r="UE109" s="53"/>
      <c r="UF109" s="53"/>
      <c r="UG109" s="53"/>
      <c r="UH109" s="53"/>
      <c r="UI109" s="53"/>
      <c r="UJ109" s="53"/>
      <c r="UK109" s="53"/>
      <c r="UL109" s="53"/>
      <c r="UM109" s="53"/>
      <c r="UN109" s="53"/>
      <c r="UO109" s="53"/>
      <c r="UP109" s="53"/>
      <c r="UQ109" s="53"/>
      <c r="UR109" s="53"/>
      <c r="US109" s="53"/>
      <c r="UT109" s="53"/>
      <c r="UU109" s="53"/>
      <c r="UV109" s="53"/>
      <c r="UW109" s="53"/>
      <c r="UX109" s="53"/>
      <c r="UY109" s="53"/>
      <c r="UZ109" s="53"/>
      <c r="VA109" s="53"/>
      <c r="VB109" s="53"/>
      <c r="VC109" s="53"/>
      <c r="VD109" s="53"/>
      <c r="VE109" s="53"/>
      <c r="VF109" s="53"/>
      <c r="VG109" s="53"/>
      <c r="VH109" s="53"/>
      <c r="VI109" s="53"/>
      <c r="VJ109" s="53"/>
      <c r="VK109" s="53"/>
      <c r="VL109" s="53"/>
    </row>
    <row r="110" spans="1:584" s="47" customFormat="1" ht="51.75" customHeight="1" x14ac:dyDescent="0.25">
      <c r="A110" s="71" t="s">
        <v>571</v>
      </c>
      <c r="B110" s="91">
        <v>9510</v>
      </c>
      <c r="C110" s="91" t="s">
        <v>68</v>
      </c>
      <c r="D110" s="48" t="s">
        <v>573</v>
      </c>
      <c r="E110" s="115">
        <v>229000</v>
      </c>
      <c r="F110" s="115"/>
      <c r="G110" s="115"/>
      <c r="H110" s="115">
        <v>229000</v>
      </c>
      <c r="I110" s="115"/>
      <c r="J110" s="115"/>
      <c r="K110" s="164">
        <f t="shared" si="17"/>
        <v>100</v>
      </c>
      <c r="L110" s="115">
        <f t="shared" si="28"/>
        <v>0</v>
      </c>
      <c r="M110" s="115"/>
      <c r="N110" s="115"/>
      <c r="O110" s="115"/>
      <c r="P110" s="115"/>
      <c r="Q110" s="115"/>
      <c r="R110" s="115">
        <f t="shared" si="19"/>
        <v>0</v>
      </c>
      <c r="S110" s="115"/>
      <c r="T110" s="115"/>
      <c r="U110" s="115"/>
      <c r="V110" s="115"/>
      <c r="W110" s="115"/>
      <c r="X110" s="149"/>
      <c r="Y110" s="115">
        <f t="shared" si="27"/>
        <v>229000</v>
      </c>
      <c r="Z110" s="187"/>
      <c r="AA110" s="53"/>
      <c r="AB110" s="53"/>
      <c r="AC110" s="53"/>
      <c r="AD110" s="53"/>
      <c r="AE110" s="79"/>
      <c r="AF110" s="79"/>
      <c r="AG110" s="79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  <c r="IW110" s="53"/>
      <c r="IX110" s="53"/>
      <c r="IY110" s="53"/>
      <c r="IZ110" s="53"/>
      <c r="JA110" s="53"/>
      <c r="JB110" s="53"/>
      <c r="JC110" s="53"/>
      <c r="JD110" s="53"/>
      <c r="JE110" s="53"/>
      <c r="JF110" s="53"/>
      <c r="JG110" s="53"/>
      <c r="JH110" s="53"/>
      <c r="JI110" s="53"/>
      <c r="JJ110" s="53"/>
      <c r="JK110" s="53"/>
      <c r="JL110" s="53"/>
      <c r="JM110" s="53"/>
      <c r="JN110" s="53"/>
      <c r="JO110" s="53"/>
      <c r="JP110" s="53"/>
      <c r="JQ110" s="53"/>
      <c r="JR110" s="53"/>
      <c r="JS110" s="53"/>
      <c r="JT110" s="53"/>
      <c r="JU110" s="53"/>
      <c r="JV110" s="53"/>
      <c r="JW110" s="53"/>
      <c r="JX110" s="53"/>
      <c r="JY110" s="53"/>
      <c r="JZ110" s="53"/>
      <c r="KA110" s="53"/>
      <c r="KB110" s="53"/>
      <c r="KC110" s="53"/>
      <c r="KD110" s="53"/>
      <c r="KE110" s="53"/>
      <c r="KF110" s="53"/>
      <c r="KG110" s="53"/>
      <c r="KH110" s="53"/>
      <c r="KI110" s="53"/>
      <c r="KJ110" s="53"/>
      <c r="KK110" s="53"/>
      <c r="KL110" s="53"/>
      <c r="KM110" s="53"/>
      <c r="KN110" s="53"/>
      <c r="KO110" s="53"/>
      <c r="KP110" s="53"/>
      <c r="KQ110" s="53"/>
      <c r="KR110" s="53"/>
      <c r="KS110" s="53"/>
      <c r="KT110" s="53"/>
      <c r="KU110" s="53"/>
      <c r="KV110" s="53"/>
      <c r="KW110" s="53"/>
      <c r="KX110" s="53"/>
      <c r="KY110" s="53"/>
      <c r="KZ110" s="53"/>
      <c r="LA110" s="53"/>
      <c r="LB110" s="53"/>
      <c r="LC110" s="53"/>
      <c r="LD110" s="53"/>
      <c r="LE110" s="53"/>
      <c r="LF110" s="53"/>
      <c r="LG110" s="53"/>
      <c r="LH110" s="53"/>
      <c r="LI110" s="53"/>
      <c r="LJ110" s="53"/>
      <c r="LK110" s="53"/>
      <c r="LL110" s="53"/>
      <c r="LM110" s="53"/>
      <c r="LN110" s="53"/>
      <c r="LO110" s="53"/>
      <c r="LP110" s="53"/>
      <c r="LQ110" s="53"/>
      <c r="LR110" s="53"/>
      <c r="LS110" s="53"/>
      <c r="LT110" s="53"/>
      <c r="LU110" s="53"/>
      <c r="LV110" s="53"/>
      <c r="LW110" s="53"/>
      <c r="LX110" s="53"/>
      <c r="LY110" s="53"/>
      <c r="LZ110" s="53"/>
      <c r="MA110" s="53"/>
      <c r="MB110" s="53"/>
      <c r="MC110" s="53"/>
      <c r="MD110" s="53"/>
      <c r="ME110" s="53"/>
      <c r="MF110" s="53"/>
      <c r="MG110" s="53"/>
      <c r="MH110" s="53"/>
      <c r="MI110" s="53"/>
      <c r="MJ110" s="53"/>
      <c r="MK110" s="53"/>
      <c r="ML110" s="53"/>
      <c r="MM110" s="53"/>
      <c r="MN110" s="53"/>
      <c r="MO110" s="53"/>
      <c r="MP110" s="53"/>
      <c r="MQ110" s="53"/>
      <c r="MR110" s="53"/>
      <c r="MS110" s="53"/>
      <c r="MT110" s="53"/>
      <c r="MU110" s="53"/>
      <c r="MV110" s="53"/>
      <c r="MW110" s="53"/>
      <c r="MX110" s="53"/>
      <c r="MY110" s="53"/>
      <c r="MZ110" s="53"/>
      <c r="NA110" s="53"/>
      <c r="NB110" s="53"/>
      <c r="NC110" s="53"/>
      <c r="ND110" s="53"/>
      <c r="NE110" s="53"/>
      <c r="NF110" s="53"/>
      <c r="NG110" s="53"/>
      <c r="NH110" s="53"/>
      <c r="NI110" s="53"/>
      <c r="NJ110" s="53"/>
      <c r="NK110" s="53"/>
      <c r="NL110" s="53"/>
      <c r="NM110" s="53"/>
      <c r="NN110" s="53"/>
      <c r="NO110" s="53"/>
      <c r="NP110" s="53"/>
      <c r="NQ110" s="53"/>
      <c r="NR110" s="53"/>
      <c r="NS110" s="53"/>
      <c r="NT110" s="53"/>
      <c r="NU110" s="53"/>
      <c r="NV110" s="53"/>
      <c r="NW110" s="53"/>
      <c r="NX110" s="53"/>
      <c r="NY110" s="53"/>
      <c r="NZ110" s="53"/>
      <c r="OA110" s="53"/>
      <c r="OB110" s="53"/>
      <c r="OC110" s="53"/>
      <c r="OD110" s="53"/>
      <c r="OE110" s="53"/>
      <c r="OF110" s="53"/>
      <c r="OG110" s="53"/>
      <c r="OH110" s="53"/>
      <c r="OI110" s="53"/>
      <c r="OJ110" s="53"/>
      <c r="OK110" s="53"/>
      <c r="OL110" s="53"/>
      <c r="OM110" s="53"/>
      <c r="ON110" s="53"/>
      <c r="OO110" s="53"/>
      <c r="OP110" s="53"/>
      <c r="OQ110" s="53"/>
      <c r="OR110" s="53"/>
      <c r="OS110" s="53"/>
      <c r="OT110" s="53"/>
      <c r="OU110" s="53"/>
      <c r="OV110" s="53"/>
      <c r="OW110" s="53"/>
      <c r="OX110" s="53"/>
      <c r="OY110" s="53"/>
      <c r="OZ110" s="53"/>
      <c r="PA110" s="53"/>
      <c r="PB110" s="53"/>
      <c r="PC110" s="53"/>
      <c r="PD110" s="53"/>
      <c r="PE110" s="53"/>
      <c r="PF110" s="53"/>
      <c r="PG110" s="53"/>
      <c r="PH110" s="53"/>
      <c r="PI110" s="53"/>
      <c r="PJ110" s="53"/>
      <c r="PK110" s="53"/>
      <c r="PL110" s="53"/>
      <c r="PM110" s="53"/>
      <c r="PN110" s="53"/>
      <c r="PO110" s="53"/>
      <c r="PP110" s="53"/>
      <c r="PQ110" s="53"/>
      <c r="PR110" s="53"/>
      <c r="PS110" s="53"/>
      <c r="PT110" s="53"/>
      <c r="PU110" s="53"/>
      <c r="PV110" s="53"/>
      <c r="PW110" s="53"/>
      <c r="PX110" s="53"/>
      <c r="PY110" s="53"/>
      <c r="PZ110" s="53"/>
      <c r="QA110" s="53"/>
      <c r="QB110" s="53"/>
      <c r="QC110" s="53"/>
      <c r="QD110" s="53"/>
      <c r="QE110" s="53"/>
      <c r="QF110" s="53"/>
      <c r="QG110" s="53"/>
      <c r="QH110" s="53"/>
      <c r="QI110" s="53"/>
      <c r="QJ110" s="53"/>
      <c r="QK110" s="53"/>
      <c r="QL110" s="53"/>
      <c r="QM110" s="53"/>
      <c r="QN110" s="53"/>
      <c r="QO110" s="53"/>
      <c r="QP110" s="53"/>
      <c r="QQ110" s="53"/>
      <c r="QR110" s="53"/>
      <c r="QS110" s="53"/>
      <c r="QT110" s="53"/>
      <c r="QU110" s="53"/>
      <c r="QV110" s="53"/>
      <c r="QW110" s="53"/>
      <c r="QX110" s="53"/>
      <c r="QY110" s="53"/>
      <c r="QZ110" s="53"/>
      <c r="RA110" s="53"/>
      <c r="RB110" s="53"/>
      <c r="RC110" s="53"/>
      <c r="RD110" s="53"/>
      <c r="RE110" s="53"/>
      <c r="RF110" s="53"/>
      <c r="RG110" s="53"/>
      <c r="RH110" s="53"/>
      <c r="RI110" s="53"/>
      <c r="RJ110" s="53"/>
      <c r="RK110" s="53"/>
      <c r="RL110" s="53"/>
      <c r="RM110" s="53"/>
      <c r="RN110" s="53"/>
      <c r="RO110" s="53"/>
      <c r="RP110" s="53"/>
      <c r="RQ110" s="53"/>
      <c r="RR110" s="53"/>
      <c r="RS110" s="53"/>
      <c r="RT110" s="53"/>
      <c r="RU110" s="53"/>
      <c r="RV110" s="53"/>
      <c r="RW110" s="53"/>
      <c r="RX110" s="53"/>
      <c r="RY110" s="53"/>
      <c r="RZ110" s="53"/>
      <c r="SA110" s="53"/>
      <c r="SB110" s="53"/>
      <c r="SC110" s="53"/>
      <c r="SD110" s="53"/>
      <c r="SE110" s="53"/>
      <c r="SF110" s="53"/>
      <c r="SG110" s="53"/>
      <c r="SH110" s="53"/>
      <c r="SI110" s="53"/>
      <c r="SJ110" s="53"/>
      <c r="SK110" s="53"/>
      <c r="SL110" s="53"/>
      <c r="SM110" s="53"/>
      <c r="SN110" s="53"/>
      <c r="SO110" s="53"/>
      <c r="SP110" s="53"/>
      <c r="SQ110" s="53"/>
      <c r="SR110" s="53"/>
      <c r="SS110" s="53"/>
      <c r="ST110" s="53"/>
      <c r="SU110" s="53"/>
      <c r="SV110" s="53"/>
      <c r="SW110" s="53"/>
      <c r="SX110" s="53"/>
      <c r="SY110" s="53"/>
      <c r="SZ110" s="53"/>
      <c r="TA110" s="53"/>
      <c r="TB110" s="53"/>
      <c r="TC110" s="53"/>
      <c r="TD110" s="53"/>
      <c r="TE110" s="53"/>
      <c r="TF110" s="53"/>
      <c r="TG110" s="53"/>
      <c r="TH110" s="53"/>
      <c r="TI110" s="53"/>
      <c r="TJ110" s="53"/>
      <c r="TK110" s="53"/>
      <c r="TL110" s="53"/>
      <c r="TM110" s="53"/>
      <c r="TN110" s="53"/>
      <c r="TO110" s="53"/>
      <c r="TP110" s="53"/>
      <c r="TQ110" s="53"/>
      <c r="TR110" s="53"/>
      <c r="TS110" s="53"/>
      <c r="TT110" s="53"/>
      <c r="TU110" s="53"/>
      <c r="TV110" s="53"/>
      <c r="TW110" s="53"/>
      <c r="TX110" s="53"/>
      <c r="TY110" s="53"/>
      <c r="TZ110" s="53"/>
      <c r="UA110" s="53"/>
      <c r="UB110" s="53"/>
      <c r="UC110" s="53"/>
      <c r="UD110" s="53"/>
      <c r="UE110" s="53"/>
      <c r="UF110" s="53"/>
      <c r="UG110" s="53"/>
      <c r="UH110" s="53"/>
      <c r="UI110" s="53"/>
      <c r="UJ110" s="53"/>
      <c r="UK110" s="53"/>
      <c r="UL110" s="53"/>
      <c r="UM110" s="53"/>
      <c r="UN110" s="53"/>
      <c r="UO110" s="53"/>
      <c r="UP110" s="53"/>
      <c r="UQ110" s="53"/>
      <c r="UR110" s="53"/>
      <c r="US110" s="53"/>
      <c r="UT110" s="53"/>
      <c r="UU110" s="53"/>
      <c r="UV110" s="53"/>
      <c r="UW110" s="53"/>
      <c r="UX110" s="53"/>
      <c r="UY110" s="53"/>
      <c r="UZ110" s="53"/>
      <c r="VA110" s="53"/>
      <c r="VB110" s="53"/>
      <c r="VC110" s="53"/>
      <c r="VD110" s="53"/>
      <c r="VE110" s="53"/>
      <c r="VF110" s="53"/>
      <c r="VG110" s="53"/>
      <c r="VH110" s="53"/>
      <c r="VI110" s="53"/>
      <c r="VJ110" s="53"/>
      <c r="VK110" s="53"/>
      <c r="VL110" s="53"/>
    </row>
    <row r="111" spans="1:584" s="47" customFormat="1" ht="20.25" customHeight="1" x14ac:dyDescent="0.25">
      <c r="A111" s="71"/>
      <c r="B111" s="91"/>
      <c r="C111" s="91"/>
      <c r="D111" s="46" t="s">
        <v>342</v>
      </c>
      <c r="E111" s="115">
        <v>229000</v>
      </c>
      <c r="F111" s="115"/>
      <c r="G111" s="115"/>
      <c r="H111" s="115">
        <v>229000</v>
      </c>
      <c r="I111" s="115"/>
      <c r="J111" s="115"/>
      <c r="K111" s="164">
        <f t="shared" si="17"/>
        <v>100</v>
      </c>
      <c r="L111" s="115">
        <f t="shared" si="28"/>
        <v>0</v>
      </c>
      <c r="M111" s="115"/>
      <c r="N111" s="115"/>
      <c r="O111" s="115"/>
      <c r="P111" s="115"/>
      <c r="Q111" s="115"/>
      <c r="R111" s="115">
        <f t="shared" si="19"/>
        <v>0</v>
      </c>
      <c r="S111" s="115"/>
      <c r="T111" s="115"/>
      <c r="U111" s="115"/>
      <c r="V111" s="115"/>
      <c r="W111" s="115"/>
      <c r="X111" s="149"/>
      <c r="Y111" s="115">
        <f t="shared" si="27"/>
        <v>229000</v>
      </c>
      <c r="Z111" s="187"/>
      <c r="AA111" s="53"/>
      <c r="AB111" s="53"/>
      <c r="AC111" s="53"/>
      <c r="AD111" s="53"/>
      <c r="AE111" s="79"/>
      <c r="AF111" s="79"/>
      <c r="AG111" s="79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/>
      <c r="IM111" s="53"/>
      <c r="IN111" s="53"/>
      <c r="IO111" s="53"/>
      <c r="IP111" s="53"/>
      <c r="IQ111" s="53"/>
      <c r="IR111" s="53"/>
      <c r="IS111" s="53"/>
      <c r="IT111" s="53"/>
      <c r="IU111" s="53"/>
      <c r="IV111" s="53"/>
      <c r="IW111" s="53"/>
      <c r="IX111" s="53"/>
      <c r="IY111" s="53"/>
      <c r="IZ111" s="53"/>
      <c r="JA111" s="53"/>
      <c r="JB111" s="53"/>
      <c r="JC111" s="53"/>
      <c r="JD111" s="53"/>
      <c r="JE111" s="53"/>
      <c r="JF111" s="53"/>
      <c r="JG111" s="53"/>
      <c r="JH111" s="53"/>
      <c r="JI111" s="53"/>
      <c r="JJ111" s="53"/>
      <c r="JK111" s="53"/>
      <c r="JL111" s="53"/>
      <c r="JM111" s="53"/>
      <c r="JN111" s="53"/>
      <c r="JO111" s="53"/>
      <c r="JP111" s="53"/>
      <c r="JQ111" s="53"/>
      <c r="JR111" s="53"/>
      <c r="JS111" s="53"/>
      <c r="JT111" s="53"/>
      <c r="JU111" s="53"/>
      <c r="JV111" s="53"/>
      <c r="JW111" s="53"/>
      <c r="JX111" s="53"/>
      <c r="JY111" s="53"/>
      <c r="JZ111" s="53"/>
      <c r="KA111" s="53"/>
      <c r="KB111" s="53"/>
      <c r="KC111" s="53"/>
      <c r="KD111" s="53"/>
      <c r="KE111" s="53"/>
      <c r="KF111" s="53"/>
      <c r="KG111" s="53"/>
      <c r="KH111" s="53"/>
      <c r="KI111" s="53"/>
      <c r="KJ111" s="53"/>
      <c r="KK111" s="53"/>
      <c r="KL111" s="53"/>
      <c r="KM111" s="53"/>
      <c r="KN111" s="53"/>
      <c r="KO111" s="53"/>
      <c r="KP111" s="53"/>
      <c r="KQ111" s="53"/>
      <c r="KR111" s="53"/>
      <c r="KS111" s="53"/>
      <c r="KT111" s="53"/>
      <c r="KU111" s="53"/>
      <c r="KV111" s="53"/>
      <c r="KW111" s="53"/>
      <c r="KX111" s="53"/>
      <c r="KY111" s="53"/>
      <c r="KZ111" s="53"/>
      <c r="LA111" s="53"/>
      <c r="LB111" s="53"/>
      <c r="LC111" s="53"/>
      <c r="LD111" s="53"/>
      <c r="LE111" s="53"/>
      <c r="LF111" s="53"/>
      <c r="LG111" s="53"/>
      <c r="LH111" s="53"/>
      <c r="LI111" s="53"/>
      <c r="LJ111" s="53"/>
      <c r="LK111" s="53"/>
      <c r="LL111" s="53"/>
      <c r="LM111" s="53"/>
      <c r="LN111" s="53"/>
      <c r="LO111" s="53"/>
      <c r="LP111" s="53"/>
      <c r="LQ111" s="53"/>
      <c r="LR111" s="53"/>
      <c r="LS111" s="53"/>
      <c r="LT111" s="53"/>
      <c r="LU111" s="53"/>
      <c r="LV111" s="53"/>
      <c r="LW111" s="53"/>
      <c r="LX111" s="53"/>
      <c r="LY111" s="53"/>
      <c r="LZ111" s="53"/>
      <c r="MA111" s="53"/>
      <c r="MB111" s="53"/>
      <c r="MC111" s="53"/>
      <c r="MD111" s="53"/>
      <c r="ME111" s="53"/>
      <c r="MF111" s="53"/>
      <c r="MG111" s="53"/>
      <c r="MH111" s="53"/>
      <c r="MI111" s="53"/>
      <c r="MJ111" s="53"/>
      <c r="MK111" s="53"/>
      <c r="ML111" s="53"/>
      <c r="MM111" s="53"/>
      <c r="MN111" s="53"/>
      <c r="MO111" s="53"/>
      <c r="MP111" s="53"/>
      <c r="MQ111" s="53"/>
      <c r="MR111" s="53"/>
      <c r="MS111" s="53"/>
      <c r="MT111" s="53"/>
      <c r="MU111" s="53"/>
      <c r="MV111" s="53"/>
      <c r="MW111" s="53"/>
      <c r="MX111" s="53"/>
      <c r="MY111" s="53"/>
      <c r="MZ111" s="53"/>
      <c r="NA111" s="53"/>
      <c r="NB111" s="53"/>
      <c r="NC111" s="53"/>
      <c r="ND111" s="53"/>
      <c r="NE111" s="53"/>
      <c r="NF111" s="53"/>
      <c r="NG111" s="53"/>
      <c r="NH111" s="53"/>
      <c r="NI111" s="53"/>
      <c r="NJ111" s="53"/>
      <c r="NK111" s="53"/>
      <c r="NL111" s="53"/>
      <c r="NM111" s="53"/>
      <c r="NN111" s="53"/>
      <c r="NO111" s="53"/>
      <c r="NP111" s="53"/>
      <c r="NQ111" s="53"/>
      <c r="NR111" s="53"/>
      <c r="NS111" s="53"/>
      <c r="NT111" s="53"/>
      <c r="NU111" s="53"/>
      <c r="NV111" s="53"/>
      <c r="NW111" s="53"/>
      <c r="NX111" s="53"/>
      <c r="NY111" s="53"/>
      <c r="NZ111" s="53"/>
      <c r="OA111" s="53"/>
      <c r="OB111" s="53"/>
      <c r="OC111" s="53"/>
      <c r="OD111" s="53"/>
      <c r="OE111" s="53"/>
      <c r="OF111" s="53"/>
      <c r="OG111" s="53"/>
      <c r="OH111" s="53"/>
      <c r="OI111" s="53"/>
      <c r="OJ111" s="53"/>
      <c r="OK111" s="53"/>
      <c r="OL111" s="53"/>
      <c r="OM111" s="53"/>
      <c r="ON111" s="53"/>
      <c r="OO111" s="53"/>
      <c r="OP111" s="53"/>
      <c r="OQ111" s="53"/>
      <c r="OR111" s="53"/>
      <c r="OS111" s="53"/>
      <c r="OT111" s="53"/>
      <c r="OU111" s="53"/>
      <c r="OV111" s="53"/>
      <c r="OW111" s="53"/>
      <c r="OX111" s="53"/>
      <c r="OY111" s="53"/>
      <c r="OZ111" s="53"/>
      <c r="PA111" s="53"/>
      <c r="PB111" s="53"/>
      <c r="PC111" s="53"/>
      <c r="PD111" s="53"/>
      <c r="PE111" s="53"/>
      <c r="PF111" s="53"/>
      <c r="PG111" s="53"/>
      <c r="PH111" s="53"/>
      <c r="PI111" s="53"/>
      <c r="PJ111" s="53"/>
      <c r="PK111" s="53"/>
      <c r="PL111" s="53"/>
      <c r="PM111" s="53"/>
      <c r="PN111" s="53"/>
      <c r="PO111" s="53"/>
      <c r="PP111" s="53"/>
      <c r="PQ111" s="53"/>
      <c r="PR111" s="53"/>
      <c r="PS111" s="53"/>
      <c r="PT111" s="53"/>
      <c r="PU111" s="53"/>
      <c r="PV111" s="53"/>
      <c r="PW111" s="53"/>
      <c r="PX111" s="53"/>
      <c r="PY111" s="53"/>
      <c r="PZ111" s="53"/>
      <c r="QA111" s="53"/>
      <c r="QB111" s="53"/>
      <c r="QC111" s="53"/>
      <c r="QD111" s="53"/>
      <c r="QE111" s="53"/>
      <c r="QF111" s="53"/>
      <c r="QG111" s="53"/>
      <c r="QH111" s="53"/>
      <c r="QI111" s="53"/>
      <c r="QJ111" s="53"/>
      <c r="QK111" s="53"/>
      <c r="QL111" s="53"/>
      <c r="QM111" s="53"/>
      <c r="QN111" s="53"/>
      <c r="QO111" s="53"/>
      <c r="QP111" s="53"/>
      <c r="QQ111" s="53"/>
      <c r="QR111" s="53"/>
      <c r="QS111" s="53"/>
      <c r="QT111" s="53"/>
      <c r="QU111" s="53"/>
      <c r="QV111" s="53"/>
      <c r="QW111" s="53"/>
      <c r="QX111" s="53"/>
      <c r="QY111" s="53"/>
      <c r="QZ111" s="53"/>
      <c r="RA111" s="53"/>
      <c r="RB111" s="53"/>
      <c r="RC111" s="53"/>
      <c r="RD111" s="53"/>
      <c r="RE111" s="53"/>
      <c r="RF111" s="53"/>
      <c r="RG111" s="53"/>
      <c r="RH111" s="53"/>
      <c r="RI111" s="53"/>
      <c r="RJ111" s="53"/>
      <c r="RK111" s="53"/>
      <c r="RL111" s="53"/>
      <c r="RM111" s="53"/>
      <c r="RN111" s="53"/>
      <c r="RO111" s="53"/>
      <c r="RP111" s="53"/>
      <c r="RQ111" s="53"/>
      <c r="RR111" s="53"/>
      <c r="RS111" s="53"/>
      <c r="RT111" s="53"/>
      <c r="RU111" s="53"/>
      <c r="RV111" s="53"/>
      <c r="RW111" s="53"/>
      <c r="RX111" s="53"/>
      <c r="RY111" s="53"/>
      <c r="RZ111" s="53"/>
      <c r="SA111" s="53"/>
      <c r="SB111" s="53"/>
      <c r="SC111" s="53"/>
      <c r="SD111" s="53"/>
      <c r="SE111" s="53"/>
      <c r="SF111" s="53"/>
      <c r="SG111" s="53"/>
      <c r="SH111" s="53"/>
      <c r="SI111" s="53"/>
      <c r="SJ111" s="53"/>
      <c r="SK111" s="53"/>
      <c r="SL111" s="53"/>
      <c r="SM111" s="53"/>
      <c r="SN111" s="53"/>
      <c r="SO111" s="53"/>
      <c r="SP111" s="53"/>
      <c r="SQ111" s="53"/>
      <c r="SR111" s="53"/>
      <c r="SS111" s="53"/>
      <c r="ST111" s="53"/>
      <c r="SU111" s="53"/>
      <c r="SV111" s="53"/>
      <c r="SW111" s="53"/>
      <c r="SX111" s="53"/>
      <c r="SY111" s="53"/>
      <c r="SZ111" s="53"/>
      <c r="TA111" s="53"/>
      <c r="TB111" s="53"/>
      <c r="TC111" s="53"/>
      <c r="TD111" s="53"/>
      <c r="TE111" s="53"/>
      <c r="TF111" s="53"/>
      <c r="TG111" s="53"/>
      <c r="TH111" s="53"/>
      <c r="TI111" s="53"/>
      <c r="TJ111" s="53"/>
      <c r="TK111" s="53"/>
      <c r="TL111" s="53"/>
      <c r="TM111" s="53"/>
      <c r="TN111" s="53"/>
      <c r="TO111" s="53"/>
      <c r="TP111" s="53"/>
      <c r="TQ111" s="53"/>
      <c r="TR111" s="53"/>
      <c r="TS111" s="53"/>
      <c r="TT111" s="53"/>
      <c r="TU111" s="53"/>
      <c r="TV111" s="53"/>
      <c r="TW111" s="53"/>
      <c r="TX111" s="53"/>
      <c r="TY111" s="53"/>
      <c r="TZ111" s="53"/>
      <c r="UA111" s="53"/>
      <c r="UB111" s="53"/>
      <c r="UC111" s="53"/>
      <c r="UD111" s="53"/>
      <c r="UE111" s="53"/>
      <c r="UF111" s="53"/>
      <c r="UG111" s="53"/>
      <c r="UH111" s="53"/>
      <c r="UI111" s="53"/>
      <c r="UJ111" s="53"/>
      <c r="UK111" s="53"/>
      <c r="UL111" s="53"/>
      <c r="UM111" s="53"/>
      <c r="UN111" s="53"/>
      <c r="UO111" s="53"/>
      <c r="UP111" s="53"/>
      <c r="UQ111" s="53"/>
      <c r="UR111" s="53"/>
      <c r="US111" s="53"/>
      <c r="UT111" s="53"/>
      <c r="UU111" s="53"/>
      <c r="UV111" s="53"/>
      <c r="UW111" s="53"/>
      <c r="UX111" s="53"/>
      <c r="UY111" s="53"/>
      <c r="UZ111" s="53"/>
      <c r="VA111" s="53"/>
      <c r="VB111" s="53"/>
      <c r="VC111" s="53"/>
      <c r="VD111" s="53"/>
      <c r="VE111" s="53"/>
      <c r="VF111" s="53"/>
      <c r="VG111" s="53"/>
      <c r="VH111" s="53"/>
      <c r="VI111" s="53"/>
      <c r="VJ111" s="53"/>
      <c r="VK111" s="53"/>
      <c r="VL111" s="53"/>
    </row>
    <row r="112" spans="1:584" s="47" customFormat="1" ht="67.5" customHeight="1" x14ac:dyDescent="0.25">
      <c r="A112" s="71" t="s">
        <v>575</v>
      </c>
      <c r="B112" s="91">
        <v>9570</v>
      </c>
      <c r="C112" s="91" t="s">
        <v>68</v>
      </c>
      <c r="D112" s="46" t="s">
        <v>589</v>
      </c>
      <c r="E112" s="115">
        <v>61000</v>
      </c>
      <c r="F112" s="115"/>
      <c r="G112" s="115"/>
      <c r="H112" s="115">
        <v>61000</v>
      </c>
      <c r="I112" s="115"/>
      <c r="J112" s="115"/>
      <c r="K112" s="164">
        <f t="shared" si="17"/>
        <v>100</v>
      </c>
      <c r="L112" s="115">
        <f t="shared" si="28"/>
        <v>0</v>
      </c>
      <c r="M112" s="115"/>
      <c r="N112" s="115"/>
      <c r="O112" s="115"/>
      <c r="P112" s="115"/>
      <c r="Q112" s="115"/>
      <c r="R112" s="115">
        <f t="shared" si="19"/>
        <v>0</v>
      </c>
      <c r="S112" s="115"/>
      <c r="T112" s="115"/>
      <c r="U112" s="115"/>
      <c r="V112" s="115"/>
      <c r="W112" s="115"/>
      <c r="X112" s="149"/>
      <c r="Y112" s="115">
        <f>H112+R112</f>
        <v>61000</v>
      </c>
      <c r="Z112" s="187"/>
      <c r="AA112" s="53"/>
      <c r="AB112" s="53"/>
      <c r="AC112" s="53"/>
      <c r="AD112" s="53"/>
      <c r="AE112" s="79"/>
      <c r="AF112" s="79"/>
      <c r="AG112" s="79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  <c r="IW112" s="53"/>
      <c r="IX112" s="53"/>
      <c r="IY112" s="53"/>
      <c r="IZ112" s="53"/>
      <c r="JA112" s="53"/>
      <c r="JB112" s="53"/>
      <c r="JC112" s="53"/>
      <c r="JD112" s="53"/>
      <c r="JE112" s="53"/>
      <c r="JF112" s="53"/>
      <c r="JG112" s="53"/>
      <c r="JH112" s="53"/>
      <c r="JI112" s="53"/>
      <c r="JJ112" s="53"/>
      <c r="JK112" s="53"/>
      <c r="JL112" s="53"/>
      <c r="JM112" s="53"/>
      <c r="JN112" s="53"/>
      <c r="JO112" s="53"/>
      <c r="JP112" s="53"/>
      <c r="JQ112" s="53"/>
      <c r="JR112" s="53"/>
      <c r="JS112" s="53"/>
      <c r="JT112" s="53"/>
      <c r="JU112" s="53"/>
      <c r="JV112" s="53"/>
      <c r="JW112" s="53"/>
      <c r="JX112" s="53"/>
      <c r="JY112" s="53"/>
      <c r="JZ112" s="53"/>
      <c r="KA112" s="53"/>
      <c r="KB112" s="53"/>
      <c r="KC112" s="53"/>
      <c r="KD112" s="53"/>
      <c r="KE112" s="53"/>
      <c r="KF112" s="53"/>
      <c r="KG112" s="53"/>
      <c r="KH112" s="53"/>
      <c r="KI112" s="53"/>
      <c r="KJ112" s="53"/>
      <c r="KK112" s="53"/>
      <c r="KL112" s="53"/>
      <c r="KM112" s="53"/>
      <c r="KN112" s="53"/>
      <c r="KO112" s="53"/>
      <c r="KP112" s="53"/>
      <c r="KQ112" s="53"/>
      <c r="KR112" s="53"/>
      <c r="KS112" s="53"/>
      <c r="KT112" s="53"/>
      <c r="KU112" s="53"/>
      <c r="KV112" s="53"/>
      <c r="KW112" s="53"/>
      <c r="KX112" s="53"/>
      <c r="KY112" s="53"/>
      <c r="KZ112" s="53"/>
      <c r="LA112" s="53"/>
      <c r="LB112" s="53"/>
      <c r="LC112" s="53"/>
      <c r="LD112" s="53"/>
      <c r="LE112" s="53"/>
      <c r="LF112" s="53"/>
      <c r="LG112" s="53"/>
      <c r="LH112" s="53"/>
      <c r="LI112" s="53"/>
      <c r="LJ112" s="53"/>
      <c r="LK112" s="53"/>
      <c r="LL112" s="53"/>
      <c r="LM112" s="53"/>
      <c r="LN112" s="53"/>
      <c r="LO112" s="53"/>
      <c r="LP112" s="53"/>
      <c r="LQ112" s="53"/>
      <c r="LR112" s="53"/>
      <c r="LS112" s="53"/>
      <c r="LT112" s="53"/>
      <c r="LU112" s="53"/>
      <c r="LV112" s="53"/>
      <c r="LW112" s="53"/>
      <c r="LX112" s="53"/>
      <c r="LY112" s="53"/>
      <c r="LZ112" s="53"/>
      <c r="MA112" s="53"/>
      <c r="MB112" s="53"/>
      <c r="MC112" s="53"/>
      <c r="MD112" s="53"/>
      <c r="ME112" s="53"/>
      <c r="MF112" s="53"/>
      <c r="MG112" s="53"/>
      <c r="MH112" s="53"/>
      <c r="MI112" s="53"/>
      <c r="MJ112" s="53"/>
      <c r="MK112" s="53"/>
      <c r="ML112" s="53"/>
      <c r="MM112" s="53"/>
      <c r="MN112" s="53"/>
      <c r="MO112" s="53"/>
      <c r="MP112" s="53"/>
      <c r="MQ112" s="53"/>
      <c r="MR112" s="53"/>
      <c r="MS112" s="53"/>
      <c r="MT112" s="53"/>
      <c r="MU112" s="53"/>
      <c r="MV112" s="53"/>
      <c r="MW112" s="53"/>
      <c r="MX112" s="53"/>
      <c r="MY112" s="53"/>
      <c r="MZ112" s="53"/>
      <c r="NA112" s="53"/>
      <c r="NB112" s="53"/>
      <c r="NC112" s="53"/>
      <c r="ND112" s="53"/>
      <c r="NE112" s="53"/>
      <c r="NF112" s="53"/>
      <c r="NG112" s="53"/>
      <c r="NH112" s="53"/>
      <c r="NI112" s="53"/>
      <c r="NJ112" s="53"/>
      <c r="NK112" s="53"/>
      <c r="NL112" s="53"/>
      <c r="NM112" s="53"/>
      <c r="NN112" s="53"/>
      <c r="NO112" s="53"/>
      <c r="NP112" s="53"/>
      <c r="NQ112" s="53"/>
      <c r="NR112" s="53"/>
      <c r="NS112" s="53"/>
      <c r="NT112" s="53"/>
      <c r="NU112" s="53"/>
      <c r="NV112" s="53"/>
      <c r="NW112" s="53"/>
      <c r="NX112" s="53"/>
      <c r="NY112" s="53"/>
      <c r="NZ112" s="53"/>
      <c r="OA112" s="53"/>
      <c r="OB112" s="53"/>
      <c r="OC112" s="53"/>
      <c r="OD112" s="53"/>
      <c r="OE112" s="53"/>
      <c r="OF112" s="53"/>
      <c r="OG112" s="53"/>
      <c r="OH112" s="53"/>
      <c r="OI112" s="53"/>
      <c r="OJ112" s="53"/>
      <c r="OK112" s="53"/>
      <c r="OL112" s="53"/>
      <c r="OM112" s="53"/>
      <c r="ON112" s="53"/>
      <c r="OO112" s="53"/>
      <c r="OP112" s="53"/>
      <c r="OQ112" s="53"/>
      <c r="OR112" s="53"/>
      <c r="OS112" s="53"/>
      <c r="OT112" s="53"/>
      <c r="OU112" s="53"/>
      <c r="OV112" s="53"/>
      <c r="OW112" s="53"/>
      <c r="OX112" s="53"/>
      <c r="OY112" s="53"/>
      <c r="OZ112" s="53"/>
      <c r="PA112" s="53"/>
      <c r="PB112" s="53"/>
      <c r="PC112" s="53"/>
      <c r="PD112" s="53"/>
      <c r="PE112" s="53"/>
      <c r="PF112" s="53"/>
      <c r="PG112" s="53"/>
      <c r="PH112" s="53"/>
      <c r="PI112" s="53"/>
      <c r="PJ112" s="53"/>
      <c r="PK112" s="53"/>
      <c r="PL112" s="53"/>
      <c r="PM112" s="53"/>
      <c r="PN112" s="53"/>
      <c r="PO112" s="53"/>
      <c r="PP112" s="53"/>
      <c r="PQ112" s="53"/>
      <c r="PR112" s="53"/>
      <c r="PS112" s="53"/>
      <c r="PT112" s="53"/>
      <c r="PU112" s="53"/>
      <c r="PV112" s="53"/>
      <c r="PW112" s="53"/>
      <c r="PX112" s="53"/>
      <c r="PY112" s="53"/>
      <c r="PZ112" s="53"/>
      <c r="QA112" s="53"/>
      <c r="QB112" s="53"/>
      <c r="QC112" s="53"/>
      <c r="QD112" s="53"/>
      <c r="QE112" s="53"/>
      <c r="QF112" s="53"/>
      <c r="QG112" s="53"/>
      <c r="QH112" s="53"/>
      <c r="QI112" s="53"/>
      <c r="QJ112" s="53"/>
      <c r="QK112" s="53"/>
      <c r="QL112" s="53"/>
      <c r="QM112" s="53"/>
      <c r="QN112" s="53"/>
      <c r="QO112" s="53"/>
      <c r="QP112" s="53"/>
      <c r="QQ112" s="53"/>
      <c r="QR112" s="53"/>
      <c r="QS112" s="53"/>
      <c r="QT112" s="53"/>
      <c r="QU112" s="53"/>
      <c r="QV112" s="53"/>
      <c r="QW112" s="53"/>
      <c r="QX112" s="53"/>
      <c r="QY112" s="53"/>
      <c r="QZ112" s="53"/>
      <c r="RA112" s="53"/>
      <c r="RB112" s="53"/>
      <c r="RC112" s="53"/>
      <c r="RD112" s="53"/>
      <c r="RE112" s="53"/>
      <c r="RF112" s="53"/>
      <c r="RG112" s="53"/>
      <c r="RH112" s="53"/>
      <c r="RI112" s="53"/>
      <c r="RJ112" s="53"/>
      <c r="RK112" s="53"/>
      <c r="RL112" s="53"/>
      <c r="RM112" s="53"/>
      <c r="RN112" s="53"/>
      <c r="RO112" s="53"/>
      <c r="RP112" s="53"/>
      <c r="RQ112" s="53"/>
      <c r="RR112" s="53"/>
      <c r="RS112" s="53"/>
      <c r="RT112" s="53"/>
      <c r="RU112" s="53"/>
      <c r="RV112" s="53"/>
      <c r="RW112" s="53"/>
      <c r="RX112" s="53"/>
      <c r="RY112" s="53"/>
      <c r="RZ112" s="53"/>
      <c r="SA112" s="53"/>
      <c r="SB112" s="53"/>
      <c r="SC112" s="53"/>
      <c r="SD112" s="53"/>
      <c r="SE112" s="53"/>
      <c r="SF112" s="53"/>
      <c r="SG112" s="53"/>
      <c r="SH112" s="53"/>
      <c r="SI112" s="53"/>
      <c r="SJ112" s="53"/>
      <c r="SK112" s="53"/>
      <c r="SL112" s="53"/>
      <c r="SM112" s="53"/>
      <c r="SN112" s="53"/>
      <c r="SO112" s="53"/>
      <c r="SP112" s="53"/>
      <c r="SQ112" s="53"/>
      <c r="SR112" s="53"/>
      <c r="SS112" s="53"/>
      <c r="ST112" s="53"/>
      <c r="SU112" s="53"/>
      <c r="SV112" s="53"/>
      <c r="SW112" s="53"/>
      <c r="SX112" s="53"/>
      <c r="SY112" s="53"/>
      <c r="SZ112" s="53"/>
      <c r="TA112" s="53"/>
      <c r="TB112" s="53"/>
      <c r="TC112" s="53"/>
      <c r="TD112" s="53"/>
      <c r="TE112" s="53"/>
      <c r="TF112" s="53"/>
      <c r="TG112" s="53"/>
      <c r="TH112" s="53"/>
      <c r="TI112" s="53"/>
      <c r="TJ112" s="53"/>
      <c r="TK112" s="53"/>
      <c r="TL112" s="53"/>
      <c r="TM112" s="53"/>
      <c r="TN112" s="53"/>
      <c r="TO112" s="53"/>
      <c r="TP112" s="53"/>
      <c r="TQ112" s="53"/>
      <c r="TR112" s="53"/>
      <c r="TS112" s="53"/>
      <c r="TT112" s="53"/>
      <c r="TU112" s="53"/>
      <c r="TV112" s="53"/>
      <c r="TW112" s="53"/>
      <c r="TX112" s="53"/>
      <c r="TY112" s="53"/>
      <c r="TZ112" s="53"/>
      <c r="UA112" s="53"/>
      <c r="UB112" s="53"/>
      <c r="UC112" s="53"/>
      <c r="UD112" s="53"/>
      <c r="UE112" s="53"/>
      <c r="UF112" s="53"/>
      <c r="UG112" s="53"/>
      <c r="UH112" s="53"/>
      <c r="UI112" s="53"/>
      <c r="UJ112" s="53"/>
      <c r="UK112" s="53"/>
      <c r="UL112" s="53"/>
      <c r="UM112" s="53"/>
      <c r="UN112" s="53"/>
      <c r="UO112" s="53"/>
      <c r="UP112" s="53"/>
      <c r="UQ112" s="53"/>
      <c r="UR112" s="53"/>
      <c r="US112" s="53"/>
      <c r="UT112" s="53"/>
      <c r="UU112" s="53"/>
      <c r="UV112" s="53"/>
      <c r="UW112" s="53"/>
      <c r="UX112" s="53"/>
      <c r="UY112" s="53"/>
      <c r="UZ112" s="53"/>
      <c r="VA112" s="53"/>
      <c r="VB112" s="53"/>
      <c r="VC112" s="53"/>
      <c r="VD112" s="53"/>
      <c r="VE112" s="53"/>
      <c r="VF112" s="53"/>
      <c r="VG112" s="53"/>
      <c r="VH112" s="53"/>
      <c r="VI112" s="53"/>
      <c r="VJ112" s="53"/>
      <c r="VK112" s="53"/>
      <c r="VL112" s="53"/>
    </row>
    <row r="113" spans="1:584" s="47" customFormat="1" ht="20.25" customHeight="1" x14ac:dyDescent="0.25">
      <c r="A113" s="71"/>
      <c r="B113" s="91"/>
      <c r="C113" s="91"/>
      <c r="D113" s="46" t="s">
        <v>342</v>
      </c>
      <c r="E113" s="115">
        <v>61000</v>
      </c>
      <c r="F113" s="115"/>
      <c r="G113" s="115"/>
      <c r="H113" s="115">
        <v>61000</v>
      </c>
      <c r="I113" s="115"/>
      <c r="J113" s="115"/>
      <c r="K113" s="164">
        <f t="shared" si="17"/>
        <v>100</v>
      </c>
      <c r="L113" s="115">
        <f t="shared" si="28"/>
        <v>0</v>
      </c>
      <c r="M113" s="115"/>
      <c r="N113" s="115"/>
      <c r="O113" s="115"/>
      <c r="P113" s="115"/>
      <c r="Q113" s="115"/>
      <c r="R113" s="115">
        <f t="shared" si="19"/>
        <v>0</v>
      </c>
      <c r="S113" s="115"/>
      <c r="T113" s="115"/>
      <c r="U113" s="115"/>
      <c r="V113" s="115"/>
      <c r="W113" s="115"/>
      <c r="X113" s="149"/>
      <c r="Y113" s="115">
        <f t="shared" si="27"/>
        <v>61000</v>
      </c>
      <c r="Z113" s="187"/>
      <c r="AA113" s="53"/>
      <c r="AB113" s="53"/>
      <c r="AC113" s="53"/>
      <c r="AD113" s="53"/>
      <c r="AE113" s="79"/>
      <c r="AF113" s="79"/>
      <c r="AG113" s="79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  <c r="IW113" s="53"/>
      <c r="IX113" s="53"/>
      <c r="IY113" s="53"/>
      <c r="IZ113" s="53"/>
      <c r="JA113" s="53"/>
      <c r="JB113" s="53"/>
      <c r="JC113" s="53"/>
      <c r="JD113" s="53"/>
      <c r="JE113" s="53"/>
      <c r="JF113" s="53"/>
      <c r="JG113" s="53"/>
      <c r="JH113" s="53"/>
      <c r="JI113" s="53"/>
      <c r="JJ113" s="53"/>
      <c r="JK113" s="53"/>
      <c r="JL113" s="53"/>
      <c r="JM113" s="53"/>
      <c r="JN113" s="53"/>
      <c r="JO113" s="53"/>
      <c r="JP113" s="53"/>
      <c r="JQ113" s="53"/>
      <c r="JR113" s="53"/>
      <c r="JS113" s="53"/>
      <c r="JT113" s="53"/>
      <c r="JU113" s="53"/>
      <c r="JV113" s="53"/>
      <c r="JW113" s="53"/>
      <c r="JX113" s="53"/>
      <c r="JY113" s="53"/>
      <c r="JZ113" s="53"/>
      <c r="KA113" s="53"/>
      <c r="KB113" s="53"/>
      <c r="KC113" s="53"/>
      <c r="KD113" s="53"/>
      <c r="KE113" s="53"/>
      <c r="KF113" s="53"/>
      <c r="KG113" s="53"/>
      <c r="KH113" s="53"/>
      <c r="KI113" s="53"/>
      <c r="KJ113" s="53"/>
      <c r="KK113" s="53"/>
      <c r="KL113" s="53"/>
      <c r="KM113" s="53"/>
      <c r="KN113" s="53"/>
      <c r="KO113" s="53"/>
      <c r="KP113" s="53"/>
      <c r="KQ113" s="53"/>
      <c r="KR113" s="53"/>
      <c r="KS113" s="53"/>
      <c r="KT113" s="53"/>
      <c r="KU113" s="53"/>
      <c r="KV113" s="53"/>
      <c r="KW113" s="53"/>
      <c r="KX113" s="53"/>
      <c r="KY113" s="53"/>
      <c r="KZ113" s="53"/>
      <c r="LA113" s="53"/>
      <c r="LB113" s="53"/>
      <c r="LC113" s="53"/>
      <c r="LD113" s="53"/>
      <c r="LE113" s="53"/>
      <c r="LF113" s="53"/>
      <c r="LG113" s="53"/>
      <c r="LH113" s="53"/>
      <c r="LI113" s="53"/>
      <c r="LJ113" s="53"/>
      <c r="LK113" s="53"/>
      <c r="LL113" s="53"/>
      <c r="LM113" s="53"/>
      <c r="LN113" s="53"/>
      <c r="LO113" s="53"/>
      <c r="LP113" s="53"/>
      <c r="LQ113" s="53"/>
      <c r="LR113" s="53"/>
      <c r="LS113" s="53"/>
      <c r="LT113" s="53"/>
      <c r="LU113" s="53"/>
      <c r="LV113" s="53"/>
      <c r="LW113" s="53"/>
      <c r="LX113" s="53"/>
      <c r="LY113" s="53"/>
      <c r="LZ113" s="53"/>
      <c r="MA113" s="53"/>
      <c r="MB113" s="53"/>
      <c r="MC113" s="53"/>
      <c r="MD113" s="53"/>
      <c r="ME113" s="53"/>
      <c r="MF113" s="53"/>
      <c r="MG113" s="53"/>
      <c r="MH113" s="53"/>
      <c r="MI113" s="53"/>
      <c r="MJ113" s="53"/>
      <c r="MK113" s="53"/>
      <c r="ML113" s="53"/>
      <c r="MM113" s="53"/>
      <c r="MN113" s="53"/>
      <c r="MO113" s="53"/>
      <c r="MP113" s="53"/>
      <c r="MQ113" s="53"/>
      <c r="MR113" s="53"/>
      <c r="MS113" s="53"/>
      <c r="MT113" s="53"/>
      <c r="MU113" s="53"/>
      <c r="MV113" s="53"/>
      <c r="MW113" s="53"/>
      <c r="MX113" s="53"/>
      <c r="MY113" s="53"/>
      <c r="MZ113" s="53"/>
      <c r="NA113" s="53"/>
      <c r="NB113" s="53"/>
      <c r="NC113" s="53"/>
      <c r="ND113" s="53"/>
      <c r="NE113" s="53"/>
      <c r="NF113" s="53"/>
      <c r="NG113" s="53"/>
      <c r="NH113" s="53"/>
      <c r="NI113" s="53"/>
      <c r="NJ113" s="53"/>
      <c r="NK113" s="53"/>
      <c r="NL113" s="53"/>
      <c r="NM113" s="53"/>
      <c r="NN113" s="53"/>
      <c r="NO113" s="53"/>
      <c r="NP113" s="53"/>
      <c r="NQ113" s="53"/>
      <c r="NR113" s="53"/>
      <c r="NS113" s="53"/>
      <c r="NT113" s="53"/>
      <c r="NU113" s="53"/>
      <c r="NV113" s="53"/>
      <c r="NW113" s="53"/>
      <c r="NX113" s="53"/>
      <c r="NY113" s="53"/>
      <c r="NZ113" s="53"/>
      <c r="OA113" s="53"/>
      <c r="OB113" s="53"/>
      <c r="OC113" s="53"/>
      <c r="OD113" s="53"/>
      <c r="OE113" s="53"/>
      <c r="OF113" s="53"/>
      <c r="OG113" s="53"/>
      <c r="OH113" s="53"/>
      <c r="OI113" s="53"/>
      <c r="OJ113" s="53"/>
      <c r="OK113" s="53"/>
      <c r="OL113" s="53"/>
      <c r="OM113" s="53"/>
      <c r="ON113" s="53"/>
      <c r="OO113" s="53"/>
      <c r="OP113" s="53"/>
      <c r="OQ113" s="53"/>
      <c r="OR113" s="53"/>
      <c r="OS113" s="53"/>
      <c r="OT113" s="53"/>
      <c r="OU113" s="53"/>
      <c r="OV113" s="53"/>
      <c r="OW113" s="53"/>
      <c r="OX113" s="53"/>
      <c r="OY113" s="53"/>
      <c r="OZ113" s="53"/>
      <c r="PA113" s="53"/>
      <c r="PB113" s="53"/>
      <c r="PC113" s="53"/>
      <c r="PD113" s="53"/>
      <c r="PE113" s="53"/>
      <c r="PF113" s="53"/>
      <c r="PG113" s="53"/>
      <c r="PH113" s="53"/>
      <c r="PI113" s="53"/>
      <c r="PJ113" s="53"/>
      <c r="PK113" s="53"/>
      <c r="PL113" s="53"/>
      <c r="PM113" s="53"/>
      <c r="PN113" s="53"/>
      <c r="PO113" s="53"/>
      <c r="PP113" s="53"/>
      <c r="PQ113" s="53"/>
      <c r="PR113" s="53"/>
      <c r="PS113" s="53"/>
      <c r="PT113" s="53"/>
      <c r="PU113" s="53"/>
      <c r="PV113" s="53"/>
      <c r="PW113" s="53"/>
      <c r="PX113" s="53"/>
      <c r="PY113" s="53"/>
      <c r="PZ113" s="53"/>
      <c r="QA113" s="53"/>
      <c r="QB113" s="53"/>
      <c r="QC113" s="53"/>
      <c r="QD113" s="53"/>
      <c r="QE113" s="53"/>
      <c r="QF113" s="53"/>
      <c r="QG113" s="53"/>
      <c r="QH113" s="53"/>
      <c r="QI113" s="53"/>
      <c r="QJ113" s="53"/>
      <c r="QK113" s="53"/>
      <c r="QL113" s="53"/>
      <c r="QM113" s="53"/>
      <c r="QN113" s="53"/>
      <c r="QO113" s="53"/>
      <c r="QP113" s="53"/>
      <c r="QQ113" s="53"/>
      <c r="QR113" s="53"/>
      <c r="QS113" s="53"/>
      <c r="QT113" s="53"/>
      <c r="QU113" s="53"/>
      <c r="QV113" s="53"/>
      <c r="QW113" s="53"/>
      <c r="QX113" s="53"/>
      <c r="QY113" s="53"/>
      <c r="QZ113" s="53"/>
      <c r="RA113" s="53"/>
      <c r="RB113" s="53"/>
      <c r="RC113" s="53"/>
      <c r="RD113" s="53"/>
      <c r="RE113" s="53"/>
      <c r="RF113" s="53"/>
      <c r="RG113" s="53"/>
      <c r="RH113" s="53"/>
      <c r="RI113" s="53"/>
      <c r="RJ113" s="53"/>
      <c r="RK113" s="53"/>
      <c r="RL113" s="53"/>
      <c r="RM113" s="53"/>
      <c r="RN113" s="53"/>
      <c r="RO113" s="53"/>
      <c r="RP113" s="53"/>
      <c r="RQ113" s="53"/>
      <c r="RR113" s="53"/>
      <c r="RS113" s="53"/>
      <c r="RT113" s="53"/>
      <c r="RU113" s="53"/>
      <c r="RV113" s="53"/>
      <c r="RW113" s="53"/>
      <c r="RX113" s="53"/>
      <c r="RY113" s="53"/>
      <c r="RZ113" s="53"/>
      <c r="SA113" s="53"/>
      <c r="SB113" s="53"/>
      <c r="SC113" s="53"/>
      <c r="SD113" s="53"/>
      <c r="SE113" s="53"/>
      <c r="SF113" s="53"/>
      <c r="SG113" s="53"/>
      <c r="SH113" s="53"/>
      <c r="SI113" s="53"/>
      <c r="SJ113" s="53"/>
      <c r="SK113" s="53"/>
      <c r="SL113" s="53"/>
      <c r="SM113" s="53"/>
      <c r="SN113" s="53"/>
      <c r="SO113" s="53"/>
      <c r="SP113" s="53"/>
      <c r="SQ113" s="53"/>
      <c r="SR113" s="53"/>
      <c r="SS113" s="53"/>
      <c r="ST113" s="53"/>
      <c r="SU113" s="53"/>
      <c r="SV113" s="53"/>
      <c r="SW113" s="53"/>
      <c r="SX113" s="53"/>
      <c r="SY113" s="53"/>
      <c r="SZ113" s="53"/>
      <c r="TA113" s="53"/>
      <c r="TB113" s="53"/>
      <c r="TC113" s="53"/>
      <c r="TD113" s="53"/>
      <c r="TE113" s="53"/>
      <c r="TF113" s="53"/>
      <c r="TG113" s="53"/>
      <c r="TH113" s="53"/>
      <c r="TI113" s="53"/>
      <c r="TJ113" s="53"/>
      <c r="TK113" s="53"/>
      <c r="TL113" s="53"/>
      <c r="TM113" s="53"/>
      <c r="TN113" s="53"/>
      <c r="TO113" s="53"/>
      <c r="TP113" s="53"/>
      <c r="TQ113" s="53"/>
      <c r="TR113" s="53"/>
      <c r="TS113" s="53"/>
      <c r="TT113" s="53"/>
      <c r="TU113" s="53"/>
      <c r="TV113" s="53"/>
      <c r="TW113" s="53"/>
      <c r="TX113" s="53"/>
      <c r="TY113" s="53"/>
      <c r="TZ113" s="53"/>
      <c r="UA113" s="53"/>
      <c r="UB113" s="53"/>
      <c r="UC113" s="53"/>
      <c r="UD113" s="53"/>
      <c r="UE113" s="53"/>
      <c r="UF113" s="53"/>
      <c r="UG113" s="53"/>
      <c r="UH113" s="53"/>
      <c r="UI113" s="53"/>
      <c r="UJ113" s="53"/>
      <c r="UK113" s="53"/>
      <c r="UL113" s="53"/>
      <c r="UM113" s="53"/>
      <c r="UN113" s="53"/>
      <c r="UO113" s="53"/>
      <c r="UP113" s="53"/>
      <c r="UQ113" s="53"/>
      <c r="UR113" s="53"/>
      <c r="US113" s="53"/>
      <c r="UT113" s="53"/>
      <c r="UU113" s="53"/>
      <c r="UV113" s="53"/>
      <c r="UW113" s="53"/>
      <c r="UX113" s="53"/>
      <c r="UY113" s="53"/>
      <c r="UZ113" s="53"/>
      <c r="VA113" s="53"/>
      <c r="VB113" s="53"/>
      <c r="VC113" s="53"/>
      <c r="VD113" s="53"/>
      <c r="VE113" s="53"/>
      <c r="VF113" s="53"/>
      <c r="VG113" s="53"/>
      <c r="VH113" s="53"/>
      <c r="VI113" s="53"/>
      <c r="VJ113" s="53"/>
      <c r="VK113" s="53"/>
      <c r="VL113" s="53"/>
    </row>
    <row r="114" spans="1:584" s="47" customFormat="1" ht="20.25" customHeight="1" x14ac:dyDescent="0.25">
      <c r="A114" s="45" t="s">
        <v>528</v>
      </c>
      <c r="B114" s="91" t="s">
        <v>24</v>
      </c>
      <c r="C114" s="91" t="s">
        <v>529</v>
      </c>
      <c r="D114" s="88" t="s">
        <v>341</v>
      </c>
      <c r="E114" s="115">
        <v>24318.080000000002</v>
      </c>
      <c r="F114" s="115"/>
      <c r="G114" s="115"/>
      <c r="H114" s="115">
        <v>24318.080000000002</v>
      </c>
      <c r="I114" s="115"/>
      <c r="J114" s="115"/>
      <c r="K114" s="164">
        <f t="shared" si="17"/>
        <v>100</v>
      </c>
      <c r="L114" s="115">
        <f t="shared" si="16"/>
        <v>0</v>
      </c>
      <c r="M114" s="115"/>
      <c r="N114" s="115"/>
      <c r="O114" s="115"/>
      <c r="P114" s="115"/>
      <c r="Q114" s="115"/>
      <c r="R114" s="115">
        <f t="shared" si="19"/>
        <v>0</v>
      </c>
      <c r="S114" s="115"/>
      <c r="T114" s="115"/>
      <c r="U114" s="115"/>
      <c r="V114" s="115"/>
      <c r="W114" s="115"/>
      <c r="X114" s="149"/>
      <c r="Y114" s="115">
        <f t="shared" si="27"/>
        <v>24318.080000000002</v>
      </c>
      <c r="Z114" s="187"/>
      <c r="AA114" s="53"/>
      <c r="AB114" s="53"/>
      <c r="AC114" s="53"/>
      <c r="AD114" s="53"/>
      <c r="AE114" s="79"/>
      <c r="AF114" s="79"/>
      <c r="AG114" s="79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  <c r="IW114" s="53"/>
      <c r="IX114" s="53"/>
      <c r="IY114" s="53"/>
      <c r="IZ114" s="53"/>
      <c r="JA114" s="53"/>
      <c r="JB114" s="53"/>
      <c r="JC114" s="53"/>
      <c r="JD114" s="53"/>
      <c r="JE114" s="53"/>
      <c r="JF114" s="53"/>
      <c r="JG114" s="53"/>
      <c r="JH114" s="53"/>
      <c r="JI114" s="53"/>
      <c r="JJ114" s="53"/>
      <c r="JK114" s="53"/>
      <c r="JL114" s="53"/>
      <c r="JM114" s="53"/>
      <c r="JN114" s="53"/>
      <c r="JO114" s="53"/>
      <c r="JP114" s="53"/>
      <c r="JQ114" s="53"/>
      <c r="JR114" s="53"/>
      <c r="JS114" s="53"/>
      <c r="JT114" s="53"/>
      <c r="JU114" s="53"/>
      <c r="JV114" s="53"/>
      <c r="JW114" s="53"/>
      <c r="JX114" s="53"/>
      <c r="JY114" s="53"/>
      <c r="JZ114" s="53"/>
      <c r="KA114" s="53"/>
      <c r="KB114" s="53"/>
      <c r="KC114" s="53"/>
      <c r="KD114" s="53"/>
      <c r="KE114" s="53"/>
      <c r="KF114" s="53"/>
      <c r="KG114" s="53"/>
      <c r="KH114" s="53"/>
      <c r="KI114" s="53"/>
      <c r="KJ114" s="53"/>
      <c r="KK114" s="53"/>
      <c r="KL114" s="53"/>
      <c r="KM114" s="53"/>
      <c r="KN114" s="53"/>
      <c r="KO114" s="53"/>
      <c r="KP114" s="53"/>
      <c r="KQ114" s="53"/>
      <c r="KR114" s="53"/>
      <c r="KS114" s="53"/>
      <c r="KT114" s="53"/>
      <c r="KU114" s="53"/>
      <c r="KV114" s="53"/>
      <c r="KW114" s="53"/>
      <c r="KX114" s="53"/>
      <c r="KY114" s="53"/>
      <c r="KZ114" s="53"/>
      <c r="LA114" s="53"/>
      <c r="LB114" s="53"/>
      <c r="LC114" s="53"/>
      <c r="LD114" s="53"/>
      <c r="LE114" s="53"/>
      <c r="LF114" s="53"/>
      <c r="LG114" s="53"/>
      <c r="LH114" s="53"/>
      <c r="LI114" s="53"/>
      <c r="LJ114" s="53"/>
      <c r="LK114" s="53"/>
      <c r="LL114" s="53"/>
      <c r="LM114" s="53"/>
      <c r="LN114" s="53"/>
      <c r="LO114" s="53"/>
      <c r="LP114" s="53"/>
      <c r="LQ114" s="53"/>
      <c r="LR114" s="53"/>
      <c r="LS114" s="53"/>
      <c r="LT114" s="53"/>
      <c r="LU114" s="53"/>
      <c r="LV114" s="53"/>
      <c r="LW114" s="53"/>
      <c r="LX114" s="53"/>
      <c r="LY114" s="53"/>
      <c r="LZ114" s="53"/>
      <c r="MA114" s="53"/>
      <c r="MB114" s="53"/>
      <c r="MC114" s="53"/>
      <c r="MD114" s="53"/>
      <c r="ME114" s="53"/>
      <c r="MF114" s="53"/>
      <c r="MG114" s="53"/>
      <c r="MH114" s="53"/>
      <c r="MI114" s="53"/>
      <c r="MJ114" s="53"/>
      <c r="MK114" s="53"/>
      <c r="ML114" s="53"/>
      <c r="MM114" s="53"/>
      <c r="MN114" s="53"/>
      <c r="MO114" s="53"/>
      <c r="MP114" s="53"/>
      <c r="MQ114" s="53"/>
      <c r="MR114" s="53"/>
      <c r="MS114" s="53"/>
      <c r="MT114" s="53"/>
      <c r="MU114" s="53"/>
      <c r="MV114" s="53"/>
      <c r="MW114" s="53"/>
      <c r="MX114" s="53"/>
      <c r="MY114" s="53"/>
      <c r="MZ114" s="53"/>
      <c r="NA114" s="53"/>
      <c r="NB114" s="53"/>
      <c r="NC114" s="53"/>
      <c r="ND114" s="53"/>
      <c r="NE114" s="53"/>
      <c r="NF114" s="53"/>
      <c r="NG114" s="53"/>
      <c r="NH114" s="53"/>
      <c r="NI114" s="53"/>
      <c r="NJ114" s="53"/>
      <c r="NK114" s="53"/>
      <c r="NL114" s="53"/>
      <c r="NM114" s="53"/>
      <c r="NN114" s="53"/>
      <c r="NO114" s="53"/>
      <c r="NP114" s="53"/>
      <c r="NQ114" s="53"/>
      <c r="NR114" s="53"/>
      <c r="NS114" s="53"/>
      <c r="NT114" s="53"/>
      <c r="NU114" s="53"/>
      <c r="NV114" s="53"/>
      <c r="NW114" s="53"/>
      <c r="NX114" s="53"/>
      <c r="NY114" s="53"/>
      <c r="NZ114" s="53"/>
      <c r="OA114" s="53"/>
      <c r="OB114" s="53"/>
      <c r="OC114" s="53"/>
      <c r="OD114" s="53"/>
      <c r="OE114" s="53"/>
      <c r="OF114" s="53"/>
      <c r="OG114" s="53"/>
      <c r="OH114" s="53"/>
      <c r="OI114" s="53"/>
      <c r="OJ114" s="53"/>
      <c r="OK114" s="53"/>
      <c r="OL114" s="53"/>
      <c r="OM114" s="53"/>
      <c r="ON114" s="53"/>
      <c r="OO114" s="53"/>
      <c r="OP114" s="53"/>
      <c r="OQ114" s="53"/>
      <c r="OR114" s="53"/>
      <c r="OS114" s="53"/>
      <c r="OT114" s="53"/>
      <c r="OU114" s="53"/>
      <c r="OV114" s="53"/>
      <c r="OW114" s="53"/>
      <c r="OX114" s="53"/>
      <c r="OY114" s="53"/>
      <c r="OZ114" s="53"/>
      <c r="PA114" s="53"/>
      <c r="PB114" s="53"/>
      <c r="PC114" s="53"/>
      <c r="PD114" s="53"/>
      <c r="PE114" s="53"/>
      <c r="PF114" s="53"/>
      <c r="PG114" s="53"/>
      <c r="PH114" s="53"/>
      <c r="PI114" s="53"/>
      <c r="PJ114" s="53"/>
      <c r="PK114" s="53"/>
      <c r="PL114" s="53"/>
      <c r="PM114" s="53"/>
      <c r="PN114" s="53"/>
      <c r="PO114" s="53"/>
      <c r="PP114" s="53"/>
      <c r="PQ114" s="53"/>
      <c r="PR114" s="53"/>
      <c r="PS114" s="53"/>
      <c r="PT114" s="53"/>
      <c r="PU114" s="53"/>
      <c r="PV114" s="53"/>
      <c r="PW114" s="53"/>
      <c r="PX114" s="53"/>
      <c r="PY114" s="53"/>
      <c r="PZ114" s="53"/>
      <c r="QA114" s="53"/>
      <c r="QB114" s="53"/>
      <c r="QC114" s="53"/>
      <c r="QD114" s="53"/>
      <c r="QE114" s="53"/>
      <c r="QF114" s="53"/>
      <c r="QG114" s="53"/>
      <c r="QH114" s="53"/>
      <c r="QI114" s="53"/>
      <c r="QJ114" s="53"/>
      <c r="QK114" s="53"/>
      <c r="QL114" s="53"/>
      <c r="QM114" s="53"/>
      <c r="QN114" s="53"/>
      <c r="QO114" s="53"/>
      <c r="QP114" s="53"/>
      <c r="QQ114" s="53"/>
      <c r="QR114" s="53"/>
      <c r="QS114" s="53"/>
      <c r="QT114" s="53"/>
      <c r="QU114" s="53"/>
      <c r="QV114" s="53"/>
      <c r="QW114" s="53"/>
      <c r="QX114" s="53"/>
      <c r="QY114" s="53"/>
      <c r="QZ114" s="53"/>
      <c r="RA114" s="53"/>
      <c r="RB114" s="53"/>
      <c r="RC114" s="53"/>
      <c r="RD114" s="53"/>
      <c r="RE114" s="53"/>
      <c r="RF114" s="53"/>
      <c r="RG114" s="53"/>
      <c r="RH114" s="53"/>
      <c r="RI114" s="53"/>
      <c r="RJ114" s="53"/>
      <c r="RK114" s="53"/>
      <c r="RL114" s="53"/>
      <c r="RM114" s="53"/>
      <c r="RN114" s="53"/>
      <c r="RO114" s="53"/>
      <c r="RP114" s="53"/>
      <c r="RQ114" s="53"/>
      <c r="RR114" s="53"/>
      <c r="RS114" s="53"/>
      <c r="RT114" s="53"/>
      <c r="RU114" s="53"/>
      <c r="RV114" s="53"/>
      <c r="RW114" s="53"/>
      <c r="RX114" s="53"/>
      <c r="RY114" s="53"/>
      <c r="RZ114" s="53"/>
      <c r="SA114" s="53"/>
      <c r="SB114" s="53"/>
      <c r="SC114" s="53"/>
      <c r="SD114" s="53"/>
      <c r="SE114" s="53"/>
      <c r="SF114" s="53"/>
      <c r="SG114" s="53"/>
      <c r="SH114" s="53"/>
      <c r="SI114" s="53"/>
      <c r="SJ114" s="53"/>
      <c r="SK114" s="53"/>
      <c r="SL114" s="53"/>
      <c r="SM114" s="53"/>
      <c r="SN114" s="53"/>
      <c r="SO114" s="53"/>
      <c r="SP114" s="53"/>
      <c r="SQ114" s="53"/>
      <c r="SR114" s="53"/>
      <c r="SS114" s="53"/>
      <c r="ST114" s="53"/>
      <c r="SU114" s="53"/>
      <c r="SV114" s="53"/>
      <c r="SW114" s="53"/>
      <c r="SX114" s="53"/>
      <c r="SY114" s="53"/>
      <c r="SZ114" s="53"/>
      <c r="TA114" s="53"/>
      <c r="TB114" s="53"/>
      <c r="TC114" s="53"/>
      <c r="TD114" s="53"/>
      <c r="TE114" s="53"/>
      <c r="TF114" s="53"/>
      <c r="TG114" s="53"/>
      <c r="TH114" s="53"/>
      <c r="TI114" s="53"/>
      <c r="TJ114" s="53"/>
      <c r="TK114" s="53"/>
      <c r="TL114" s="53"/>
      <c r="TM114" s="53"/>
      <c r="TN114" s="53"/>
      <c r="TO114" s="53"/>
      <c r="TP114" s="53"/>
      <c r="TQ114" s="53"/>
      <c r="TR114" s="53"/>
      <c r="TS114" s="53"/>
      <c r="TT114" s="53"/>
      <c r="TU114" s="53"/>
      <c r="TV114" s="53"/>
      <c r="TW114" s="53"/>
      <c r="TX114" s="53"/>
      <c r="TY114" s="53"/>
      <c r="TZ114" s="53"/>
      <c r="UA114" s="53"/>
      <c r="UB114" s="53"/>
      <c r="UC114" s="53"/>
      <c r="UD114" s="53"/>
      <c r="UE114" s="53"/>
      <c r="UF114" s="53"/>
      <c r="UG114" s="53"/>
      <c r="UH114" s="53"/>
      <c r="UI114" s="53"/>
      <c r="UJ114" s="53"/>
      <c r="UK114" s="53"/>
      <c r="UL114" s="53"/>
      <c r="UM114" s="53"/>
      <c r="UN114" s="53"/>
      <c r="UO114" s="53"/>
      <c r="UP114" s="53"/>
      <c r="UQ114" s="53"/>
      <c r="UR114" s="53"/>
      <c r="US114" s="53"/>
      <c r="UT114" s="53"/>
      <c r="UU114" s="53"/>
      <c r="UV114" s="53"/>
      <c r="UW114" s="53"/>
      <c r="UX114" s="53"/>
      <c r="UY114" s="53"/>
      <c r="UZ114" s="53"/>
      <c r="VA114" s="53"/>
      <c r="VB114" s="53"/>
      <c r="VC114" s="53"/>
      <c r="VD114" s="53"/>
      <c r="VE114" s="53"/>
      <c r="VF114" s="53"/>
      <c r="VG114" s="53"/>
      <c r="VH114" s="53"/>
      <c r="VI114" s="53"/>
      <c r="VJ114" s="53"/>
      <c r="VK114" s="53"/>
      <c r="VL114" s="53"/>
    </row>
    <row r="115" spans="1:584" s="64" customFormat="1" ht="28.5" x14ac:dyDescent="0.25">
      <c r="A115" s="62" t="s">
        <v>240</v>
      </c>
      <c r="B115" s="97"/>
      <c r="C115" s="97"/>
      <c r="D115" s="63" t="s">
        <v>60</v>
      </c>
      <c r="E115" s="116">
        <f>E116</f>
        <v>695922028.32999992</v>
      </c>
      <c r="F115" s="116">
        <f t="shared" ref="F115:Y115" si="29">F116</f>
        <v>49502248</v>
      </c>
      <c r="G115" s="116">
        <f t="shared" si="29"/>
        <v>1643050</v>
      </c>
      <c r="H115" s="116">
        <f>H116</f>
        <v>635633226.18000019</v>
      </c>
      <c r="I115" s="116">
        <f t="shared" si="29"/>
        <v>49493857.130000003</v>
      </c>
      <c r="J115" s="116">
        <f t="shared" si="29"/>
        <v>1327109.27</v>
      </c>
      <c r="K115" s="135">
        <f t="shared" si="17"/>
        <v>91.336845264881987</v>
      </c>
      <c r="L115" s="116">
        <f t="shared" si="29"/>
        <v>9035284.9100000001</v>
      </c>
      <c r="M115" s="116">
        <f t="shared" si="29"/>
        <v>7426766.9100000001</v>
      </c>
      <c r="N115" s="116">
        <f t="shared" si="29"/>
        <v>95530</v>
      </c>
      <c r="O115" s="116">
        <f t="shared" si="29"/>
        <v>75100</v>
      </c>
      <c r="P115" s="116">
        <f t="shared" si="29"/>
        <v>0</v>
      </c>
      <c r="Q115" s="116">
        <f t="shared" si="29"/>
        <v>8939754.9100000001</v>
      </c>
      <c r="R115" s="116">
        <f t="shared" si="29"/>
        <v>8556756.0700000003</v>
      </c>
      <c r="S115" s="116">
        <f t="shared" si="29"/>
        <v>6451224.1099999994</v>
      </c>
      <c r="T115" s="116">
        <f t="shared" si="29"/>
        <v>592544.68999999994</v>
      </c>
      <c r="U115" s="116">
        <f t="shared" si="29"/>
        <v>409630.02999999997</v>
      </c>
      <c r="V115" s="116">
        <f t="shared" si="29"/>
        <v>0</v>
      </c>
      <c r="W115" s="116">
        <f t="shared" si="29"/>
        <v>7964211.3799999999</v>
      </c>
      <c r="X115" s="149">
        <f t="shared" si="18"/>
        <v>94.703776972540439</v>
      </c>
      <c r="Y115" s="116">
        <f t="shared" si="29"/>
        <v>644189982.25000012</v>
      </c>
      <c r="Z115" s="187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  <c r="GG115" s="79"/>
      <c r="GH115" s="79"/>
      <c r="GI115" s="79"/>
      <c r="GJ115" s="79"/>
      <c r="GK115" s="79"/>
      <c r="GL115" s="79"/>
      <c r="GM115" s="79"/>
      <c r="GN115" s="79"/>
      <c r="GO115" s="79"/>
      <c r="GP115" s="79"/>
      <c r="GQ115" s="79"/>
      <c r="GR115" s="79"/>
      <c r="GS115" s="79"/>
      <c r="GT115" s="79"/>
      <c r="GU115" s="79"/>
      <c r="GV115" s="79"/>
      <c r="GW115" s="79"/>
      <c r="GX115" s="79"/>
      <c r="GY115" s="79"/>
      <c r="GZ115" s="79"/>
      <c r="HA115" s="79"/>
      <c r="HB115" s="79"/>
      <c r="HC115" s="79"/>
      <c r="HD115" s="79"/>
      <c r="HE115" s="79"/>
      <c r="HF115" s="79"/>
      <c r="HG115" s="79"/>
      <c r="HH115" s="79"/>
      <c r="HI115" s="79"/>
      <c r="HJ115" s="79"/>
      <c r="HK115" s="79"/>
      <c r="HL115" s="79"/>
      <c r="HM115" s="79"/>
      <c r="HN115" s="79"/>
      <c r="HO115" s="79"/>
      <c r="HP115" s="79"/>
      <c r="HQ115" s="79"/>
      <c r="HR115" s="79"/>
      <c r="HS115" s="79"/>
      <c r="HT115" s="79"/>
      <c r="HU115" s="79"/>
      <c r="HV115" s="79"/>
      <c r="HW115" s="79"/>
      <c r="HX115" s="79"/>
      <c r="HY115" s="79"/>
      <c r="HZ115" s="79"/>
      <c r="IA115" s="79"/>
      <c r="IB115" s="79"/>
      <c r="IC115" s="79"/>
      <c r="ID115" s="79"/>
      <c r="IE115" s="79"/>
      <c r="IF115" s="79"/>
      <c r="IG115" s="79"/>
      <c r="IH115" s="79"/>
      <c r="II115" s="79"/>
      <c r="IJ115" s="79"/>
      <c r="IK115" s="79"/>
      <c r="IL115" s="79"/>
      <c r="IM115" s="79"/>
      <c r="IN115" s="79"/>
      <c r="IO115" s="79"/>
      <c r="IP115" s="79"/>
      <c r="IQ115" s="79"/>
      <c r="IR115" s="79"/>
      <c r="IS115" s="79"/>
      <c r="IT115" s="79"/>
      <c r="IU115" s="79"/>
      <c r="IV115" s="79"/>
      <c r="IW115" s="79"/>
      <c r="IX115" s="79"/>
      <c r="IY115" s="79"/>
      <c r="IZ115" s="79"/>
      <c r="JA115" s="79"/>
      <c r="JB115" s="79"/>
      <c r="JC115" s="79"/>
      <c r="JD115" s="79"/>
      <c r="JE115" s="79"/>
      <c r="JF115" s="79"/>
      <c r="JG115" s="79"/>
      <c r="JH115" s="79"/>
      <c r="JI115" s="79"/>
      <c r="JJ115" s="79"/>
      <c r="JK115" s="79"/>
      <c r="JL115" s="79"/>
      <c r="JM115" s="79"/>
      <c r="JN115" s="79"/>
      <c r="JO115" s="79"/>
      <c r="JP115" s="79"/>
      <c r="JQ115" s="79"/>
      <c r="JR115" s="79"/>
      <c r="JS115" s="79"/>
      <c r="JT115" s="79"/>
      <c r="JU115" s="79"/>
      <c r="JV115" s="79"/>
      <c r="JW115" s="79"/>
      <c r="JX115" s="79"/>
      <c r="JY115" s="79"/>
      <c r="JZ115" s="79"/>
      <c r="KA115" s="79"/>
      <c r="KB115" s="79"/>
      <c r="KC115" s="79"/>
      <c r="KD115" s="79"/>
      <c r="KE115" s="79"/>
      <c r="KF115" s="79"/>
      <c r="KG115" s="79"/>
      <c r="KH115" s="79"/>
      <c r="KI115" s="79"/>
      <c r="KJ115" s="79"/>
      <c r="KK115" s="79"/>
      <c r="KL115" s="79"/>
      <c r="KM115" s="79"/>
      <c r="KN115" s="79"/>
      <c r="KO115" s="79"/>
      <c r="KP115" s="79"/>
      <c r="KQ115" s="79"/>
      <c r="KR115" s="79"/>
      <c r="KS115" s="79"/>
      <c r="KT115" s="79"/>
      <c r="KU115" s="79"/>
      <c r="KV115" s="79"/>
      <c r="KW115" s="79"/>
      <c r="KX115" s="79"/>
      <c r="KY115" s="79"/>
      <c r="KZ115" s="79"/>
      <c r="LA115" s="79"/>
      <c r="LB115" s="79"/>
      <c r="LC115" s="79"/>
      <c r="LD115" s="79"/>
      <c r="LE115" s="79"/>
      <c r="LF115" s="79"/>
      <c r="LG115" s="79"/>
      <c r="LH115" s="79"/>
      <c r="LI115" s="79"/>
      <c r="LJ115" s="79"/>
      <c r="LK115" s="79"/>
      <c r="LL115" s="79"/>
      <c r="LM115" s="79"/>
      <c r="LN115" s="79"/>
      <c r="LO115" s="79"/>
      <c r="LP115" s="79"/>
      <c r="LQ115" s="79"/>
      <c r="LR115" s="79"/>
      <c r="LS115" s="79"/>
      <c r="LT115" s="79"/>
      <c r="LU115" s="79"/>
      <c r="LV115" s="79"/>
      <c r="LW115" s="79"/>
      <c r="LX115" s="79"/>
      <c r="LY115" s="79"/>
      <c r="LZ115" s="79"/>
      <c r="MA115" s="79"/>
      <c r="MB115" s="79"/>
      <c r="MC115" s="79"/>
      <c r="MD115" s="79"/>
      <c r="ME115" s="79"/>
      <c r="MF115" s="79"/>
      <c r="MG115" s="79"/>
      <c r="MH115" s="79"/>
      <c r="MI115" s="79"/>
      <c r="MJ115" s="79"/>
      <c r="MK115" s="79"/>
      <c r="ML115" s="79"/>
      <c r="MM115" s="79"/>
      <c r="MN115" s="79"/>
      <c r="MO115" s="79"/>
      <c r="MP115" s="79"/>
      <c r="MQ115" s="79"/>
      <c r="MR115" s="79"/>
      <c r="MS115" s="79"/>
      <c r="MT115" s="79"/>
      <c r="MU115" s="79"/>
      <c r="MV115" s="79"/>
      <c r="MW115" s="79"/>
      <c r="MX115" s="79"/>
      <c r="MY115" s="79"/>
      <c r="MZ115" s="79"/>
      <c r="NA115" s="79"/>
      <c r="NB115" s="79"/>
      <c r="NC115" s="79"/>
      <c r="ND115" s="79"/>
      <c r="NE115" s="79"/>
      <c r="NF115" s="79"/>
      <c r="NG115" s="79"/>
      <c r="NH115" s="79"/>
      <c r="NI115" s="79"/>
      <c r="NJ115" s="79"/>
      <c r="NK115" s="79"/>
      <c r="NL115" s="79"/>
      <c r="NM115" s="79"/>
      <c r="NN115" s="79"/>
      <c r="NO115" s="79"/>
      <c r="NP115" s="79"/>
      <c r="NQ115" s="79"/>
      <c r="NR115" s="79"/>
      <c r="NS115" s="79"/>
      <c r="NT115" s="79"/>
      <c r="NU115" s="79"/>
      <c r="NV115" s="79"/>
      <c r="NW115" s="79"/>
      <c r="NX115" s="79"/>
      <c r="NY115" s="79"/>
      <c r="NZ115" s="79"/>
      <c r="OA115" s="79"/>
      <c r="OB115" s="79"/>
      <c r="OC115" s="79"/>
      <c r="OD115" s="79"/>
      <c r="OE115" s="79"/>
      <c r="OF115" s="79"/>
      <c r="OG115" s="79"/>
      <c r="OH115" s="79"/>
      <c r="OI115" s="79"/>
      <c r="OJ115" s="79"/>
      <c r="OK115" s="79"/>
      <c r="OL115" s="79"/>
      <c r="OM115" s="79"/>
      <c r="ON115" s="79"/>
      <c r="OO115" s="79"/>
      <c r="OP115" s="79"/>
      <c r="OQ115" s="79"/>
      <c r="OR115" s="79"/>
      <c r="OS115" s="79"/>
      <c r="OT115" s="79"/>
      <c r="OU115" s="79"/>
      <c r="OV115" s="79"/>
      <c r="OW115" s="79"/>
      <c r="OX115" s="79"/>
      <c r="OY115" s="79"/>
      <c r="OZ115" s="79"/>
      <c r="PA115" s="79"/>
      <c r="PB115" s="79"/>
      <c r="PC115" s="79"/>
      <c r="PD115" s="79"/>
      <c r="PE115" s="79"/>
      <c r="PF115" s="79"/>
      <c r="PG115" s="79"/>
      <c r="PH115" s="79"/>
      <c r="PI115" s="79"/>
      <c r="PJ115" s="79"/>
      <c r="PK115" s="79"/>
      <c r="PL115" s="79"/>
      <c r="PM115" s="79"/>
      <c r="PN115" s="79"/>
      <c r="PO115" s="79"/>
      <c r="PP115" s="79"/>
      <c r="PQ115" s="79"/>
      <c r="PR115" s="79"/>
      <c r="PS115" s="79"/>
      <c r="PT115" s="79"/>
      <c r="PU115" s="79"/>
      <c r="PV115" s="79"/>
      <c r="PW115" s="79"/>
      <c r="PX115" s="79"/>
      <c r="PY115" s="79"/>
      <c r="PZ115" s="79"/>
      <c r="QA115" s="79"/>
      <c r="QB115" s="79"/>
      <c r="QC115" s="79"/>
      <c r="QD115" s="79"/>
      <c r="QE115" s="79"/>
      <c r="QF115" s="79"/>
      <c r="QG115" s="79"/>
      <c r="QH115" s="79"/>
      <c r="QI115" s="79"/>
      <c r="QJ115" s="79"/>
      <c r="QK115" s="79"/>
      <c r="QL115" s="79"/>
      <c r="QM115" s="79"/>
      <c r="QN115" s="79"/>
      <c r="QO115" s="79"/>
      <c r="QP115" s="79"/>
      <c r="QQ115" s="79"/>
      <c r="QR115" s="79"/>
      <c r="QS115" s="79"/>
      <c r="QT115" s="79"/>
      <c r="QU115" s="79"/>
      <c r="QV115" s="79"/>
      <c r="QW115" s="79"/>
      <c r="QX115" s="79"/>
      <c r="QY115" s="79"/>
      <c r="QZ115" s="79"/>
      <c r="RA115" s="79"/>
      <c r="RB115" s="79"/>
      <c r="RC115" s="79"/>
      <c r="RD115" s="79"/>
      <c r="RE115" s="79"/>
      <c r="RF115" s="79"/>
      <c r="RG115" s="79"/>
      <c r="RH115" s="79"/>
      <c r="RI115" s="79"/>
      <c r="RJ115" s="79"/>
      <c r="RK115" s="79"/>
      <c r="RL115" s="79"/>
      <c r="RM115" s="79"/>
      <c r="RN115" s="79"/>
      <c r="RO115" s="79"/>
      <c r="RP115" s="79"/>
      <c r="RQ115" s="79"/>
      <c r="RR115" s="79"/>
      <c r="RS115" s="79"/>
      <c r="RT115" s="79"/>
      <c r="RU115" s="79"/>
      <c r="RV115" s="79"/>
      <c r="RW115" s="79"/>
      <c r="RX115" s="79"/>
      <c r="RY115" s="79"/>
      <c r="RZ115" s="79"/>
      <c r="SA115" s="79"/>
      <c r="SB115" s="79"/>
      <c r="SC115" s="79"/>
      <c r="SD115" s="79"/>
      <c r="SE115" s="79"/>
      <c r="SF115" s="79"/>
      <c r="SG115" s="79"/>
      <c r="SH115" s="79"/>
      <c r="SI115" s="79"/>
      <c r="SJ115" s="79"/>
      <c r="SK115" s="79"/>
      <c r="SL115" s="79"/>
      <c r="SM115" s="79"/>
      <c r="SN115" s="79"/>
      <c r="SO115" s="79"/>
      <c r="SP115" s="79"/>
      <c r="SQ115" s="79"/>
      <c r="SR115" s="79"/>
      <c r="SS115" s="79"/>
      <c r="ST115" s="79"/>
      <c r="SU115" s="79"/>
      <c r="SV115" s="79"/>
      <c r="SW115" s="79"/>
      <c r="SX115" s="79"/>
      <c r="SY115" s="79"/>
      <c r="SZ115" s="79"/>
      <c r="TA115" s="79"/>
      <c r="TB115" s="79"/>
      <c r="TC115" s="79"/>
      <c r="TD115" s="79"/>
      <c r="TE115" s="79"/>
      <c r="TF115" s="79"/>
      <c r="TG115" s="79"/>
      <c r="TH115" s="79"/>
      <c r="TI115" s="79"/>
      <c r="TJ115" s="79"/>
      <c r="TK115" s="79"/>
      <c r="TL115" s="79"/>
      <c r="TM115" s="79"/>
      <c r="TN115" s="79"/>
      <c r="TO115" s="79"/>
      <c r="TP115" s="79"/>
      <c r="TQ115" s="79"/>
      <c r="TR115" s="79"/>
      <c r="TS115" s="79"/>
      <c r="TT115" s="79"/>
      <c r="TU115" s="79"/>
      <c r="TV115" s="79"/>
      <c r="TW115" s="79"/>
      <c r="TX115" s="79"/>
      <c r="TY115" s="79"/>
      <c r="TZ115" s="79"/>
      <c r="UA115" s="79"/>
      <c r="UB115" s="79"/>
      <c r="UC115" s="79"/>
      <c r="UD115" s="79"/>
      <c r="UE115" s="79"/>
      <c r="UF115" s="79"/>
      <c r="UG115" s="79"/>
      <c r="UH115" s="79"/>
      <c r="UI115" s="79"/>
      <c r="UJ115" s="79"/>
      <c r="UK115" s="79"/>
      <c r="UL115" s="79"/>
      <c r="UM115" s="79"/>
      <c r="UN115" s="79"/>
      <c r="UO115" s="79"/>
      <c r="UP115" s="79"/>
      <c r="UQ115" s="79"/>
      <c r="UR115" s="79"/>
      <c r="US115" s="79"/>
      <c r="UT115" s="79"/>
      <c r="UU115" s="79"/>
      <c r="UV115" s="79"/>
      <c r="UW115" s="79"/>
      <c r="UX115" s="79"/>
      <c r="UY115" s="79"/>
      <c r="UZ115" s="79"/>
      <c r="VA115" s="79"/>
      <c r="VB115" s="79"/>
      <c r="VC115" s="79"/>
      <c r="VD115" s="79"/>
      <c r="VE115" s="79"/>
      <c r="VF115" s="79"/>
      <c r="VG115" s="79"/>
      <c r="VH115" s="79"/>
      <c r="VI115" s="79"/>
      <c r="VJ115" s="79"/>
      <c r="VK115" s="79"/>
      <c r="VL115" s="79"/>
    </row>
    <row r="116" spans="1:584" s="81" customFormat="1" ht="32.25" customHeight="1" x14ac:dyDescent="0.25">
      <c r="A116" s="67" t="s">
        <v>241</v>
      </c>
      <c r="B116" s="98"/>
      <c r="C116" s="98"/>
      <c r="D116" s="68" t="s">
        <v>60</v>
      </c>
      <c r="E116" s="114">
        <f>E118+E119+E121+E123+E125+E127+E128+E129+E130+E131+E132+E134+E136+E138+E140+E142+E144+E148+E149+E151+E153+E155+E157+E161+E163+E164+E146+E165+E166+E167+E168+E169+E170+E171+E172+E173+E175+E177+E181+E183+E184+E187+E188+E191+E159+E189+E179+E185</f>
        <v>695922028.32999992</v>
      </c>
      <c r="F116" s="114">
        <f t="shared" ref="F116:Y116" si="30">F118+F119+F121+F123+F125+F127+F128+F129+F130+F131+F132+F134+F136+F138+F140+F142+F144+F148+F149+F151+F153+F155+F157+F161+F163+F164+F146+F165+F166+F167+F168+F169+F170+F171+F172+F173+F175+F177+F181+F183+F184+F187+F188+F191+F159+F189+F179+F185</f>
        <v>49502248</v>
      </c>
      <c r="G116" s="114">
        <f t="shared" si="30"/>
        <v>1643050</v>
      </c>
      <c r="H116" s="114">
        <f>H118+H119+H121+H123+H125+H127+H128+H129+H130+H131+H132+H134+H136+H138+H140+H142+H144+H148+H149+H151+H153+H155+H157+H161+H163+H164+H146+H165+H166+H167+H168+H169+H170+H171+H172+H173+H175+H177+H181+H183+H184+H187+H188+H191+H159+H189+H179+H185</f>
        <v>635633226.18000019</v>
      </c>
      <c r="I116" s="114">
        <f t="shared" ref="I116:J116" si="31">I118+I119+I121+I123+I125+I127+I128+I129+I130+I131+I132+I134+I136+I138+I140+I142+I144+I148+I149+I151+I153+I155+I157+I161+I163+I164+I146+I165+I166+I167+I168+I169+I170+I171+I172+I173+I175+I177+I181+I183+I184+I187+I188+I191+I159+I189+I179+I185</f>
        <v>49493857.130000003</v>
      </c>
      <c r="J116" s="114">
        <f t="shared" si="31"/>
        <v>1327109.27</v>
      </c>
      <c r="K116" s="153">
        <f t="shared" si="17"/>
        <v>91.336845264881987</v>
      </c>
      <c r="L116" s="114">
        <f t="shared" si="30"/>
        <v>9035284.9100000001</v>
      </c>
      <c r="M116" s="114">
        <f t="shared" si="30"/>
        <v>7426766.9100000001</v>
      </c>
      <c r="N116" s="114">
        <f t="shared" si="30"/>
        <v>95530</v>
      </c>
      <c r="O116" s="114">
        <f t="shared" si="30"/>
        <v>75100</v>
      </c>
      <c r="P116" s="114">
        <f t="shared" si="30"/>
        <v>0</v>
      </c>
      <c r="Q116" s="114">
        <f t="shared" si="30"/>
        <v>8939754.9100000001</v>
      </c>
      <c r="R116" s="114">
        <f t="shared" ref="R116:W116" si="32">R118+R119+R121+R123+R125+R127+R128+R129+R130+R131+R132+R134+R136+R138+R140+R142+R144+R148+R149+R151+R153+R155+R157+R161+R163+R164+R146+R165+R166+R167+R168+R169+R170+R171+R172+R173+R175+R177+R181+R183+R184+R187+R188+R191+R159+R189+R179+R185</f>
        <v>8556756.0700000003</v>
      </c>
      <c r="S116" s="114">
        <f t="shared" si="32"/>
        <v>6451224.1099999994</v>
      </c>
      <c r="T116" s="114">
        <f t="shared" si="32"/>
        <v>592544.68999999994</v>
      </c>
      <c r="U116" s="114">
        <f t="shared" si="32"/>
        <v>409630.02999999997</v>
      </c>
      <c r="V116" s="114">
        <f t="shared" si="32"/>
        <v>0</v>
      </c>
      <c r="W116" s="114">
        <f t="shared" si="32"/>
        <v>7964211.3799999999</v>
      </c>
      <c r="X116" s="165">
        <f t="shared" si="18"/>
        <v>94.703776972540439</v>
      </c>
      <c r="Y116" s="114">
        <f t="shared" si="30"/>
        <v>644189982.25000012</v>
      </c>
      <c r="Z116" s="187"/>
      <c r="AA116" s="80"/>
      <c r="AB116" s="80"/>
      <c r="AC116" s="80"/>
      <c r="AD116" s="80"/>
      <c r="AE116" s="79"/>
      <c r="AF116" s="79"/>
      <c r="AG116" s="79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  <c r="GA116" s="80"/>
      <c r="GB116" s="80"/>
      <c r="GC116" s="80"/>
      <c r="GD116" s="80"/>
      <c r="GE116" s="80"/>
      <c r="GF116" s="80"/>
      <c r="GG116" s="80"/>
      <c r="GH116" s="80"/>
      <c r="GI116" s="80"/>
      <c r="GJ116" s="80"/>
      <c r="GK116" s="80"/>
      <c r="GL116" s="80"/>
      <c r="GM116" s="80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0"/>
      <c r="HA116" s="80"/>
      <c r="HB116" s="80"/>
      <c r="HC116" s="80"/>
      <c r="HD116" s="80"/>
      <c r="HE116" s="80"/>
      <c r="HF116" s="80"/>
      <c r="HG116" s="80"/>
      <c r="HH116" s="80"/>
      <c r="HI116" s="80"/>
      <c r="HJ116" s="80"/>
      <c r="HK116" s="80"/>
      <c r="HL116" s="80"/>
      <c r="HM116" s="80"/>
      <c r="HN116" s="80"/>
      <c r="HO116" s="80"/>
      <c r="HP116" s="80"/>
      <c r="HQ116" s="80"/>
      <c r="HR116" s="80"/>
      <c r="HS116" s="80"/>
      <c r="HT116" s="80"/>
      <c r="HU116" s="80"/>
      <c r="HV116" s="80"/>
      <c r="HW116" s="80"/>
      <c r="HX116" s="80"/>
      <c r="HY116" s="80"/>
      <c r="HZ116" s="80"/>
      <c r="IA116" s="80"/>
      <c r="IB116" s="80"/>
      <c r="IC116" s="80"/>
      <c r="ID116" s="80"/>
      <c r="IE116" s="80"/>
      <c r="IF116" s="80"/>
      <c r="IG116" s="80"/>
      <c r="IH116" s="80"/>
      <c r="II116" s="80"/>
      <c r="IJ116" s="80"/>
      <c r="IK116" s="80"/>
      <c r="IL116" s="80"/>
      <c r="IM116" s="80"/>
      <c r="IN116" s="80"/>
      <c r="IO116" s="80"/>
      <c r="IP116" s="80"/>
      <c r="IQ116" s="80"/>
      <c r="IR116" s="80"/>
      <c r="IS116" s="80"/>
      <c r="IT116" s="80"/>
      <c r="IU116" s="80"/>
      <c r="IV116" s="80"/>
      <c r="IW116" s="80"/>
      <c r="IX116" s="80"/>
      <c r="IY116" s="80"/>
      <c r="IZ116" s="80"/>
      <c r="JA116" s="80"/>
      <c r="JB116" s="80"/>
      <c r="JC116" s="80"/>
      <c r="JD116" s="80"/>
      <c r="JE116" s="80"/>
      <c r="JF116" s="80"/>
      <c r="JG116" s="80"/>
      <c r="JH116" s="80"/>
      <c r="JI116" s="80"/>
      <c r="JJ116" s="80"/>
      <c r="JK116" s="80"/>
      <c r="JL116" s="80"/>
      <c r="JM116" s="80"/>
      <c r="JN116" s="80"/>
      <c r="JO116" s="80"/>
      <c r="JP116" s="80"/>
      <c r="JQ116" s="80"/>
      <c r="JR116" s="80"/>
      <c r="JS116" s="80"/>
      <c r="JT116" s="80"/>
      <c r="JU116" s="80"/>
      <c r="JV116" s="80"/>
      <c r="JW116" s="80"/>
      <c r="JX116" s="80"/>
      <c r="JY116" s="80"/>
      <c r="JZ116" s="80"/>
      <c r="KA116" s="80"/>
      <c r="KB116" s="80"/>
      <c r="KC116" s="80"/>
      <c r="KD116" s="80"/>
      <c r="KE116" s="80"/>
      <c r="KF116" s="80"/>
      <c r="KG116" s="80"/>
      <c r="KH116" s="80"/>
      <c r="KI116" s="80"/>
      <c r="KJ116" s="80"/>
      <c r="KK116" s="80"/>
      <c r="KL116" s="80"/>
      <c r="KM116" s="80"/>
      <c r="KN116" s="80"/>
      <c r="KO116" s="80"/>
      <c r="KP116" s="80"/>
      <c r="KQ116" s="80"/>
      <c r="KR116" s="80"/>
      <c r="KS116" s="80"/>
      <c r="KT116" s="80"/>
      <c r="KU116" s="80"/>
      <c r="KV116" s="80"/>
      <c r="KW116" s="80"/>
      <c r="KX116" s="80"/>
      <c r="KY116" s="80"/>
      <c r="KZ116" s="80"/>
      <c r="LA116" s="80"/>
      <c r="LB116" s="80"/>
      <c r="LC116" s="80"/>
      <c r="LD116" s="80"/>
      <c r="LE116" s="80"/>
      <c r="LF116" s="80"/>
      <c r="LG116" s="80"/>
      <c r="LH116" s="80"/>
      <c r="LI116" s="80"/>
      <c r="LJ116" s="80"/>
      <c r="LK116" s="80"/>
      <c r="LL116" s="80"/>
      <c r="LM116" s="80"/>
      <c r="LN116" s="80"/>
      <c r="LO116" s="80"/>
      <c r="LP116" s="80"/>
      <c r="LQ116" s="80"/>
      <c r="LR116" s="80"/>
      <c r="LS116" s="80"/>
      <c r="LT116" s="80"/>
      <c r="LU116" s="80"/>
      <c r="LV116" s="80"/>
      <c r="LW116" s="80"/>
      <c r="LX116" s="80"/>
      <c r="LY116" s="80"/>
      <c r="LZ116" s="80"/>
      <c r="MA116" s="80"/>
      <c r="MB116" s="80"/>
      <c r="MC116" s="80"/>
      <c r="MD116" s="80"/>
      <c r="ME116" s="80"/>
      <c r="MF116" s="80"/>
      <c r="MG116" s="80"/>
      <c r="MH116" s="80"/>
      <c r="MI116" s="80"/>
      <c r="MJ116" s="80"/>
      <c r="MK116" s="80"/>
      <c r="ML116" s="80"/>
      <c r="MM116" s="80"/>
      <c r="MN116" s="80"/>
      <c r="MO116" s="80"/>
      <c r="MP116" s="80"/>
      <c r="MQ116" s="80"/>
      <c r="MR116" s="80"/>
      <c r="MS116" s="80"/>
      <c r="MT116" s="80"/>
      <c r="MU116" s="80"/>
      <c r="MV116" s="80"/>
      <c r="MW116" s="80"/>
      <c r="MX116" s="80"/>
      <c r="MY116" s="80"/>
      <c r="MZ116" s="80"/>
      <c r="NA116" s="80"/>
      <c r="NB116" s="80"/>
      <c r="NC116" s="80"/>
      <c r="ND116" s="80"/>
      <c r="NE116" s="80"/>
      <c r="NF116" s="80"/>
      <c r="NG116" s="80"/>
      <c r="NH116" s="80"/>
      <c r="NI116" s="80"/>
      <c r="NJ116" s="80"/>
      <c r="NK116" s="80"/>
      <c r="NL116" s="80"/>
      <c r="NM116" s="80"/>
      <c r="NN116" s="80"/>
      <c r="NO116" s="80"/>
      <c r="NP116" s="80"/>
      <c r="NQ116" s="80"/>
      <c r="NR116" s="80"/>
      <c r="NS116" s="80"/>
      <c r="NT116" s="80"/>
      <c r="NU116" s="80"/>
      <c r="NV116" s="80"/>
      <c r="NW116" s="80"/>
      <c r="NX116" s="80"/>
      <c r="NY116" s="80"/>
      <c r="NZ116" s="80"/>
      <c r="OA116" s="80"/>
      <c r="OB116" s="80"/>
      <c r="OC116" s="80"/>
      <c r="OD116" s="80"/>
      <c r="OE116" s="80"/>
      <c r="OF116" s="80"/>
      <c r="OG116" s="80"/>
      <c r="OH116" s="80"/>
      <c r="OI116" s="80"/>
      <c r="OJ116" s="80"/>
      <c r="OK116" s="80"/>
      <c r="OL116" s="80"/>
      <c r="OM116" s="80"/>
      <c r="ON116" s="80"/>
      <c r="OO116" s="80"/>
      <c r="OP116" s="80"/>
      <c r="OQ116" s="80"/>
      <c r="OR116" s="80"/>
      <c r="OS116" s="80"/>
      <c r="OT116" s="80"/>
      <c r="OU116" s="80"/>
      <c r="OV116" s="80"/>
      <c r="OW116" s="80"/>
      <c r="OX116" s="80"/>
      <c r="OY116" s="80"/>
      <c r="OZ116" s="80"/>
      <c r="PA116" s="80"/>
      <c r="PB116" s="80"/>
      <c r="PC116" s="80"/>
      <c r="PD116" s="80"/>
      <c r="PE116" s="80"/>
      <c r="PF116" s="80"/>
      <c r="PG116" s="80"/>
      <c r="PH116" s="80"/>
      <c r="PI116" s="80"/>
      <c r="PJ116" s="80"/>
      <c r="PK116" s="80"/>
      <c r="PL116" s="80"/>
      <c r="PM116" s="80"/>
      <c r="PN116" s="80"/>
      <c r="PO116" s="80"/>
      <c r="PP116" s="80"/>
      <c r="PQ116" s="80"/>
      <c r="PR116" s="80"/>
      <c r="PS116" s="80"/>
      <c r="PT116" s="80"/>
      <c r="PU116" s="80"/>
      <c r="PV116" s="80"/>
      <c r="PW116" s="80"/>
      <c r="PX116" s="80"/>
      <c r="PY116" s="80"/>
      <c r="PZ116" s="80"/>
      <c r="QA116" s="80"/>
      <c r="QB116" s="80"/>
      <c r="QC116" s="80"/>
      <c r="QD116" s="80"/>
      <c r="QE116" s="80"/>
      <c r="QF116" s="80"/>
      <c r="QG116" s="80"/>
      <c r="QH116" s="80"/>
      <c r="QI116" s="80"/>
      <c r="QJ116" s="80"/>
      <c r="QK116" s="80"/>
      <c r="QL116" s="80"/>
      <c r="QM116" s="80"/>
      <c r="QN116" s="80"/>
      <c r="QO116" s="80"/>
      <c r="QP116" s="80"/>
      <c r="QQ116" s="80"/>
      <c r="QR116" s="80"/>
      <c r="QS116" s="80"/>
      <c r="QT116" s="80"/>
      <c r="QU116" s="80"/>
      <c r="QV116" s="80"/>
      <c r="QW116" s="80"/>
      <c r="QX116" s="80"/>
      <c r="QY116" s="80"/>
      <c r="QZ116" s="80"/>
      <c r="RA116" s="80"/>
      <c r="RB116" s="80"/>
      <c r="RC116" s="80"/>
      <c r="RD116" s="80"/>
      <c r="RE116" s="80"/>
      <c r="RF116" s="80"/>
      <c r="RG116" s="80"/>
      <c r="RH116" s="80"/>
      <c r="RI116" s="80"/>
      <c r="RJ116" s="80"/>
      <c r="RK116" s="80"/>
      <c r="RL116" s="80"/>
      <c r="RM116" s="80"/>
      <c r="RN116" s="80"/>
      <c r="RO116" s="80"/>
      <c r="RP116" s="80"/>
      <c r="RQ116" s="80"/>
      <c r="RR116" s="80"/>
      <c r="RS116" s="80"/>
      <c r="RT116" s="80"/>
      <c r="RU116" s="80"/>
      <c r="RV116" s="80"/>
      <c r="RW116" s="80"/>
      <c r="RX116" s="80"/>
      <c r="RY116" s="80"/>
      <c r="RZ116" s="80"/>
      <c r="SA116" s="80"/>
      <c r="SB116" s="80"/>
      <c r="SC116" s="80"/>
      <c r="SD116" s="80"/>
      <c r="SE116" s="80"/>
      <c r="SF116" s="80"/>
      <c r="SG116" s="80"/>
      <c r="SH116" s="80"/>
      <c r="SI116" s="80"/>
      <c r="SJ116" s="80"/>
      <c r="SK116" s="80"/>
      <c r="SL116" s="80"/>
      <c r="SM116" s="80"/>
      <c r="SN116" s="80"/>
      <c r="SO116" s="80"/>
      <c r="SP116" s="80"/>
      <c r="SQ116" s="80"/>
      <c r="SR116" s="80"/>
      <c r="SS116" s="80"/>
      <c r="ST116" s="80"/>
      <c r="SU116" s="80"/>
      <c r="SV116" s="80"/>
      <c r="SW116" s="80"/>
      <c r="SX116" s="80"/>
      <c r="SY116" s="80"/>
      <c r="SZ116" s="80"/>
      <c r="TA116" s="80"/>
      <c r="TB116" s="80"/>
      <c r="TC116" s="80"/>
      <c r="TD116" s="80"/>
      <c r="TE116" s="80"/>
      <c r="TF116" s="80"/>
      <c r="TG116" s="80"/>
      <c r="TH116" s="80"/>
      <c r="TI116" s="80"/>
      <c r="TJ116" s="80"/>
      <c r="TK116" s="80"/>
      <c r="TL116" s="80"/>
      <c r="TM116" s="80"/>
      <c r="TN116" s="80"/>
      <c r="TO116" s="80"/>
      <c r="TP116" s="80"/>
      <c r="TQ116" s="80"/>
      <c r="TR116" s="80"/>
      <c r="TS116" s="80"/>
      <c r="TT116" s="80"/>
      <c r="TU116" s="80"/>
      <c r="TV116" s="80"/>
      <c r="TW116" s="80"/>
      <c r="TX116" s="80"/>
      <c r="TY116" s="80"/>
      <c r="TZ116" s="80"/>
      <c r="UA116" s="80"/>
      <c r="UB116" s="80"/>
      <c r="UC116" s="80"/>
      <c r="UD116" s="80"/>
      <c r="UE116" s="80"/>
      <c r="UF116" s="80"/>
      <c r="UG116" s="80"/>
      <c r="UH116" s="80"/>
      <c r="UI116" s="80"/>
      <c r="UJ116" s="80"/>
      <c r="UK116" s="80"/>
      <c r="UL116" s="80"/>
      <c r="UM116" s="80"/>
      <c r="UN116" s="80"/>
      <c r="UO116" s="80"/>
      <c r="UP116" s="80"/>
      <c r="UQ116" s="80"/>
      <c r="UR116" s="80"/>
      <c r="US116" s="80"/>
      <c r="UT116" s="80"/>
      <c r="UU116" s="80"/>
      <c r="UV116" s="80"/>
      <c r="UW116" s="80"/>
      <c r="UX116" s="80"/>
      <c r="UY116" s="80"/>
      <c r="UZ116" s="80"/>
      <c r="VA116" s="80"/>
      <c r="VB116" s="80"/>
      <c r="VC116" s="80"/>
      <c r="VD116" s="80"/>
      <c r="VE116" s="80"/>
      <c r="VF116" s="80"/>
      <c r="VG116" s="80"/>
      <c r="VH116" s="80"/>
      <c r="VI116" s="80"/>
      <c r="VJ116" s="80"/>
      <c r="VK116" s="80"/>
      <c r="VL116" s="80"/>
    </row>
    <row r="117" spans="1:584" s="64" customFormat="1" ht="15.75" customHeight="1" x14ac:dyDescent="0.25">
      <c r="A117" s="62"/>
      <c r="B117" s="97"/>
      <c r="C117" s="97"/>
      <c r="D117" s="63" t="s">
        <v>342</v>
      </c>
      <c r="E117" s="116">
        <f>E120+E122+E124+E126+E133+E135+E137+E139+E141+E143+E145+E150+E152+E154+E156+E158+E162+E174+E176+E178+E182+E147+E160+E190+E180+E186</f>
        <v>517576738.50999999</v>
      </c>
      <c r="F117" s="116">
        <f t="shared" ref="F117:Y117" si="33">F120+F122+F124+F126+F133+F135+F137+F139+F141+F143+F145+F150+F152+F154+F156+F158+F162+F174+F176+F178+F182+F147+F160+F190+F180+F186</f>
        <v>0</v>
      </c>
      <c r="G117" s="116">
        <f t="shared" si="33"/>
        <v>0</v>
      </c>
      <c r="H117" s="116">
        <f>H120+H122+H124+H126+H133+H135+H137+H139+H141+H143+H145+H150+H152+H154+H156+H158+H162+H174+H176+H178+H182+H147+H160+H190+H180+H186</f>
        <v>468596993.30000001</v>
      </c>
      <c r="I117" s="116">
        <f t="shared" ref="I117:J117" si="34">I120+I122+I124+I126+I133+I135+I137+I139+I141+I143+I145+I150+I152+I154+I156+I158+I162+I174+I176+I178+I182+I147+I160+I190+I180+I186</f>
        <v>0</v>
      </c>
      <c r="J117" s="116">
        <f t="shared" si="34"/>
        <v>0</v>
      </c>
      <c r="K117" s="135">
        <f t="shared" si="17"/>
        <v>90.536718216702923</v>
      </c>
      <c r="L117" s="116">
        <f t="shared" si="33"/>
        <v>7505265.9100000001</v>
      </c>
      <c r="M117" s="116">
        <f t="shared" si="33"/>
        <v>5992277.9100000001</v>
      </c>
      <c r="N117" s="116">
        <f t="shared" si="33"/>
        <v>0</v>
      </c>
      <c r="O117" s="116">
        <f t="shared" si="33"/>
        <v>0</v>
      </c>
      <c r="P117" s="116">
        <f t="shared" si="33"/>
        <v>0</v>
      </c>
      <c r="Q117" s="116">
        <f t="shared" si="33"/>
        <v>7505265.9100000001</v>
      </c>
      <c r="R117" s="116">
        <f t="shared" ref="R117:W117" si="35">R120+R122+R124+R126+R133+R135+R137+R139+R141+R143+R145+R150+R152+R154+R156+R158+R162+R174+R176+R178+R182+R147+R160+R190+R180+R186</f>
        <v>7054063.3199999994</v>
      </c>
      <c r="S117" s="116">
        <f t="shared" si="35"/>
        <v>5541076.0499999998</v>
      </c>
      <c r="T117" s="116">
        <f t="shared" si="35"/>
        <v>0</v>
      </c>
      <c r="U117" s="116">
        <f t="shared" si="35"/>
        <v>0</v>
      </c>
      <c r="V117" s="116">
        <f t="shared" si="35"/>
        <v>0</v>
      </c>
      <c r="W117" s="116">
        <f t="shared" si="35"/>
        <v>7054063.3199999994</v>
      </c>
      <c r="X117" s="149">
        <f t="shared" si="18"/>
        <v>93.988186489184628</v>
      </c>
      <c r="Y117" s="116">
        <f t="shared" si="33"/>
        <v>475651056.62</v>
      </c>
      <c r="Z117" s="187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  <c r="GG117" s="79"/>
      <c r="GH117" s="79"/>
      <c r="GI117" s="79"/>
      <c r="GJ117" s="79"/>
      <c r="GK117" s="79"/>
      <c r="GL117" s="79"/>
      <c r="GM117" s="79"/>
      <c r="GN117" s="79"/>
      <c r="GO117" s="79"/>
      <c r="GP117" s="79"/>
      <c r="GQ117" s="79"/>
      <c r="GR117" s="79"/>
      <c r="GS117" s="79"/>
      <c r="GT117" s="79"/>
      <c r="GU117" s="79"/>
      <c r="GV117" s="79"/>
      <c r="GW117" s="79"/>
      <c r="GX117" s="79"/>
      <c r="GY117" s="79"/>
      <c r="GZ117" s="79"/>
      <c r="HA117" s="79"/>
      <c r="HB117" s="79"/>
      <c r="HC117" s="79"/>
      <c r="HD117" s="79"/>
      <c r="HE117" s="79"/>
      <c r="HF117" s="79"/>
      <c r="HG117" s="79"/>
      <c r="HH117" s="79"/>
      <c r="HI117" s="79"/>
      <c r="HJ117" s="79"/>
      <c r="HK117" s="79"/>
      <c r="HL117" s="79"/>
      <c r="HM117" s="79"/>
      <c r="HN117" s="79"/>
      <c r="HO117" s="79"/>
      <c r="HP117" s="79"/>
      <c r="HQ117" s="79"/>
      <c r="HR117" s="79"/>
      <c r="HS117" s="79"/>
      <c r="HT117" s="79"/>
      <c r="HU117" s="79"/>
      <c r="HV117" s="79"/>
      <c r="HW117" s="79"/>
      <c r="HX117" s="79"/>
      <c r="HY117" s="79"/>
      <c r="HZ117" s="79"/>
      <c r="IA117" s="79"/>
      <c r="IB117" s="79"/>
      <c r="IC117" s="79"/>
      <c r="ID117" s="79"/>
      <c r="IE117" s="79"/>
      <c r="IF117" s="79"/>
      <c r="IG117" s="79"/>
      <c r="IH117" s="79"/>
      <c r="II117" s="79"/>
      <c r="IJ117" s="79"/>
      <c r="IK117" s="79"/>
      <c r="IL117" s="79"/>
      <c r="IM117" s="79"/>
      <c r="IN117" s="79"/>
      <c r="IO117" s="79"/>
      <c r="IP117" s="79"/>
      <c r="IQ117" s="79"/>
      <c r="IR117" s="79"/>
      <c r="IS117" s="79"/>
      <c r="IT117" s="79"/>
      <c r="IU117" s="79"/>
      <c r="IV117" s="79"/>
      <c r="IW117" s="79"/>
      <c r="IX117" s="79"/>
      <c r="IY117" s="79"/>
      <c r="IZ117" s="79"/>
      <c r="JA117" s="79"/>
      <c r="JB117" s="79"/>
      <c r="JC117" s="79"/>
      <c r="JD117" s="79"/>
      <c r="JE117" s="79"/>
      <c r="JF117" s="79"/>
      <c r="JG117" s="79"/>
      <c r="JH117" s="79"/>
      <c r="JI117" s="79"/>
      <c r="JJ117" s="79"/>
      <c r="JK117" s="79"/>
      <c r="JL117" s="79"/>
      <c r="JM117" s="79"/>
      <c r="JN117" s="79"/>
      <c r="JO117" s="79"/>
      <c r="JP117" s="79"/>
      <c r="JQ117" s="79"/>
      <c r="JR117" s="79"/>
      <c r="JS117" s="79"/>
      <c r="JT117" s="79"/>
      <c r="JU117" s="79"/>
      <c r="JV117" s="79"/>
      <c r="JW117" s="79"/>
      <c r="JX117" s="79"/>
      <c r="JY117" s="79"/>
      <c r="JZ117" s="79"/>
      <c r="KA117" s="79"/>
      <c r="KB117" s="79"/>
      <c r="KC117" s="79"/>
      <c r="KD117" s="79"/>
      <c r="KE117" s="79"/>
      <c r="KF117" s="79"/>
      <c r="KG117" s="79"/>
      <c r="KH117" s="79"/>
      <c r="KI117" s="79"/>
      <c r="KJ117" s="79"/>
      <c r="KK117" s="79"/>
      <c r="KL117" s="79"/>
      <c r="KM117" s="79"/>
      <c r="KN117" s="79"/>
      <c r="KO117" s="79"/>
      <c r="KP117" s="79"/>
      <c r="KQ117" s="79"/>
      <c r="KR117" s="79"/>
      <c r="KS117" s="79"/>
      <c r="KT117" s="79"/>
      <c r="KU117" s="79"/>
      <c r="KV117" s="79"/>
      <c r="KW117" s="79"/>
      <c r="KX117" s="79"/>
      <c r="KY117" s="79"/>
      <c r="KZ117" s="79"/>
      <c r="LA117" s="79"/>
      <c r="LB117" s="79"/>
      <c r="LC117" s="79"/>
      <c r="LD117" s="79"/>
      <c r="LE117" s="79"/>
      <c r="LF117" s="79"/>
      <c r="LG117" s="79"/>
      <c r="LH117" s="79"/>
      <c r="LI117" s="79"/>
      <c r="LJ117" s="79"/>
      <c r="LK117" s="79"/>
      <c r="LL117" s="79"/>
      <c r="LM117" s="79"/>
      <c r="LN117" s="79"/>
      <c r="LO117" s="79"/>
      <c r="LP117" s="79"/>
      <c r="LQ117" s="79"/>
      <c r="LR117" s="79"/>
      <c r="LS117" s="79"/>
      <c r="LT117" s="79"/>
      <c r="LU117" s="79"/>
      <c r="LV117" s="79"/>
      <c r="LW117" s="79"/>
      <c r="LX117" s="79"/>
      <c r="LY117" s="79"/>
      <c r="LZ117" s="79"/>
      <c r="MA117" s="79"/>
      <c r="MB117" s="79"/>
      <c r="MC117" s="79"/>
      <c r="MD117" s="79"/>
      <c r="ME117" s="79"/>
      <c r="MF117" s="79"/>
      <c r="MG117" s="79"/>
      <c r="MH117" s="79"/>
      <c r="MI117" s="79"/>
      <c r="MJ117" s="79"/>
      <c r="MK117" s="79"/>
      <c r="ML117" s="79"/>
      <c r="MM117" s="79"/>
      <c r="MN117" s="79"/>
      <c r="MO117" s="79"/>
      <c r="MP117" s="79"/>
      <c r="MQ117" s="79"/>
      <c r="MR117" s="79"/>
      <c r="MS117" s="79"/>
      <c r="MT117" s="79"/>
      <c r="MU117" s="79"/>
      <c r="MV117" s="79"/>
      <c r="MW117" s="79"/>
      <c r="MX117" s="79"/>
      <c r="MY117" s="79"/>
      <c r="MZ117" s="79"/>
      <c r="NA117" s="79"/>
      <c r="NB117" s="79"/>
      <c r="NC117" s="79"/>
      <c r="ND117" s="79"/>
      <c r="NE117" s="79"/>
      <c r="NF117" s="79"/>
      <c r="NG117" s="79"/>
      <c r="NH117" s="79"/>
      <c r="NI117" s="79"/>
      <c r="NJ117" s="79"/>
      <c r="NK117" s="79"/>
      <c r="NL117" s="79"/>
      <c r="NM117" s="79"/>
      <c r="NN117" s="79"/>
      <c r="NO117" s="79"/>
      <c r="NP117" s="79"/>
      <c r="NQ117" s="79"/>
      <c r="NR117" s="79"/>
      <c r="NS117" s="79"/>
      <c r="NT117" s="79"/>
      <c r="NU117" s="79"/>
      <c r="NV117" s="79"/>
      <c r="NW117" s="79"/>
      <c r="NX117" s="79"/>
      <c r="NY117" s="79"/>
      <c r="NZ117" s="79"/>
      <c r="OA117" s="79"/>
      <c r="OB117" s="79"/>
      <c r="OC117" s="79"/>
      <c r="OD117" s="79"/>
      <c r="OE117" s="79"/>
      <c r="OF117" s="79"/>
      <c r="OG117" s="79"/>
      <c r="OH117" s="79"/>
      <c r="OI117" s="79"/>
      <c r="OJ117" s="79"/>
      <c r="OK117" s="79"/>
      <c r="OL117" s="79"/>
      <c r="OM117" s="79"/>
      <c r="ON117" s="79"/>
      <c r="OO117" s="79"/>
      <c r="OP117" s="79"/>
      <c r="OQ117" s="79"/>
      <c r="OR117" s="79"/>
      <c r="OS117" s="79"/>
      <c r="OT117" s="79"/>
      <c r="OU117" s="79"/>
      <c r="OV117" s="79"/>
      <c r="OW117" s="79"/>
      <c r="OX117" s="79"/>
      <c r="OY117" s="79"/>
      <c r="OZ117" s="79"/>
      <c r="PA117" s="79"/>
      <c r="PB117" s="79"/>
      <c r="PC117" s="79"/>
      <c r="PD117" s="79"/>
      <c r="PE117" s="79"/>
      <c r="PF117" s="79"/>
      <c r="PG117" s="79"/>
      <c r="PH117" s="79"/>
      <c r="PI117" s="79"/>
      <c r="PJ117" s="79"/>
      <c r="PK117" s="79"/>
      <c r="PL117" s="79"/>
      <c r="PM117" s="79"/>
      <c r="PN117" s="79"/>
      <c r="PO117" s="79"/>
      <c r="PP117" s="79"/>
      <c r="PQ117" s="79"/>
      <c r="PR117" s="79"/>
      <c r="PS117" s="79"/>
      <c r="PT117" s="79"/>
      <c r="PU117" s="79"/>
      <c r="PV117" s="79"/>
      <c r="PW117" s="79"/>
      <c r="PX117" s="79"/>
      <c r="PY117" s="79"/>
      <c r="PZ117" s="79"/>
      <c r="QA117" s="79"/>
      <c r="QB117" s="79"/>
      <c r="QC117" s="79"/>
      <c r="QD117" s="79"/>
      <c r="QE117" s="79"/>
      <c r="QF117" s="79"/>
      <c r="QG117" s="79"/>
      <c r="QH117" s="79"/>
      <c r="QI117" s="79"/>
      <c r="QJ117" s="79"/>
      <c r="QK117" s="79"/>
      <c r="QL117" s="79"/>
      <c r="QM117" s="79"/>
      <c r="QN117" s="79"/>
      <c r="QO117" s="79"/>
      <c r="QP117" s="79"/>
      <c r="QQ117" s="79"/>
      <c r="QR117" s="79"/>
      <c r="QS117" s="79"/>
      <c r="QT117" s="79"/>
      <c r="QU117" s="79"/>
      <c r="QV117" s="79"/>
      <c r="QW117" s="79"/>
      <c r="QX117" s="79"/>
      <c r="QY117" s="79"/>
      <c r="QZ117" s="79"/>
      <c r="RA117" s="79"/>
      <c r="RB117" s="79"/>
      <c r="RC117" s="79"/>
      <c r="RD117" s="79"/>
      <c r="RE117" s="79"/>
      <c r="RF117" s="79"/>
      <c r="RG117" s="79"/>
      <c r="RH117" s="79"/>
      <c r="RI117" s="79"/>
      <c r="RJ117" s="79"/>
      <c r="RK117" s="79"/>
      <c r="RL117" s="79"/>
      <c r="RM117" s="79"/>
      <c r="RN117" s="79"/>
      <c r="RO117" s="79"/>
      <c r="RP117" s="79"/>
      <c r="RQ117" s="79"/>
      <c r="RR117" s="79"/>
      <c r="RS117" s="79"/>
      <c r="RT117" s="79"/>
      <c r="RU117" s="79"/>
      <c r="RV117" s="79"/>
      <c r="RW117" s="79"/>
      <c r="RX117" s="79"/>
      <c r="RY117" s="79"/>
      <c r="RZ117" s="79"/>
      <c r="SA117" s="79"/>
      <c r="SB117" s="79"/>
      <c r="SC117" s="79"/>
      <c r="SD117" s="79"/>
      <c r="SE117" s="79"/>
      <c r="SF117" s="79"/>
      <c r="SG117" s="79"/>
      <c r="SH117" s="79"/>
      <c r="SI117" s="79"/>
      <c r="SJ117" s="79"/>
      <c r="SK117" s="79"/>
      <c r="SL117" s="79"/>
      <c r="SM117" s="79"/>
      <c r="SN117" s="79"/>
      <c r="SO117" s="79"/>
      <c r="SP117" s="79"/>
      <c r="SQ117" s="79"/>
      <c r="SR117" s="79"/>
      <c r="SS117" s="79"/>
      <c r="ST117" s="79"/>
      <c r="SU117" s="79"/>
      <c r="SV117" s="79"/>
      <c r="SW117" s="79"/>
      <c r="SX117" s="79"/>
      <c r="SY117" s="79"/>
      <c r="SZ117" s="79"/>
      <c r="TA117" s="79"/>
      <c r="TB117" s="79"/>
      <c r="TC117" s="79"/>
      <c r="TD117" s="79"/>
      <c r="TE117" s="79"/>
      <c r="TF117" s="79"/>
      <c r="TG117" s="79"/>
      <c r="TH117" s="79"/>
      <c r="TI117" s="79"/>
      <c r="TJ117" s="79"/>
      <c r="TK117" s="79"/>
      <c r="TL117" s="79"/>
      <c r="TM117" s="79"/>
      <c r="TN117" s="79"/>
      <c r="TO117" s="79"/>
      <c r="TP117" s="79"/>
      <c r="TQ117" s="79"/>
      <c r="TR117" s="79"/>
      <c r="TS117" s="79"/>
      <c r="TT117" s="79"/>
      <c r="TU117" s="79"/>
      <c r="TV117" s="79"/>
      <c r="TW117" s="79"/>
      <c r="TX117" s="79"/>
      <c r="TY117" s="79"/>
      <c r="TZ117" s="79"/>
      <c r="UA117" s="79"/>
      <c r="UB117" s="79"/>
      <c r="UC117" s="79"/>
      <c r="UD117" s="79"/>
      <c r="UE117" s="79"/>
      <c r="UF117" s="79"/>
      <c r="UG117" s="79"/>
      <c r="UH117" s="79"/>
      <c r="UI117" s="79"/>
      <c r="UJ117" s="79"/>
      <c r="UK117" s="79"/>
      <c r="UL117" s="79"/>
      <c r="UM117" s="79"/>
      <c r="UN117" s="79"/>
      <c r="UO117" s="79"/>
      <c r="UP117" s="79"/>
      <c r="UQ117" s="79"/>
      <c r="UR117" s="79"/>
      <c r="US117" s="79"/>
      <c r="UT117" s="79"/>
      <c r="UU117" s="79"/>
      <c r="UV117" s="79"/>
      <c r="UW117" s="79"/>
      <c r="UX117" s="79"/>
      <c r="UY117" s="79"/>
      <c r="UZ117" s="79"/>
      <c r="VA117" s="79"/>
      <c r="VB117" s="79"/>
      <c r="VC117" s="79"/>
      <c r="VD117" s="79"/>
      <c r="VE117" s="79"/>
      <c r="VF117" s="79"/>
      <c r="VG117" s="79"/>
      <c r="VH117" s="79"/>
      <c r="VI117" s="79"/>
      <c r="VJ117" s="79"/>
      <c r="VK117" s="79"/>
      <c r="VL117" s="79"/>
    </row>
    <row r="118" spans="1:584" s="47" customFormat="1" ht="28.5" customHeight="1" x14ac:dyDescent="0.25">
      <c r="A118" s="45" t="s">
        <v>242</v>
      </c>
      <c r="B118" s="91" t="str">
        <f>'дод 3'!A13</f>
        <v>0160</v>
      </c>
      <c r="C118" s="91" t="str">
        <f>'дод 3'!B13</f>
        <v>0111</v>
      </c>
      <c r="D118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18" s="115">
        <v>48223900</v>
      </c>
      <c r="F118" s="115">
        <f>37804700-154000-16000</f>
        <v>37634700</v>
      </c>
      <c r="G118" s="115">
        <f>832540+6852+2911</f>
        <v>842303</v>
      </c>
      <c r="H118" s="115">
        <v>47964336</v>
      </c>
      <c r="I118" s="115">
        <v>37634615.140000001</v>
      </c>
      <c r="J118" s="115">
        <v>750103.41</v>
      </c>
      <c r="K118" s="164">
        <f t="shared" si="17"/>
        <v>99.461752367601946</v>
      </c>
      <c r="L118" s="115">
        <f t="shared" si="16"/>
        <v>600000</v>
      </c>
      <c r="M118" s="115">
        <f>100000+500000</f>
        <v>600000</v>
      </c>
      <c r="N118" s="115"/>
      <c r="O118" s="115"/>
      <c r="P118" s="115"/>
      <c r="Q118" s="115">
        <f>500000+100000</f>
        <v>600000</v>
      </c>
      <c r="R118" s="115">
        <f t="shared" si="19"/>
        <v>1023834.69</v>
      </c>
      <c r="S118" s="115">
        <v>595406.77</v>
      </c>
      <c r="T118" s="115">
        <v>428427.92</v>
      </c>
      <c r="U118" s="115">
        <v>350886.22</v>
      </c>
      <c r="V118" s="115"/>
      <c r="W118" s="115">
        <v>595406.77</v>
      </c>
      <c r="X118" s="166">
        <f t="shared" si="18"/>
        <v>170.639115</v>
      </c>
      <c r="Y118" s="115">
        <f t="shared" ref="Y118:Y181" si="36">H118+R118</f>
        <v>48988170.689999998</v>
      </c>
      <c r="Z118" s="187"/>
      <c r="AA118" s="53"/>
      <c r="AB118" s="53"/>
      <c r="AC118" s="53"/>
      <c r="AD118" s="53"/>
      <c r="AE118" s="79"/>
      <c r="AF118" s="79"/>
      <c r="AG118" s="79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  <c r="IE118" s="53"/>
      <c r="IF118" s="53"/>
      <c r="IG118" s="53"/>
      <c r="IH118" s="53"/>
      <c r="II118" s="53"/>
      <c r="IJ118" s="53"/>
      <c r="IK118" s="53"/>
      <c r="IL118" s="53"/>
      <c r="IM118" s="53"/>
      <c r="IN118" s="53"/>
      <c r="IO118" s="53"/>
      <c r="IP118" s="53"/>
      <c r="IQ118" s="53"/>
      <c r="IR118" s="53"/>
      <c r="IS118" s="53"/>
      <c r="IT118" s="53"/>
      <c r="IU118" s="53"/>
      <c r="IV118" s="53"/>
      <c r="IW118" s="53"/>
      <c r="IX118" s="53"/>
      <c r="IY118" s="53"/>
      <c r="IZ118" s="53"/>
      <c r="JA118" s="53"/>
      <c r="JB118" s="53"/>
      <c r="JC118" s="53"/>
      <c r="JD118" s="53"/>
      <c r="JE118" s="53"/>
      <c r="JF118" s="53"/>
      <c r="JG118" s="53"/>
      <c r="JH118" s="53"/>
      <c r="JI118" s="53"/>
      <c r="JJ118" s="53"/>
      <c r="JK118" s="53"/>
      <c r="JL118" s="53"/>
      <c r="JM118" s="53"/>
      <c r="JN118" s="53"/>
      <c r="JO118" s="53"/>
      <c r="JP118" s="53"/>
      <c r="JQ118" s="53"/>
      <c r="JR118" s="53"/>
      <c r="JS118" s="53"/>
      <c r="JT118" s="53"/>
      <c r="JU118" s="53"/>
      <c r="JV118" s="53"/>
      <c r="JW118" s="53"/>
      <c r="JX118" s="53"/>
      <c r="JY118" s="53"/>
      <c r="JZ118" s="53"/>
      <c r="KA118" s="53"/>
      <c r="KB118" s="53"/>
      <c r="KC118" s="53"/>
      <c r="KD118" s="53"/>
      <c r="KE118" s="53"/>
      <c r="KF118" s="53"/>
      <c r="KG118" s="53"/>
      <c r="KH118" s="53"/>
      <c r="KI118" s="53"/>
      <c r="KJ118" s="53"/>
      <c r="KK118" s="53"/>
      <c r="KL118" s="53"/>
      <c r="KM118" s="53"/>
      <c r="KN118" s="53"/>
      <c r="KO118" s="53"/>
      <c r="KP118" s="53"/>
      <c r="KQ118" s="53"/>
      <c r="KR118" s="53"/>
      <c r="KS118" s="53"/>
      <c r="KT118" s="53"/>
      <c r="KU118" s="53"/>
      <c r="KV118" s="53"/>
      <c r="KW118" s="53"/>
      <c r="KX118" s="53"/>
      <c r="KY118" s="53"/>
      <c r="KZ118" s="53"/>
      <c r="LA118" s="53"/>
      <c r="LB118" s="53"/>
      <c r="LC118" s="53"/>
      <c r="LD118" s="53"/>
      <c r="LE118" s="53"/>
      <c r="LF118" s="53"/>
      <c r="LG118" s="53"/>
      <c r="LH118" s="53"/>
      <c r="LI118" s="53"/>
      <c r="LJ118" s="53"/>
      <c r="LK118" s="53"/>
      <c r="LL118" s="53"/>
      <c r="LM118" s="53"/>
      <c r="LN118" s="53"/>
      <c r="LO118" s="53"/>
      <c r="LP118" s="53"/>
      <c r="LQ118" s="53"/>
      <c r="LR118" s="53"/>
      <c r="LS118" s="53"/>
      <c r="LT118" s="53"/>
      <c r="LU118" s="53"/>
      <c r="LV118" s="53"/>
      <c r="LW118" s="53"/>
      <c r="LX118" s="53"/>
      <c r="LY118" s="53"/>
      <c r="LZ118" s="53"/>
      <c r="MA118" s="53"/>
      <c r="MB118" s="53"/>
      <c r="MC118" s="53"/>
      <c r="MD118" s="53"/>
      <c r="ME118" s="53"/>
      <c r="MF118" s="53"/>
      <c r="MG118" s="53"/>
      <c r="MH118" s="53"/>
      <c r="MI118" s="53"/>
      <c r="MJ118" s="53"/>
      <c r="MK118" s="53"/>
      <c r="ML118" s="53"/>
      <c r="MM118" s="53"/>
      <c r="MN118" s="53"/>
      <c r="MO118" s="53"/>
      <c r="MP118" s="53"/>
      <c r="MQ118" s="53"/>
      <c r="MR118" s="53"/>
      <c r="MS118" s="53"/>
      <c r="MT118" s="53"/>
      <c r="MU118" s="53"/>
      <c r="MV118" s="53"/>
      <c r="MW118" s="53"/>
      <c r="MX118" s="53"/>
      <c r="MY118" s="53"/>
      <c r="MZ118" s="53"/>
      <c r="NA118" s="53"/>
      <c r="NB118" s="53"/>
      <c r="NC118" s="53"/>
      <c r="ND118" s="53"/>
      <c r="NE118" s="53"/>
      <c r="NF118" s="53"/>
      <c r="NG118" s="53"/>
      <c r="NH118" s="53"/>
      <c r="NI118" s="53"/>
      <c r="NJ118" s="53"/>
      <c r="NK118" s="53"/>
      <c r="NL118" s="53"/>
      <c r="NM118" s="53"/>
      <c r="NN118" s="53"/>
      <c r="NO118" s="53"/>
      <c r="NP118" s="53"/>
      <c r="NQ118" s="53"/>
      <c r="NR118" s="53"/>
      <c r="NS118" s="53"/>
      <c r="NT118" s="53"/>
      <c r="NU118" s="53"/>
      <c r="NV118" s="53"/>
      <c r="NW118" s="53"/>
      <c r="NX118" s="53"/>
      <c r="NY118" s="53"/>
      <c r="NZ118" s="53"/>
      <c r="OA118" s="53"/>
      <c r="OB118" s="53"/>
      <c r="OC118" s="53"/>
      <c r="OD118" s="53"/>
      <c r="OE118" s="53"/>
      <c r="OF118" s="53"/>
      <c r="OG118" s="53"/>
      <c r="OH118" s="53"/>
      <c r="OI118" s="53"/>
      <c r="OJ118" s="53"/>
      <c r="OK118" s="53"/>
      <c r="OL118" s="53"/>
      <c r="OM118" s="53"/>
      <c r="ON118" s="53"/>
      <c r="OO118" s="53"/>
      <c r="OP118" s="53"/>
      <c r="OQ118" s="53"/>
      <c r="OR118" s="53"/>
      <c r="OS118" s="53"/>
      <c r="OT118" s="53"/>
      <c r="OU118" s="53"/>
      <c r="OV118" s="53"/>
      <c r="OW118" s="53"/>
      <c r="OX118" s="53"/>
      <c r="OY118" s="53"/>
      <c r="OZ118" s="53"/>
      <c r="PA118" s="53"/>
      <c r="PB118" s="53"/>
      <c r="PC118" s="53"/>
      <c r="PD118" s="53"/>
      <c r="PE118" s="53"/>
      <c r="PF118" s="53"/>
      <c r="PG118" s="53"/>
      <c r="PH118" s="53"/>
      <c r="PI118" s="53"/>
      <c r="PJ118" s="53"/>
      <c r="PK118" s="53"/>
      <c r="PL118" s="53"/>
      <c r="PM118" s="53"/>
      <c r="PN118" s="53"/>
      <c r="PO118" s="53"/>
      <c r="PP118" s="53"/>
      <c r="PQ118" s="53"/>
      <c r="PR118" s="53"/>
      <c r="PS118" s="53"/>
      <c r="PT118" s="53"/>
      <c r="PU118" s="53"/>
      <c r="PV118" s="53"/>
      <c r="PW118" s="53"/>
      <c r="PX118" s="53"/>
      <c r="PY118" s="53"/>
      <c r="PZ118" s="53"/>
      <c r="QA118" s="53"/>
      <c r="QB118" s="53"/>
      <c r="QC118" s="53"/>
      <c r="QD118" s="53"/>
      <c r="QE118" s="53"/>
      <c r="QF118" s="53"/>
      <c r="QG118" s="53"/>
      <c r="QH118" s="53"/>
      <c r="QI118" s="53"/>
      <c r="QJ118" s="53"/>
      <c r="QK118" s="53"/>
      <c r="QL118" s="53"/>
      <c r="QM118" s="53"/>
      <c r="QN118" s="53"/>
      <c r="QO118" s="53"/>
      <c r="QP118" s="53"/>
      <c r="QQ118" s="53"/>
      <c r="QR118" s="53"/>
      <c r="QS118" s="53"/>
      <c r="QT118" s="53"/>
      <c r="QU118" s="53"/>
      <c r="QV118" s="53"/>
      <c r="QW118" s="53"/>
      <c r="QX118" s="53"/>
      <c r="QY118" s="53"/>
      <c r="QZ118" s="53"/>
      <c r="RA118" s="53"/>
      <c r="RB118" s="53"/>
      <c r="RC118" s="53"/>
      <c r="RD118" s="53"/>
      <c r="RE118" s="53"/>
      <c r="RF118" s="53"/>
      <c r="RG118" s="53"/>
      <c r="RH118" s="53"/>
      <c r="RI118" s="53"/>
      <c r="RJ118" s="53"/>
      <c r="RK118" s="53"/>
      <c r="RL118" s="53"/>
      <c r="RM118" s="53"/>
      <c r="RN118" s="53"/>
      <c r="RO118" s="53"/>
      <c r="RP118" s="53"/>
      <c r="RQ118" s="53"/>
      <c r="RR118" s="53"/>
      <c r="RS118" s="53"/>
      <c r="RT118" s="53"/>
      <c r="RU118" s="53"/>
      <c r="RV118" s="53"/>
      <c r="RW118" s="53"/>
      <c r="RX118" s="53"/>
      <c r="RY118" s="53"/>
      <c r="RZ118" s="53"/>
      <c r="SA118" s="53"/>
      <c r="SB118" s="53"/>
      <c r="SC118" s="53"/>
      <c r="SD118" s="53"/>
      <c r="SE118" s="53"/>
      <c r="SF118" s="53"/>
      <c r="SG118" s="53"/>
      <c r="SH118" s="53"/>
      <c r="SI118" s="53"/>
      <c r="SJ118" s="53"/>
      <c r="SK118" s="53"/>
      <c r="SL118" s="53"/>
      <c r="SM118" s="53"/>
      <c r="SN118" s="53"/>
      <c r="SO118" s="53"/>
      <c r="SP118" s="53"/>
      <c r="SQ118" s="53"/>
      <c r="SR118" s="53"/>
      <c r="SS118" s="53"/>
      <c r="ST118" s="53"/>
      <c r="SU118" s="53"/>
      <c r="SV118" s="53"/>
      <c r="SW118" s="53"/>
      <c r="SX118" s="53"/>
      <c r="SY118" s="53"/>
      <c r="SZ118" s="53"/>
      <c r="TA118" s="53"/>
      <c r="TB118" s="53"/>
      <c r="TC118" s="53"/>
      <c r="TD118" s="53"/>
      <c r="TE118" s="53"/>
      <c r="TF118" s="53"/>
      <c r="TG118" s="53"/>
      <c r="TH118" s="53"/>
      <c r="TI118" s="53"/>
      <c r="TJ118" s="53"/>
      <c r="TK118" s="53"/>
      <c r="TL118" s="53"/>
      <c r="TM118" s="53"/>
      <c r="TN118" s="53"/>
      <c r="TO118" s="53"/>
      <c r="TP118" s="53"/>
      <c r="TQ118" s="53"/>
      <c r="TR118" s="53"/>
      <c r="TS118" s="53"/>
      <c r="TT118" s="53"/>
      <c r="TU118" s="53"/>
      <c r="TV118" s="53"/>
      <c r="TW118" s="53"/>
      <c r="TX118" s="53"/>
      <c r="TY118" s="53"/>
      <c r="TZ118" s="53"/>
      <c r="UA118" s="53"/>
      <c r="UB118" s="53"/>
      <c r="UC118" s="53"/>
      <c r="UD118" s="53"/>
      <c r="UE118" s="53"/>
      <c r="UF118" s="53"/>
      <c r="UG118" s="53"/>
      <c r="UH118" s="53"/>
      <c r="UI118" s="53"/>
      <c r="UJ118" s="53"/>
      <c r="UK118" s="53"/>
      <c r="UL118" s="53"/>
      <c r="UM118" s="53"/>
      <c r="UN118" s="53"/>
      <c r="UO118" s="53"/>
      <c r="UP118" s="53"/>
      <c r="UQ118" s="53"/>
      <c r="UR118" s="53"/>
      <c r="US118" s="53"/>
      <c r="UT118" s="53"/>
      <c r="UU118" s="53"/>
      <c r="UV118" s="53"/>
      <c r="UW118" s="53"/>
      <c r="UX118" s="53"/>
      <c r="UY118" s="53"/>
      <c r="UZ118" s="53"/>
      <c r="VA118" s="53"/>
      <c r="VB118" s="53"/>
      <c r="VC118" s="53"/>
      <c r="VD118" s="53"/>
      <c r="VE118" s="53"/>
      <c r="VF118" s="53"/>
      <c r="VG118" s="53"/>
      <c r="VH118" s="53"/>
      <c r="VI118" s="53"/>
      <c r="VJ118" s="53"/>
      <c r="VK118" s="53"/>
      <c r="VL118" s="53"/>
    </row>
    <row r="119" spans="1:584" s="47" customFormat="1" ht="45" customHeight="1" x14ac:dyDescent="0.25">
      <c r="A119" s="45" t="s">
        <v>434</v>
      </c>
      <c r="B119" s="92" t="str">
        <f>'дод 3'!A59</f>
        <v>3011</v>
      </c>
      <c r="C119" s="92">
        <f>'дод 3'!B59</f>
        <v>1030</v>
      </c>
      <c r="D119" s="48" t="str">
        <f>'дод 3'!C59</f>
        <v xml:space="preserve">Надання пільг на оплату житлово-комунальних послуг окремим категоріям громадян відповідно до законодавства </v>
      </c>
      <c r="E119" s="115">
        <v>67044871.689999998</v>
      </c>
      <c r="F119" s="115"/>
      <c r="G119" s="115"/>
      <c r="H119" s="115">
        <v>66594423.259999998</v>
      </c>
      <c r="I119" s="115"/>
      <c r="J119" s="115"/>
      <c r="K119" s="164">
        <f t="shared" si="17"/>
        <v>99.328138873793705</v>
      </c>
      <c r="L119" s="115">
        <f t="shared" si="16"/>
        <v>0</v>
      </c>
      <c r="M119" s="115"/>
      <c r="N119" s="115"/>
      <c r="O119" s="115"/>
      <c r="P119" s="115"/>
      <c r="Q119" s="115"/>
      <c r="R119" s="115">
        <f t="shared" si="19"/>
        <v>0</v>
      </c>
      <c r="S119" s="115"/>
      <c r="T119" s="115"/>
      <c r="U119" s="115"/>
      <c r="V119" s="115"/>
      <c r="W119" s="115"/>
      <c r="X119" s="149"/>
      <c r="Y119" s="115">
        <f t="shared" si="36"/>
        <v>66594423.259999998</v>
      </c>
      <c r="Z119" s="187"/>
      <c r="AA119" s="53"/>
      <c r="AB119" s="53"/>
      <c r="AC119" s="53"/>
      <c r="AD119" s="53"/>
      <c r="AE119" s="79"/>
      <c r="AF119" s="79"/>
      <c r="AG119" s="79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  <c r="HV119" s="53"/>
      <c r="HW119" s="53"/>
      <c r="HX119" s="53"/>
      <c r="HY119" s="53"/>
      <c r="HZ119" s="53"/>
      <c r="IA119" s="53"/>
      <c r="IB119" s="53"/>
      <c r="IC119" s="53"/>
      <c r="ID119" s="53"/>
      <c r="IE119" s="53"/>
      <c r="IF119" s="53"/>
      <c r="IG119" s="53"/>
      <c r="IH119" s="53"/>
      <c r="II119" s="53"/>
      <c r="IJ119" s="53"/>
      <c r="IK119" s="53"/>
      <c r="IL119" s="53"/>
      <c r="IM119" s="53"/>
      <c r="IN119" s="53"/>
      <c r="IO119" s="53"/>
      <c r="IP119" s="53"/>
      <c r="IQ119" s="53"/>
      <c r="IR119" s="53"/>
      <c r="IS119" s="53"/>
      <c r="IT119" s="53"/>
      <c r="IU119" s="53"/>
      <c r="IV119" s="53"/>
      <c r="IW119" s="53"/>
      <c r="IX119" s="53"/>
      <c r="IY119" s="53"/>
      <c r="IZ119" s="53"/>
      <c r="JA119" s="53"/>
      <c r="JB119" s="53"/>
      <c r="JC119" s="53"/>
      <c r="JD119" s="53"/>
      <c r="JE119" s="53"/>
      <c r="JF119" s="53"/>
      <c r="JG119" s="53"/>
      <c r="JH119" s="53"/>
      <c r="JI119" s="53"/>
      <c r="JJ119" s="53"/>
      <c r="JK119" s="53"/>
      <c r="JL119" s="53"/>
      <c r="JM119" s="53"/>
      <c r="JN119" s="53"/>
      <c r="JO119" s="53"/>
      <c r="JP119" s="53"/>
      <c r="JQ119" s="53"/>
      <c r="JR119" s="53"/>
      <c r="JS119" s="53"/>
      <c r="JT119" s="53"/>
      <c r="JU119" s="53"/>
      <c r="JV119" s="53"/>
      <c r="JW119" s="53"/>
      <c r="JX119" s="53"/>
      <c r="JY119" s="53"/>
      <c r="JZ119" s="53"/>
      <c r="KA119" s="53"/>
      <c r="KB119" s="53"/>
      <c r="KC119" s="53"/>
      <c r="KD119" s="53"/>
      <c r="KE119" s="53"/>
      <c r="KF119" s="53"/>
      <c r="KG119" s="53"/>
      <c r="KH119" s="53"/>
      <c r="KI119" s="53"/>
      <c r="KJ119" s="53"/>
      <c r="KK119" s="53"/>
      <c r="KL119" s="53"/>
      <c r="KM119" s="53"/>
      <c r="KN119" s="53"/>
      <c r="KO119" s="53"/>
      <c r="KP119" s="53"/>
      <c r="KQ119" s="53"/>
      <c r="KR119" s="53"/>
      <c r="KS119" s="53"/>
      <c r="KT119" s="53"/>
      <c r="KU119" s="53"/>
      <c r="KV119" s="53"/>
      <c r="KW119" s="53"/>
      <c r="KX119" s="53"/>
      <c r="KY119" s="53"/>
      <c r="KZ119" s="53"/>
      <c r="LA119" s="53"/>
      <c r="LB119" s="53"/>
      <c r="LC119" s="53"/>
      <c r="LD119" s="53"/>
      <c r="LE119" s="53"/>
      <c r="LF119" s="53"/>
      <c r="LG119" s="53"/>
      <c r="LH119" s="53"/>
      <c r="LI119" s="53"/>
      <c r="LJ119" s="53"/>
      <c r="LK119" s="53"/>
      <c r="LL119" s="53"/>
      <c r="LM119" s="53"/>
      <c r="LN119" s="53"/>
      <c r="LO119" s="53"/>
      <c r="LP119" s="53"/>
      <c r="LQ119" s="53"/>
      <c r="LR119" s="53"/>
      <c r="LS119" s="53"/>
      <c r="LT119" s="53"/>
      <c r="LU119" s="53"/>
      <c r="LV119" s="53"/>
      <c r="LW119" s="53"/>
      <c r="LX119" s="53"/>
      <c r="LY119" s="53"/>
      <c r="LZ119" s="53"/>
      <c r="MA119" s="53"/>
      <c r="MB119" s="53"/>
      <c r="MC119" s="53"/>
      <c r="MD119" s="53"/>
      <c r="ME119" s="53"/>
      <c r="MF119" s="53"/>
      <c r="MG119" s="53"/>
      <c r="MH119" s="53"/>
      <c r="MI119" s="53"/>
      <c r="MJ119" s="53"/>
      <c r="MK119" s="53"/>
      <c r="ML119" s="53"/>
      <c r="MM119" s="53"/>
      <c r="MN119" s="53"/>
      <c r="MO119" s="53"/>
      <c r="MP119" s="53"/>
      <c r="MQ119" s="53"/>
      <c r="MR119" s="53"/>
      <c r="MS119" s="53"/>
      <c r="MT119" s="53"/>
      <c r="MU119" s="53"/>
      <c r="MV119" s="53"/>
      <c r="MW119" s="53"/>
      <c r="MX119" s="53"/>
      <c r="MY119" s="53"/>
      <c r="MZ119" s="53"/>
      <c r="NA119" s="53"/>
      <c r="NB119" s="53"/>
      <c r="NC119" s="53"/>
      <c r="ND119" s="53"/>
      <c r="NE119" s="53"/>
      <c r="NF119" s="53"/>
      <c r="NG119" s="53"/>
      <c r="NH119" s="53"/>
      <c r="NI119" s="53"/>
      <c r="NJ119" s="53"/>
      <c r="NK119" s="53"/>
      <c r="NL119" s="53"/>
      <c r="NM119" s="53"/>
      <c r="NN119" s="53"/>
      <c r="NO119" s="53"/>
      <c r="NP119" s="53"/>
      <c r="NQ119" s="53"/>
      <c r="NR119" s="53"/>
      <c r="NS119" s="53"/>
      <c r="NT119" s="53"/>
      <c r="NU119" s="53"/>
      <c r="NV119" s="53"/>
      <c r="NW119" s="53"/>
      <c r="NX119" s="53"/>
      <c r="NY119" s="53"/>
      <c r="NZ119" s="53"/>
      <c r="OA119" s="53"/>
      <c r="OB119" s="53"/>
      <c r="OC119" s="53"/>
      <c r="OD119" s="53"/>
      <c r="OE119" s="53"/>
      <c r="OF119" s="53"/>
      <c r="OG119" s="53"/>
      <c r="OH119" s="53"/>
      <c r="OI119" s="53"/>
      <c r="OJ119" s="53"/>
      <c r="OK119" s="53"/>
      <c r="OL119" s="53"/>
      <c r="OM119" s="53"/>
      <c r="ON119" s="53"/>
      <c r="OO119" s="53"/>
      <c r="OP119" s="53"/>
      <c r="OQ119" s="53"/>
      <c r="OR119" s="53"/>
      <c r="OS119" s="53"/>
      <c r="OT119" s="53"/>
      <c r="OU119" s="53"/>
      <c r="OV119" s="53"/>
      <c r="OW119" s="53"/>
      <c r="OX119" s="53"/>
      <c r="OY119" s="53"/>
      <c r="OZ119" s="53"/>
      <c r="PA119" s="53"/>
      <c r="PB119" s="53"/>
      <c r="PC119" s="53"/>
      <c r="PD119" s="53"/>
      <c r="PE119" s="53"/>
      <c r="PF119" s="53"/>
      <c r="PG119" s="53"/>
      <c r="PH119" s="53"/>
      <c r="PI119" s="53"/>
      <c r="PJ119" s="53"/>
      <c r="PK119" s="53"/>
      <c r="PL119" s="53"/>
      <c r="PM119" s="53"/>
      <c r="PN119" s="53"/>
      <c r="PO119" s="53"/>
      <c r="PP119" s="53"/>
      <c r="PQ119" s="53"/>
      <c r="PR119" s="53"/>
      <c r="PS119" s="53"/>
      <c r="PT119" s="53"/>
      <c r="PU119" s="53"/>
      <c r="PV119" s="53"/>
      <c r="PW119" s="53"/>
      <c r="PX119" s="53"/>
      <c r="PY119" s="53"/>
      <c r="PZ119" s="53"/>
      <c r="QA119" s="53"/>
      <c r="QB119" s="53"/>
      <c r="QC119" s="53"/>
      <c r="QD119" s="53"/>
      <c r="QE119" s="53"/>
      <c r="QF119" s="53"/>
      <c r="QG119" s="53"/>
      <c r="QH119" s="53"/>
      <c r="QI119" s="53"/>
      <c r="QJ119" s="53"/>
      <c r="QK119" s="53"/>
      <c r="QL119" s="53"/>
      <c r="QM119" s="53"/>
      <c r="QN119" s="53"/>
      <c r="QO119" s="53"/>
      <c r="QP119" s="53"/>
      <c r="QQ119" s="53"/>
      <c r="QR119" s="53"/>
      <c r="QS119" s="53"/>
      <c r="QT119" s="53"/>
      <c r="QU119" s="53"/>
      <c r="QV119" s="53"/>
      <c r="QW119" s="53"/>
      <c r="QX119" s="53"/>
      <c r="QY119" s="53"/>
      <c r="QZ119" s="53"/>
      <c r="RA119" s="53"/>
      <c r="RB119" s="53"/>
      <c r="RC119" s="53"/>
      <c r="RD119" s="53"/>
      <c r="RE119" s="53"/>
      <c r="RF119" s="53"/>
      <c r="RG119" s="53"/>
      <c r="RH119" s="53"/>
      <c r="RI119" s="53"/>
      <c r="RJ119" s="53"/>
      <c r="RK119" s="53"/>
      <c r="RL119" s="53"/>
      <c r="RM119" s="53"/>
      <c r="RN119" s="53"/>
      <c r="RO119" s="53"/>
      <c r="RP119" s="53"/>
      <c r="RQ119" s="53"/>
      <c r="RR119" s="53"/>
      <c r="RS119" s="53"/>
      <c r="RT119" s="53"/>
      <c r="RU119" s="53"/>
      <c r="RV119" s="53"/>
      <c r="RW119" s="53"/>
      <c r="RX119" s="53"/>
      <c r="RY119" s="53"/>
      <c r="RZ119" s="53"/>
      <c r="SA119" s="53"/>
      <c r="SB119" s="53"/>
      <c r="SC119" s="53"/>
      <c r="SD119" s="53"/>
      <c r="SE119" s="53"/>
      <c r="SF119" s="53"/>
      <c r="SG119" s="53"/>
      <c r="SH119" s="53"/>
      <c r="SI119" s="53"/>
      <c r="SJ119" s="53"/>
      <c r="SK119" s="53"/>
      <c r="SL119" s="53"/>
      <c r="SM119" s="53"/>
      <c r="SN119" s="53"/>
      <c r="SO119" s="53"/>
      <c r="SP119" s="53"/>
      <c r="SQ119" s="53"/>
      <c r="SR119" s="53"/>
      <c r="SS119" s="53"/>
      <c r="ST119" s="53"/>
      <c r="SU119" s="53"/>
      <c r="SV119" s="53"/>
      <c r="SW119" s="53"/>
      <c r="SX119" s="53"/>
      <c r="SY119" s="53"/>
      <c r="SZ119" s="53"/>
      <c r="TA119" s="53"/>
      <c r="TB119" s="53"/>
      <c r="TC119" s="53"/>
      <c r="TD119" s="53"/>
      <c r="TE119" s="53"/>
      <c r="TF119" s="53"/>
      <c r="TG119" s="53"/>
      <c r="TH119" s="53"/>
      <c r="TI119" s="53"/>
      <c r="TJ119" s="53"/>
      <c r="TK119" s="53"/>
      <c r="TL119" s="53"/>
      <c r="TM119" s="53"/>
      <c r="TN119" s="53"/>
      <c r="TO119" s="53"/>
      <c r="TP119" s="53"/>
      <c r="TQ119" s="53"/>
      <c r="TR119" s="53"/>
      <c r="TS119" s="53"/>
      <c r="TT119" s="53"/>
      <c r="TU119" s="53"/>
      <c r="TV119" s="53"/>
      <c r="TW119" s="53"/>
      <c r="TX119" s="53"/>
      <c r="TY119" s="53"/>
      <c r="TZ119" s="53"/>
      <c r="UA119" s="53"/>
      <c r="UB119" s="53"/>
      <c r="UC119" s="53"/>
      <c r="UD119" s="53"/>
      <c r="UE119" s="53"/>
      <c r="UF119" s="53"/>
      <c r="UG119" s="53"/>
      <c r="UH119" s="53"/>
      <c r="UI119" s="53"/>
      <c r="UJ119" s="53"/>
      <c r="UK119" s="53"/>
      <c r="UL119" s="53"/>
      <c r="UM119" s="53"/>
      <c r="UN119" s="53"/>
      <c r="UO119" s="53"/>
      <c r="UP119" s="53"/>
      <c r="UQ119" s="53"/>
      <c r="UR119" s="53"/>
      <c r="US119" s="53"/>
      <c r="UT119" s="53"/>
      <c r="UU119" s="53"/>
      <c r="UV119" s="53"/>
      <c r="UW119" s="53"/>
      <c r="UX119" s="53"/>
      <c r="UY119" s="53"/>
      <c r="UZ119" s="53"/>
      <c r="VA119" s="53"/>
      <c r="VB119" s="53"/>
      <c r="VC119" s="53"/>
      <c r="VD119" s="53"/>
      <c r="VE119" s="53"/>
      <c r="VF119" s="53"/>
      <c r="VG119" s="53"/>
      <c r="VH119" s="53"/>
      <c r="VI119" s="53"/>
      <c r="VJ119" s="53"/>
      <c r="VK119" s="53"/>
      <c r="VL119" s="53"/>
    </row>
    <row r="120" spans="1:584" s="47" customFormat="1" ht="15" customHeight="1" x14ac:dyDescent="0.25">
      <c r="A120" s="45"/>
      <c r="B120" s="92"/>
      <c r="C120" s="92"/>
      <c r="D120" s="48" t="str">
        <f>'дод 3'!C60</f>
        <v>у т.ч. за рахунок субвенцій з держбюджету</v>
      </c>
      <c r="E120" s="115">
        <v>67044871.689999998</v>
      </c>
      <c r="F120" s="115"/>
      <c r="G120" s="115"/>
      <c r="H120" s="115">
        <v>66594423.259999998</v>
      </c>
      <c r="I120" s="115"/>
      <c r="J120" s="115"/>
      <c r="K120" s="164">
        <f t="shared" si="17"/>
        <v>99.328138873793705</v>
      </c>
      <c r="L120" s="115">
        <f t="shared" si="16"/>
        <v>0</v>
      </c>
      <c r="M120" s="115"/>
      <c r="N120" s="115"/>
      <c r="O120" s="115"/>
      <c r="P120" s="115"/>
      <c r="Q120" s="115"/>
      <c r="R120" s="115">
        <f t="shared" si="19"/>
        <v>0</v>
      </c>
      <c r="S120" s="115"/>
      <c r="T120" s="115"/>
      <c r="U120" s="115"/>
      <c r="V120" s="115"/>
      <c r="W120" s="115"/>
      <c r="X120" s="149"/>
      <c r="Y120" s="115">
        <f t="shared" si="36"/>
        <v>66594423.259999998</v>
      </c>
      <c r="Z120" s="187"/>
      <c r="AA120" s="53"/>
      <c r="AB120" s="53"/>
      <c r="AC120" s="53"/>
      <c r="AD120" s="53"/>
      <c r="AE120" s="79"/>
      <c r="AF120" s="79"/>
      <c r="AG120" s="79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  <c r="IL120" s="53"/>
      <c r="IM120" s="53"/>
      <c r="IN120" s="53"/>
      <c r="IO120" s="53"/>
      <c r="IP120" s="53"/>
      <c r="IQ120" s="53"/>
      <c r="IR120" s="53"/>
      <c r="IS120" s="53"/>
      <c r="IT120" s="53"/>
      <c r="IU120" s="53"/>
      <c r="IV120" s="53"/>
      <c r="IW120" s="53"/>
      <c r="IX120" s="53"/>
      <c r="IY120" s="53"/>
      <c r="IZ120" s="53"/>
      <c r="JA120" s="53"/>
      <c r="JB120" s="53"/>
      <c r="JC120" s="53"/>
      <c r="JD120" s="53"/>
      <c r="JE120" s="53"/>
      <c r="JF120" s="53"/>
      <c r="JG120" s="53"/>
      <c r="JH120" s="53"/>
      <c r="JI120" s="53"/>
      <c r="JJ120" s="53"/>
      <c r="JK120" s="53"/>
      <c r="JL120" s="53"/>
      <c r="JM120" s="53"/>
      <c r="JN120" s="53"/>
      <c r="JO120" s="53"/>
      <c r="JP120" s="53"/>
      <c r="JQ120" s="53"/>
      <c r="JR120" s="53"/>
      <c r="JS120" s="53"/>
      <c r="JT120" s="53"/>
      <c r="JU120" s="53"/>
      <c r="JV120" s="53"/>
      <c r="JW120" s="53"/>
      <c r="JX120" s="53"/>
      <c r="JY120" s="53"/>
      <c r="JZ120" s="53"/>
      <c r="KA120" s="53"/>
      <c r="KB120" s="53"/>
      <c r="KC120" s="53"/>
      <c r="KD120" s="53"/>
      <c r="KE120" s="53"/>
      <c r="KF120" s="53"/>
      <c r="KG120" s="53"/>
      <c r="KH120" s="53"/>
      <c r="KI120" s="53"/>
      <c r="KJ120" s="53"/>
      <c r="KK120" s="53"/>
      <c r="KL120" s="53"/>
      <c r="KM120" s="53"/>
      <c r="KN120" s="53"/>
      <c r="KO120" s="53"/>
      <c r="KP120" s="53"/>
      <c r="KQ120" s="53"/>
      <c r="KR120" s="53"/>
      <c r="KS120" s="53"/>
      <c r="KT120" s="53"/>
      <c r="KU120" s="53"/>
      <c r="KV120" s="53"/>
      <c r="KW120" s="53"/>
      <c r="KX120" s="53"/>
      <c r="KY120" s="53"/>
      <c r="KZ120" s="53"/>
      <c r="LA120" s="53"/>
      <c r="LB120" s="53"/>
      <c r="LC120" s="53"/>
      <c r="LD120" s="53"/>
      <c r="LE120" s="53"/>
      <c r="LF120" s="53"/>
      <c r="LG120" s="53"/>
      <c r="LH120" s="53"/>
      <c r="LI120" s="53"/>
      <c r="LJ120" s="53"/>
      <c r="LK120" s="53"/>
      <c r="LL120" s="53"/>
      <c r="LM120" s="53"/>
      <c r="LN120" s="53"/>
      <c r="LO120" s="53"/>
      <c r="LP120" s="53"/>
      <c r="LQ120" s="53"/>
      <c r="LR120" s="53"/>
      <c r="LS120" s="53"/>
      <c r="LT120" s="53"/>
      <c r="LU120" s="53"/>
      <c r="LV120" s="53"/>
      <c r="LW120" s="53"/>
      <c r="LX120" s="53"/>
      <c r="LY120" s="53"/>
      <c r="LZ120" s="53"/>
      <c r="MA120" s="53"/>
      <c r="MB120" s="53"/>
      <c r="MC120" s="53"/>
      <c r="MD120" s="53"/>
      <c r="ME120" s="53"/>
      <c r="MF120" s="53"/>
      <c r="MG120" s="53"/>
      <c r="MH120" s="53"/>
      <c r="MI120" s="53"/>
      <c r="MJ120" s="53"/>
      <c r="MK120" s="53"/>
      <c r="ML120" s="53"/>
      <c r="MM120" s="53"/>
      <c r="MN120" s="53"/>
      <c r="MO120" s="53"/>
      <c r="MP120" s="53"/>
      <c r="MQ120" s="53"/>
      <c r="MR120" s="53"/>
      <c r="MS120" s="53"/>
      <c r="MT120" s="53"/>
      <c r="MU120" s="53"/>
      <c r="MV120" s="53"/>
      <c r="MW120" s="53"/>
      <c r="MX120" s="53"/>
      <c r="MY120" s="53"/>
      <c r="MZ120" s="53"/>
      <c r="NA120" s="53"/>
      <c r="NB120" s="53"/>
      <c r="NC120" s="53"/>
      <c r="ND120" s="53"/>
      <c r="NE120" s="53"/>
      <c r="NF120" s="53"/>
      <c r="NG120" s="53"/>
      <c r="NH120" s="53"/>
      <c r="NI120" s="53"/>
      <c r="NJ120" s="53"/>
      <c r="NK120" s="53"/>
      <c r="NL120" s="53"/>
      <c r="NM120" s="53"/>
      <c r="NN120" s="53"/>
      <c r="NO120" s="53"/>
      <c r="NP120" s="53"/>
      <c r="NQ120" s="53"/>
      <c r="NR120" s="53"/>
      <c r="NS120" s="53"/>
      <c r="NT120" s="53"/>
      <c r="NU120" s="53"/>
      <c r="NV120" s="53"/>
      <c r="NW120" s="53"/>
      <c r="NX120" s="53"/>
      <c r="NY120" s="53"/>
      <c r="NZ120" s="53"/>
      <c r="OA120" s="53"/>
      <c r="OB120" s="53"/>
      <c r="OC120" s="53"/>
      <c r="OD120" s="53"/>
      <c r="OE120" s="53"/>
      <c r="OF120" s="53"/>
      <c r="OG120" s="53"/>
      <c r="OH120" s="53"/>
      <c r="OI120" s="53"/>
      <c r="OJ120" s="53"/>
      <c r="OK120" s="53"/>
      <c r="OL120" s="53"/>
      <c r="OM120" s="53"/>
      <c r="ON120" s="53"/>
      <c r="OO120" s="53"/>
      <c r="OP120" s="53"/>
      <c r="OQ120" s="53"/>
      <c r="OR120" s="53"/>
      <c r="OS120" s="53"/>
      <c r="OT120" s="53"/>
      <c r="OU120" s="53"/>
      <c r="OV120" s="53"/>
      <c r="OW120" s="53"/>
      <c r="OX120" s="53"/>
      <c r="OY120" s="53"/>
      <c r="OZ120" s="53"/>
      <c r="PA120" s="53"/>
      <c r="PB120" s="53"/>
      <c r="PC120" s="53"/>
      <c r="PD120" s="53"/>
      <c r="PE120" s="53"/>
      <c r="PF120" s="53"/>
      <c r="PG120" s="53"/>
      <c r="PH120" s="53"/>
      <c r="PI120" s="53"/>
      <c r="PJ120" s="53"/>
      <c r="PK120" s="53"/>
      <c r="PL120" s="53"/>
      <c r="PM120" s="53"/>
      <c r="PN120" s="53"/>
      <c r="PO120" s="53"/>
      <c r="PP120" s="53"/>
      <c r="PQ120" s="53"/>
      <c r="PR120" s="53"/>
      <c r="PS120" s="53"/>
      <c r="PT120" s="53"/>
      <c r="PU120" s="53"/>
      <c r="PV120" s="53"/>
      <c r="PW120" s="53"/>
      <c r="PX120" s="53"/>
      <c r="PY120" s="53"/>
      <c r="PZ120" s="53"/>
      <c r="QA120" s="53"/>
      <c r="QB120" s="53"/>
      <c r="QC120" s="53"/>
      <c r="QD120" s="53"/>
      <c r="QE120" s="53"/>
      <c r="QF120" s="53"/>
      <c r="QG120" s="53"/>
      <c r="QH120" s="53"/>
      <c r="QI120" s="53"/>
      <c r="QJ120" s="53"/>
      <c r="QK120" s="53"/>
      <c r="QL120" s="53"/>
      <c r="QM120" s="53"/>
      <c r="QN120" s="53"/>
      <c r="QO120" s="53"/>
      <c r="QP120" s="53"/>
      <c r="QQ120" s="53"/>
      <c r="QR120" s="53"/>
      <c r="QS120" s="53"/>
      <c r="QT120" s="53"/>
      <c r="QU120" s="53"/>
      <c r="QV120" s="53"/>
      <c r="QW120" s="53"/>
      <c r="QX120" s="53"/>
      <c r="QY120" s="53"/>
      <c r="QZ120" s="53"/>
      <c r="RA120" s="53"/>
      <c r="RB120" s="53"/>
      <c r="RC120" s="53"/>
      <c r="RD120" s="53"/>
      <c r="RE120" s="53"/>
      <c r="RF120" s="53"/>
      <c r="RG120" s="53"/>
      <c r="RH120" s="53"/>
      <c r="RI120" s="53"/>
      <c r="RJ120" s="53"/>
      <c r="RK120" s="53"/>
      <c r="RL120" s="53"/>
      <c r="RM120" s="53"/>
      <c r="RN120" s="53"/>
      <c r="RO120" s="53"/>
      <c r="RP120" s="53"/>
      <c r="RQ120" s="53"/>
      <c r="RR120" s="53"/>
      <c r="RS120" s="53"/>
      <c r="RT120" s="53"/>
      <c r="RU120" s="53"/>
      <c r="RV120" s="53"/>
      <c r="RW120" s="53"/>
      <c r="RX120" s="53"/>
      <c r="RY120" s="53"/>
      <c r="RZ120" s="53"/>
      <c r="SA120" s="53"/>
      <c r="SB120" s="53"/>
      <c r="SC120" s="53"/>
      <c r="SD120" s="53"/>
      <c r="SE120" s="53"/>
      <c r="SF120" s="53"/>
      <c r="SG120" s="53"/>
      <c r="SH120" s="53"/>
      <c r="SI120" s="53"/>
      <c r="SJ120" s="53"/>
      <c r="SK120" s="53"/>
      <c r="SL120" s="53"/>
      <c r="SM120" s="53"/>
      <c r="SN120" s="53"/>
      <c r="SO120" s="53"/>
      <c r="SP120" s="53"/>
      <c r="SQ120" s="53"/>
      <c r="SR120" s="53"/>
      <c r="SS120" s="53"/>
      <c r="ST120" s="53"/>
      <c r="SU120" s="53"/>
      <c r="SV120" s="53"/>
      <c r="SW120" s="53"/>
      <c r="SX120" s="53"/>
      <c r="SY120" s="53"/>
      <c r="SZ120" s="53"/>
      <c r="TA120" s="53"/>
      <c r="TB120" s="53"/>
      <c r="TC120" s="53"/>
      <c r="TD120" s="53"/>
      <c r="TE120" s="53"/>
      <c r="TF120" s="53"/>
      <c r="TG120" s="53"/>
      <c r="TH120" s="53"/>
      <c r="TI120" s="53"/>
      <c r="TJ120" s="53"/>
      <c r="TK120" s="53"/>
      <c r="TL120" s="53"/>
      <c r="TM120" s="53"/>
      <c r="TN120" s="53"/>
      <c r="TO120" s="53"/>
      <c r="TP120" s="53"/>
      <c r="TQ120" s="53"/>
      <c r="TR120" s="53"/>
      <c r="TS120" s="53"/>
      <c r="TT120" s="53"/>
      <c r="TU120" s="53"/>
      <c r="TV120" s="53"/>
      <c r="TW120" s="53"/>
      <c r="TX120" s="53"/>
      <c r="TY120" s="53"/>
      <c r="TZ120" s="53"/>
      <c r="UA120" s="53"/>
      <c r="UB120" s="53"/>
      <c r="UC120" s="53"/>
      <c r="UD120" s="53"/>
      <c r="UE120" s="53"/>
      <c r="UF120" s="53"/>
      <c r="UG120" s="53"/>
      <c r="UH120" s="53"/>
      <c r="UI120" s="53"/>
      <c r="UJ120" s="53"/>
      <c r="UK120" s="53"/>
      <c r="UL120" s="53"/>
      <c r="UM120" s="53"/>
      <c r="UN120" s="53"/>
      <c r="UO120" s="53"/>
      <c r="UP120" s="53"/>
      <c r="UQ120" s="53"/>
      <c r="UR120" s="53"/>
      <c r="US120" s="53"/>
      <c r="UT120" s="53"/>
      <c r="UU120" s="53"/>
      <c r="UV120" s="53"/>
      <c r="UW120" s="53"/>
      <c r="UX120" s="53"/>
      <c r="UY120" s="53"/>
      <c r="UZ120" s="53"/>
      <c r="VA120" s="53"/>
      <c r="VB120" s="53"/>
      <c r="VC120" s="53"/>
      <c r="VD120" s="53"/>
      <c r="VE120" s="53"/>
      <c r="VF120" s="53"/>
      <c r="VG120" s="53"/>
      <c r="VH120" s="53"/>
      <c r="VI120" s="53"/>
      <c r="VJ120" s="53"/>
      <c r="VK120" s="53"/>
      <c r="VL120" s="53"/>
    </row>
    <row r="121" spans="1:584" s="47" customFormat="1" ht="37.5" customHeight="1" x14ac:dyDescent="0.25">
      <c r="A121" s="45" t="s">
        <v>435</v>
      </c>
      <c r="B121" s="92" t="str">
        <f>'дод 3'!A61</f>
        <v>3012</v>
      </c>
      <c r="C121" s="92">
        <f>'дод 3'!B61</f>
        <v>1060</v>
      </c>
      <c r="D121" s="48" t="str">
        <f>'дод 3'!C61</f>
        <v>Надання субсидій населенню для відшкодування витрат на оплату житлово-комунальних послуг</v>
      </c>
      <c r="E121" s="115">
        <v>107964966.81999999</v>
      </c>
      <c r="F121" s="115"/>
      <c r="G121" s="115"/>
      <c r="H121" s="115">
        <v>107949688.91</v>
      </c>
      <c r="I121" s="115"/>
      <c r="J121" s="115"/>
      <c r="K121" s="164">
        <f t="shared" si="17"/>
        <v>99.985849196781146</v>
      </c>
      <c r="L121" s="115">
        <f t="shared" si="16"/>
        <v>0</v>
      </c>
      <c r="M121" s="115"/>
      <c r="N121" s="115"/>
      <c r="O121" s="115"/>
      <c r="P121" s="115"/>
      <c r="Q121" s="115"/>
      <c r="R121" s="115">
        <f t="shared" si="19"/>
        <v>0</v>
      </c>
      <c r="S121" s="115"/>
      <c r="T121" s="115"/>
      <c r="U121" s="115"/>
      <c r="V121" s="115"/>
      <c r="W121" s="115"/>
      <c r="X121" s="149"/>
      <c r="Y121" s="115">
        <f t="shared" si="36"/>
        <v>107949688.91</v>
      </c>
      <c r="Z121" s="187"/>
      <c r="AA121" s="53"/>
      <c r="AB121" s="53"/>
      <c r="AC121" s="53"/>
      <c r="AD121" s="53"/>
      <c r="AE121" s="79"/>
      <c r="AF121" s="79"/>
      <c r="AG121" s="79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/>
      <c r="IF121" s="53"/>
      <c r="IG121" s="53"/>
      <c r="IH121" s="53"/>
      <c r="II121" s="53"/>
      <c r="IJ121" s="53"/>
      <c r="IK121" s="53"/>
      <c r="IL121" s="53"/>
      <c r="IM121" s="53"/>
      <c r="IN121" s="53"/>
      <c r="IO121" s="53"/>
      <c r="IP121" s="53"/>
      <c r="IQ121" s="53"/>
      <c r="IR121" s="53"/>
      <c r="IS121" s="53"/>
      <c r="IT121" s="53"/>
      <c r="IU121" s="53"/>
      <c r="IV121" s="53"/>
      <c r="IW121" s="53"/>
      <c r="IX121" s="53"/>
      <c r="IY121" s="53"/>
      <c r="IZ121" s="53"/>
      <c r="JA121" s="53"/>
      <c r="JB121" s="53"/>
      <c r="JC121" s="53"/>
      <c r="JD121" s="53"/>
      <c r="JE121" s="53"/>
      <c r="JF121" s="53"/>
      <c r="JG121" s="53"/>
      <c r="JH121" s="53"/>
      <c r="JI121" s="53"/>
      <c r="JJ121" s="53"/>
      <c r="JK121" s="53"/>
      <c r="JL121" s="53"/>
      <c r="JM121" s="53"/>
      <c r="JN121" s="53"/>
      <c r="JO121" s="53"/>
      <c r="JP121" s="53"/>
      <c r="JQ121" s="53"/>
      <c r="JR121" s="53"/>
      <c r="JS121" s="53"/>
      <c r="JT121" s="53"/>
      <c r="JU121" s="53"/>
      <c r="JV121" s="53"/>
      <c r="JW121" s="53"/>
      <c r="JX121" s="53"/>
      <c r="JY121" s="53"/>
      <c r="JZ121" s="53"/>
      <c r="KA121" s="53"/>
      <c r="KB121" s="53"/>
      <c r="KC121" s="53"/>
      <c r="KD121" s="53"/>
      <c r="KE121" s="53"/>
      <c r="KF121" s="53"/>
      <c r="KG121" s="53"/>
      <c r="KH121" s="53"/>
      <c r="KI121" s="53"/>
      <c r="KJ121" s="53"/>
      <c r="KK121" s="53"/>
      <c r="KL121" s="53"/>
      <c r="KM121" s="53"/>
      <c r="KN121" s="53"/>
      <c r="KO121" s="53"/>
      <c r="KP121" s="53"/>
      <c r="KQ121" s="53"/>
      <c r="KR121" s="53"/>
      <c r="KS121" s="53"/>
      <c r="KT121" s="53"/>
      <c r="KU121" s="53"/>
      <c r="KV121" s="53"/>
      <c r="KW121" s="53"/>
      <c r="KX121" s="53"/>
      <c r="KY121" s="53"/>
      <c r="KZ121" s="53"/>
      <c r="LA121" s="53"/>
      <c r="LB121" s="53"/>
      <c r="LC121" s="53"/>
      <c r="LD121" s="53"/>
      <c r="LE121" s="53"/>
      <c r="LF121" s="53"/>
      <c r="LG121" s="53"/>
      <c r="LH121" s="53"/>
      <c r="LI121" s="53"/>
      <c r="LJ121" s="53"/>
      <c r="LK121" s="53"/>
      <c r="LL121" s="53"/>
      <c r="LM121" s="53"/>
      <c r="LN121" s="53"/>
      <c r="LO121" s="53"/>
      <c r="LP121" s="53"/>
      <c r="LQ121" s="53"/>
      <c r="LR121" s="53"/>
      <c r="LS121" s="53"/>
      <c r="LT121" s="53"/>
      <c r="LU121" s="53"/>
      <c r="LV121" s="53"/>
      <c r="LW121" s="53"/>
      <c r="LX121" s="53"/>
      <c r="LY121" s="53"/>
      <c r="LZ121" s="53"/>
      <c r="MA121" s="53"/>
      <c r="MB121" s="53"/>
      <c r="MC121" s="53"/>
      <c r="MD121" s="53"/>
      <c r="ME121" s="53"/>
      <c r="MF121" s="53"/>
      <c r="MG121" s="53"/>
      <c r="MH121" s="53"/>
      <c r="MI121" s="53"/>
      <c r="MJ121" s="53"/>
      <c r="MK121" s="53"/>
      <c r="ML121" s="53"/>
      <c r="MM121" s="53"/>
      <c r="MN121" s="53"/>
      <c r="MO121" s="53"/>
      <c r="MP121" s="53"/>
      <c r="MQ121" s="53"/>
      <c r="MR121" s="53"/>
      <c r="MS121" s="53"/>
      <c r="MT121" s="53"/>
      <c r="MU121" s="53"/>
      <c r="MV121" s="53"/>
      <c r="MW121" s="53"/>
      <c r="MX121" s="53"/>
      <c r="MY121" s="53"/>
      <c r="MZ121" s="53"/>
      <c r="NA121" s="53"/>
      <c r="NB121" s="53"/>
      <c r="NC121" s="53"/>
      <c r="ND121" s="53"/>
      <c r="NE121" s="53"/>
      <c r="NF121" s="53"/>
      <c r="NG121" s="53"/>
      <c r="NH121" s="53"/>
      <c r="NI121" s="53"/>
      <c r="NJ121" s="53"/>
      <c r="NK121" s="53"/>
      <c r="NL121" s="53"/>
      <c r="NM121" s="53"/>
      <c r="NN121" s="53"/>
      <c r="NO121" s="53"/>
      <c r="NP121" s="53"/>
      <c r="NQ121" s="53"/>
      <c r="NR121" s="53"/>
      <c r="NS121" s="53"/>
      <c r="NT121" s="53"/>
      <c r="NU121" s="53"/>
      <c r="NV121" s="53"/>
      <c r="NW121" s="53"/>
      <c r="NX121" s="53"/>
      <c r="NY121" s="53"/>
      <c r="NZ121" s="53"/>
      <c r="OA121" s="53"/>
      <c r="OB121" s="53"/>
      <c r="OC121" s="53"/>
      <c r="OD121" s="53"/>
      <c r="OE121" s="53"/>
      <c r="OF121" s="53"/>
      <c r="OG121" s="53"/>
      <c r="OH121" s="53"/>
      <c r="OI121" s="53"/>
      <c r="OJ121" s="53"/>
      <c r="OK121" s="53"/>
      <c r="OL121" s="53"/>
      <c r="OM121" s="53"/>
      <c r="ON121" s="53"/>
      <c r="OO121" s="53"/>
      <c r="OP121" s="53"/>
      <c r="OQ121" s="53"/>
      <c r="OR121" s="53"/>
      <c r="OS121" s="53"/>
      <c r="OT121" s="53"/>
      <c r="OU121" s="53"/>
      <c r="OV121" s="53"/>
      <c r="OW121" s="53"/>
      <c r="OX121" s="53"/>
      <c r="OY121" s="53"/>
      <c r="OZ121" s="53"/>
      <c r="PA121" s="53"/>
      <c r="PB121" s="53"/>
      <c r="PC121" s="53"/>
      <c r="PD121" s="53"/>
      <c r="PE121" s="53"/>
      <c r="PF121" s="53"/>
      <c r="PG121" s="53"/>
      <c r="PH121" s="53"/>
      <c r="PI121" s="53"/>
      <c r="PJ121" s="53"/>
      <c r="PK121" s="53"/>
      <c r="PL121" s="53"/>
      <c r="PM121" s="53"/>
      <c r="PN121" s="53"/>
      <c r="PO121" s="53"/>
      <c r="PP121" s="53"/>
      <c r="PQ121" s="53"/>
      <c r="PR121" s="53"/>
      <c r="PS121" s="53"/>
      <c r="PT121" s="53"/>
      <c r="PU121" s="53"/>
      <c r="PV121" s="53"/>
      <c r="PW121" s="53"/>
      <c r="PX121" s="53"/>
      <c r="PY121" s="53"/>
      <c r="PZ121" s="53"/>
      <c r="QA121" s="53"/>
      <c r="QB121" s="53"/>
      <c r="QC121" s="53"/>
      <c r="QD121" s="53"/>
      <c r="QE121" s="53"/>
      <c r="QF121" s="53"/>
      <c r="QG121" s="53"/>
      <c r="QH121" s="53"/>
      <c r="QI121" s="53"/>
      <c r="QJ121" s="53"/>
      <c r="QK121" s="53"/>
      <c r="QL121" s="53"/>
      <c r="QM121" s="53"/>
      <c r="QN121" s="53"/>
      <c r="QO121" s="53"/>
      <c r="QP121" s="53"/>
      <c r="QQ121" s="53"/>
      <c r="QR121" s="53"/>
      <c r="QS121" s="53"/>
      <c r="QT121" s="53"/>
      <c r="QU121" s="53"/>
      <c r="QV121" s="53"/>
      <c r="QW121" s="53"/>
      <c r="QX121" s="53"/>
      <c r="QY121" s="53"/>
      <c r="QZ121" s="53"/>
      <c r="RA121" s="53"/>
      <c r="RB121" s="53"/>
      <c r="RC121" s="53"/>
      <c r="RD121" s="53"/>
      <c r="RE121" s="53"/>
      <c r="RF121" s="53"/>
      <c r="RG121" s="53"/>
      <c r="RH121" s="53"/>
      <c r="RI121" s="53"/>
      <c r="RJ121" s="53"/>
      <c r="RK121" s="53"/>
      <c r="RL121" s="53"/>
      <c r="RM121" s="53"/>
      <c r="RN121" s="53"/>
      <c r="RO121" s="53"/>
      <c r="RP121" s="53"/>
      <c r="RQ121" s="53"/>
      <c r="RR121" s="53"/>
      <c r="RS121" s="53"/>
      <c r="RT121" s="53"/>
      <c r="RU121" s="53"/>
      <c r="RV121" s="53"/>
      <c r="RW121" s="53"/>
      <c r="RX121" s="53"/>
      <c r="RY121" s="53"/>
      <c r="RZ121" s="53"/>
      <c r="SA121" s="53"/>
      <c r="SB121" s="53"/>
      <c r="SC121" s="53"/>
      <c r="SD121" s="53"/>
      <c r="SE121" s="53"/>
      <c r="SF121" s="53"/>
      <c r="SG121" s="53"/>
      <c r="SH121" s="53"/>
      <c r="SI121" s="53"/>
      <c r="SJ121" s="53"/>
      <c r="SK121" s="53"/>
      <c r="SL121" s="53"/>
      <c r="SM121" s="53"/>
      <c r="SN121" s="53"/>
      <c r="SO121" s="53"/>
      <c r="SP121" s="53"/>
      <c r="SQ121" s="53"/>
      <c r="SR121" s="53"/>
      <c r="SS121" s="53"/>
      <c r="ST121" s="53"/>
      <c r="SU121" s="53"/>
      <c r="SV121" s="53"/>
      <c r="SW121" s="53"/>
      <c r="SX121" s="53"/>
      <c r="SY121" s="53"/>
      <c r="SZ121" s="53"/>
      <c r="TA121" s="53"/>
      <c r="TB121" s="53"/>
      <c r="TC121" s="53"/>
      <c r="TD121" s="53"/>
      <c r="TE121" s="53"/>
      <c r="TF121" s="53"/>
      <c r="TG121" s="53"/>
      <c r="TH121" s="53"/>
      <c r="TI121" s="53"/>
      <c r="TJ121" s="53"/>
      <c r="TK121" s="53"/>
      <c r="TL121" s="53"/>
      <c r="TM121" s="53"/>
      <c r="TN121" s="53"/>
      <c r="TO121" s="53"/>
      <c r="TP121" s="53"/>
      <c r="TQ121" s="53"/>
      <c r="TR121" s="53"/>
      <c r="TS121" s="53"/>
      <c r="TT121" s="53"/>
      <c r="TU121" s="53"/>
      <c r="TV121" s="53"/>
      <c r="TW121" s="53"/>
      <c r="TX121" s="53"/>
      <c r="TY121" s="53"/>
      <c r="TZ121" s="53"/>
      <c r="UA121" s="53"/>
      <c r="UB121" s="53"/>
      <c r="UC121" s="53"/>
      <c r="UD121" s="53"/>
      <c r="UE121" s="53"/>
      <c r="UF121" s="53"/>
      <c r="UG121" s="53"/>
      <c r="UH121" s="53"/>
      <c r="UI121" s="53"/>
      <c r="UJ121" s="53"/>
      <c r="UK121" s="53"/>
      <c r="UL121" s="53"/>
      <c r="UM121" s="53"/>
      <c r="UN121" s="53"/>
      <c r="UO121" s="53"/>
      <c r="UP121" s="53"/>
      <c r="UQ121" s="53"/>
      <c r="UR121" s="53"/>
      <c r="US121" s="53"/>
      <c r="UT121" s="53"/>
      <c r="UU121" s="53"/>
      <c r="UV121" s="53"/>
      <c r="UW121" s="53"/>
      <c r="UX121" s="53"/>
      <c r="UY121" s="53"/>
      <c r="UZ121" s="53"/>
      <c r="VA121" s="53"/>
      <c r="VB121" s="53"/>
      <c r="VC121" s="53"/>
      <c r="VD121" s="53"/>
      <c r="VE121" s="53"/>
      <c r="VF121" s="53"/>
      <c r="VG121" s="53"/>
      <c r="VH121" s="53"/>
      <c r="VI121" s="53"/>
      <c r="VJ121" s="53"/>
      <c r="VK121" s="53"/>
      <c r="VL121" s="53"/>
    </row>
    <row r="122" spans="1:584" s="47" customFormat="1" ht="18" customHeight="1" x14ac:dyDescent="0.25">
      <c r="A122" s="45"/>
      <c r="B122" s="92"/>
      <c r="C122" s="92"/>
      <c r="D122" s="48" t="str">
        <f>'дод 3'!C62</f>
        <v>у т.ч. за рахунок субвенцій з держбюджету</v>
      </c>
      <c r="E122" s="115">
        <v>107964966.81999999</v>
      </c>
      <c r="F122" s="115"/>
      <c r="G122" s="115"/>
      <c r="H122" s="115">
        <v>107949688.91</v>
      </c>
      <c r="I122" s="115"/>
      <c r="J122" s="115"/>
      <c r="K122" s="164">
        <f t="shared" si="17"/>
        <v>99.985849196781146</v>
      </c>
      <c r="L122" s="115">
        <f t="shared" si="16"/>
        <v>0</v>
      </c>
      <c r="M122" s="115"/>
      <c r="N122" s="115"/>
      <c r="O122" s="115"/>
      <c r="P122" s="115"/>
      <c r="Q122" s="115"/>
      <c r="R122" s="115">
        <f t="shared" si="19"/>
        <v>0</v>
      </c>
      <c r="S122" s="115"/>
      <c r="T122" s="115"/>
      <c r="U122" s="115"/>
      <c r="V122" s="115"/>
      <c r="W122" s="115"/>
      <c r="X122" s="149"/>
      <c r="Y122" s="115">
        <f t="shared" si="36"/>
        <v>107949688.91</v>
      </c>
      <c r="Z122" s="187"/>
      <c r="AA122" s="53"/>
      <c r="AB122" s="53"/>
      <c r="AC122" s="53"/>
      <c r="AD122" s="53"/>
      <c r="AE122" s="79"/>
      <c r="AF122" s="79"/>
      <c r="AG122" s="79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  <c r="IK122" s="53"/>
      <c r="IL122" s="53"/>
      <c r="IM122" s="53"/>
      <c r="IN122" s="53"/>
      <c r="IO122" s="53"/>
      <c r="IP122" s="53"/>
      <c r="IQ122" s="53"/>
      <c r="IR122" s="53"/>
      <c r="IS122" s="53"/>
      <c r="IT122" s="53"/>
      <c r="IU122" s="53"/>
      <c r="IV122" s="53"/>
      <c r="IW122" s="53"/>
      <c r="IX122" s="53"/>
      <c r="IY122" s="53"/>
      <c r="IZ122" s="53"/>
      <c r="JA122" s="53"/>
      <c r="JB122" s="53"/>
      <c r="JC122" s="53"/>
      <c r="JD122" s="53"/>
      <c r="JE122" s="53"/>
      <c r="JF122" s="53"/>
      <c r="JG122" s="53"/>
      <c r="JH122" s="53"/>
      <c r="JI122" s="53"/>
      <c r="JJ122" s="53"/>
      <c r="JK122" s="53"/>
      <c r="JL122" s="53"/>
      <c r="JM122" s="53"/>
      <c r="JN122" s="53"/>
      <c r="JO122" s="53"/>
      <c r="JP122" s="53"/>
      <c r="JQ122" s="53"/>
      <c r="JR122" s="53"/>
      <c r="JS122" s="53"/>
      <c r="JT122" s="53"/>
      <c r="JU122" s="53"/>
      <c r="JV122" s="53"/>
      <c r="JW122" s="53"/>
      <c r="JX122" s="53"/>
      <c r="JY122" s="53"/>
      <c r="JZ122" s="53"/>
      <c r="KA122" s="53"/>
      <c r="KB122" s="53"/>
      <c r="KC122" s="53"/>
      <c r="KD122" s="53"/>
      <c r="KE122" s="53"/>
      <c r="KF122" s="53"/>
      <c r="KG122" s="53"/>
      <c r="KH122" s="53"/>
      <c r="KI122" s="53"/>
      <c r="KJ122" s="53"/>
      <c r="KK122" s="53"/>
      <c r="KL122" s="53"/>
      <c r="KM122" s="53"/>
      <c r="KN122" s="53"/>
      <c r="KO122" s="53"/>
      <c r="KP122" s="53"/>
      <c r="KQ122" s="53"/>
      <c r="KR122" s="53"/>
      <c r="KS122" s="53"/>
      <c r="KT122" s="53"/>
      <c r="KU122" s="53"/>
      <c r="KV122" s="53"/>
      <c r="KW122" s="53"/>
      <c r="KX122" s="53"/>
      <c r="KY122" s="53"/>
      <c r="KZ122" s="53"/>
      <c r="LA122" s="53"/>
      <c r="LB122" s="53"/>
      <c r="LC122" s="53"/>
      <c r="LD122" s="53"/>
      <c r="LE122" s="53"/>
      <c r="LF122" s="53"/>
      <c r="LG122" s="53"/>
      <c r="LH122" s="53"/>
      <c r="LI122" s="53"/>
      <c r="LJ122" s="53"/>
      <c r="LK122" s="53"/>
      <c r="LL122" s="53"/>
      <c r="LM122" s="53"/>
      <c r="LN122" s="53"/>
      <c r="LO122" s="53"/>
      <c r="LP122" s="53"/>
      <c r="LQ122" s="53"/>
      <c r="LR122" s="53"/>
      <c r="LS122" s="53"/>
      <c r="LT122" s="53"/>
      <c r="LU122" s="53"/>
      <c r="LV122" s="53"/>
      <c r="LW122" s="53"/>
      <c r="LX122" s="53"/>
      <c r="LY122" s="53"/>
      <c r="LZ122" s="53"/>
      <c r="MA122" s="53"/>
      <c r="MB122" s="53"/>
      <c r="MC122" s="53"/>
      <c r="MD122" s="53"/>
      <c r="ME122" s="53"/>
      <c r="MF122" s="53"/>
      <c r="MG122" s="53"/>
      <c r="MH122" s="53"/>
      <c r="MI122" s="53"/>
      <c r="MJ122" s="53"/>
      <c r="MK122" s="53"/>
      <c r="ML122" s="53"/>
      <c r="MM122" s="53"/>
      <c r="MN122" s="53"/>
      <c r="MO122" s="53"/>
      <c r="MP122" s="53"/>
      <c r="MQ122" s="53"/>
      <c r="MR122" s="53"/>
      <c r="MS122" s="53"/>
      <c r="MT122" s="53"/>
      <c r="MU122" s="53"/>
      <c r="MV122" s="53"/>
      <c r="MW122" s="53"/>
      <c r="MX122" s="53"/>
      <c r="MY122" s="53"/>
      <c r="MZ122" s="53"/>
      <c r="NA122" s="53"/>
      <c r="NB122" s="53"/>
      <c r="NC122" s="53"/>
      <c r="ND122" s="53"/>
      <c r="NE122" s="53"/>
      <c r="NF122" s="53"/>
      <c r="NG122" s="53"/>
      <c r="NH122" s="53"/>
      <c r="NI122" s="53"/>
      <c r="NJ122" s="53"/>
      <c r="NK122" s="53"/>
      <c r="NL122" s="53"/>
      <c r="NM122" s="53"/>
      <c r="NN122" s="53"/>
      <c r="NO122" s="53"/>
      <c r="NP122" s="53"/>
      <c r="NQ122" s="53"/>
      <c r="NR122" s="53"/>
      <c r="NS122" s="53"/>
      <c r="NT122" s="53"/>
      <c r="NU122" s="53"/>
      <c r="NV122" s="53"/>
      <c r="NW122" s="53"/>
      <c r="NX122" s="53"/>
      <c r="NY122" s="53"/>
      <c r="NZ122" s="53"/>
      <c r="OA122" s="53"/>
      <c r="OB122" s="53"/>
      <c r="OC122" s="53"/>
      <c r="OD122" s="53"/>
      <c r="OE122" s="53"/>
      <c r="OF122" s="53"/>
      <c r="OG122" s="53"/>
      <c r="OH122" s="53"/>
      <c r="OI122" s="53"/>
      <c r="OJ122" s="53"/>
      <c r="OK122" s="53"/>
      <c r="OL122" s="53"/>
      <c r="OM122" s="53"/>
      <c r="ON122" s="53"/>
      <c r="OO122" s="53"/>
      <c r="OP122" s="53"/>
      <c r="OQ122" s="53"/>
      <c r="OR122" s="53"/>
      <c r="OS122" s="53"/>
      <c r="OT122" s="53"/>
      <c r="OU122" s="53"/>
      <c r="OV122" s="53"/>
      <c r="OW122" s="53"/>
      <c r="OX122" s="53"/>
      <c r="OY122" s="53"/>
      <c r="OZ122" s="53"/>
      <c r="PA122" s="53"/>
      <c r="PB122" s="53"/>
      <c r="PC122" s="53"/>
      <c r="PD122" s="53"/>
      <c r="PE122" s="53"/>
      <c r="PF122" s="53"/>
      <c r="PG122" s="53"/>
      <c r="PH122" s="53"/>
      <c r="PI122" s="53"/>
      <c r="PJ122" s="53"/>
      <c r="PK122" s="53"/>
      <c r="PL122" s="53"/>
      <c r="PM122" s="53"/>
      <c r="PN122" s="53"/>
      <c r="PO122" s="53"/>
      <c r="PP122" s="53"/>
      <c r="PQ122" s="53"/>
      <c r="PR122" s="53"/>
      <c r="PS122" s="53"/>
      <c r="PT122" s="53"/>
      <c r="PU122" s="53"/>
      <c r="PV122" s="53"/>
      <c r="PW122" s="53"/>
      <c r="PX122" s="53"/>
      <c r="PY122" s="53"/>
      <c r="PZ122" s="53"/>
      <c r="QA122" s="53"/>
      <c r="QB122" s="53"/>
      <c r="QC122" s="53"/>
      <c r="QD122" s="53"/>
      <c r="QE122" s="53"/>
      <c r="QF122" s="53"/>
      <c r="QG122" s="53"/>
      <c r="QH122" s="53"/>
      <c r="QI122" s="53"/>
      <c r="QJ122" s="53"/>
      <c r="QK122" s="53"/>
      <c r="QL122" s="53"/>
      <c r="QM122" s="53"/>
      <c r="QN122" s="53"/>
      <c r="QO122" s="53"/>
      <c r="QP122" s="53"/>
      <c r="QQ122" s="53"/>
      <c r="QR122" s="53"/>
      <c r="QS122" s="53"/>
      <c r="QT122" s="53"/>
      <c r="QU122" s="53"/>
      <c r="QV122" s="53"/>
      <c r="QW122" s="53"/>
      <c r="QX122" s="53"/>
      <c r="QY122" s="53"/>
      <c r="QZ122" s="53"/>
      <c r="RA122" s="53"/>
      <c r="RB122" s="53"/>
      <c r="RC122" s="53"/>
      <c r="RD122" s="53"/>
      <c r="RE122" s="53"/>
      <c r="RF122" s="53"/>
      <c r="RG122" s="53"/>
      <c r="RH122" s="53"/>
      <c r="RI122" s="53"/>
      <c r="RJ122" s="53"/>
      <c r="RK122" s="53"/>
      <c r="RL122" s="53"/>
      <c r="RM122" s="53"/>
      <c r="RN122" s="53"/>
      <c r="RO122" s="53"/>
      <c r="RP122" s="53"/>
      <c r="RQ122" s="53"/>
      <c r="RR122" s="53"/>
      <c r="RS122" s="53"/>
      <c r="RT122" s="53"/>
      <c r="RU122" s="53"/>
      <c r="RV122" s="53"/>
      <c r="RW122" s="53"/>
      <c r="RX122" s="53"/>
      <c r="RY122" s="53"/>
      <c r="RZ122" s="53"/>
      <c r="SA122" s="53"/>
      <c r="SB122" s="53"/>
      <c r="SC122" s="53"/>
      <c r="SD122" s="53"/>
      <c r="SE122" s="53"/>
      <c r="SF122" s="53"/>
      <c r="SG122" s="53"/>
      <c r="SH122" s="53"/>
      <c r="SI122" s="53"/>
      <c r="SJ122" s="53"/>
      <c r="SK122" s="53"/>
      <c r="SL122" s="53"/>
      <c r="SM122" s="53"/>
      <c r="SN122" s="53"/>
      <c r="SO122" s="53"/>
      <c r="SP122" s="53"/>
      <c r="SQ122" s="53"/>
      <c r="SR122" s="53"/>
      <c r="SS122" s="53"/>
      <c r="ST122" s="53"/>
      <c r="SU122" s="53"/>
      <c r="SV122" s="53"/>
      <c r="SW122" s="53"/>
      <c r="SX122" s="53"/>
      <c r="SY122" s="53"/>
      <c r="SZ122" s="53"/>
      <c r="TA122" s="53"/>
      <c r="TB122" s="53"/>
      <c r="TC122" s="53"/>
      <c r="TD122" s="53"/>
      <c r="TE122" s="53"/>
      <c r="TF122" s="53"/>
      <c r="TG122" s="53"/>
      <c r="TH122" s="53"/>
      <c r="TI122" s="53"/>
      <c r="TJ122" s="53"/>
      <c r="TK122" s="53"/>
      <c r="TL122" s="53"/>
      <c r="TM122" s="53"/>
      <c r="TN122" s="53"/>
      <c r="TO122" s="53"/>
      <c r="TP122" s="53"/>
      <c r="TQ122" s="53"/>
      <c r="TR122" s="53"/>
      <c r="TS122" s="53"/>
      <c r="TT122" s="53"/>
      <c r="TU122" s="53"/>
      <c r="TV122" s="53"/>
      <c r="TW122" s="53"/>
      <c r="TX122" s="53"/>
      <c r="TY122" s="53"/>
      <c r="TZ122" s="53"/>
      <c r="UA122" s="53"/>
      <c r="UB122" s="53"/>
      <c r="UC122" s="53"/>
      <c r="UD122" s="53"/>
      <c r="UE122" s="53"/>
      <c r="UF122" s="53"/>
      <c r="UG122" s="53"/>
      <c r="UH122" s="53"/>
      <c r="UI122" s="53"/>
      <c r="UJ122" s="53"/>
      <c r="UK122" s="53"/>
      <c r="UL122" s="53"/>
      <c r="UM122" s="53"/>
      <c r="UN122" s="53"/>
      <c r="UO122" s="53"/>
      <c r="UP122" s="53"/>
      <c r="UQ122" s="53"/>
      <c r="UR122" s="53"/>
      <c r="US122" s="53"/>
      <c r="UT122" s="53"/>
      <c r="UU122" s="53"/>
      <c r="UV122" s="53"/>
      <c r="UW122" s="53"/>
      <c r="UX122" s="53"/>
      <c r="UY122" s="53"/>
      <c r="UZ122" s="53"/>
      <c r="VA122" s="53"/>
      <c r="VB122" s="53"/>
      <c r="VC122" s="53"/>
      <c r="VD122" s="53"/>
      <c r="VE122" s="53"/>
      <c r="VF122" s="53"/>
      <c r="VG122" s="53"/>
      <c r="VH122" s="53"/>
      <c r="VI122" s="53"/>
      <c r="VJ122" s="53"/>
      <c r="VK122" s="53"/>
      <c r="VL122" s="53"/>
    </row>
    <row r="123" spans="1:584" s="47" customFormat="1" ht="48" customHeight="1" x14ac:dyDescent="0.25">
      <c r="A123" s="45" t="s">
        <v>436</v>
      </c>
      <c r="B123" s="92" t="str">
        <f>'дод 3'!A63</f>
        <v>3021</v>
      </c>
      <c r="C123" s="92">
        <f>'дод 3'!B63</f>
        <v>1030</v>
      </c>
      <c r="D123" s="48" t="str">
        <f>'дод 3'!C63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3" s="115">
        <v>60013</v>
      </c>
      <c r="F123" s="115"/>
      <c r="G123" s="115"/>
      <c r="H123" s="115">
        <v>42164.7</v>
      </c>
      <c r="I123" s="115"/>
      <c r="J123" s="115"/>
      <c r="K123" s="164">
        <f t="shared" si="17"/>
        <v>70.259277156616065</v>
      </c>
      <c r="L123" s="115">
        <f t="shared" ref="L123:L182" si="37">N123+Q123</f>
        <v>0</v>
      </c>
      <c r="M123" s="115"/>
      <c r="N123" s="115"/>
      <c r="O123" s="115"/>
      <c r="P123" s="115"/>
      <c r="Q123" s="115"/>
      <c r="R123" s="115">
        <f t="shared" si="19"/>
        <v>0</v>
      </c>
      <c r="S123" s="115"/>
      <c r="T123" s="115"/>
      <c r="U123" s="115"/>
      <c r="V123" s="115"/>
      <c r="W123" s="115"/>
      <c r="X123" s="149"/>
      <c r="Y123" s="115">
        <f t="shared" si="36"/>
        <v>42164.7</v>
      </c>
      <c r="Z123" s="187"/>
      <c r="AA123" s="53"/>
      <c r="AB123" s="53"/>
      <c r="AC123" s="53"/>
      <c r="AD123" s="53"/>
      <c r="AE123" s="79"/>
      <c r="AF123" s="79"/>
      <c r="AG123" s="79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  <c r="IO123" s="53"/>
      <c r="IP123" s="53"/>
      <c r="IQ123" s="53"/>
      <c r="IR123" s="53"/>
      <c r="IS123" s="53"/>
      <c r="IT123" s="53"/>
      <c r="IU123" s="53"/>
      <c r="IV123" s="53"/>
      <c r="IW123" s="53"/>
      <c r="IX123" s="53"/>
      <c r="IY123" s="53"/>
      <c r="IZ123" s="53"/>
      <c r="JA123" s="53"/>
      <c r="JB123" s="53"/>
      <c r="JC123" s="53"/>
      <c r="JD123" s="53"/>
      <c r="JE123" s="53"/>
      <c r="JF123" s="53"/>
      <c r="JG123" s="53"/>
      <c r="JH123" s="53"/>
      <c r="JI123" s="53"/>
      <c r="JJ123" s="53"/>
      <c r="JK123" s="53"/>
      <c r="JL123" s="53"/>
      <c r="JM123" s="53"/>
      <c r="JN123" s="53"/>
      <c r="JO123" s="53"/>
      <c r="JP123" s="53"/>
      <c r="JQ123" s="53"/>
      <c r="JR123" s="53"/>
      <c r="JS123" s="53"/>
      <c r="JT123" s="53"/>
      <c r="JU123" s="53"/>
      <c r="JV123" s="53"/>
      <c r="JW123" s="53"/>
      <c r="JX123" s="53"/>
      <c r="JY123" s="53"/>
      <c r="JZ123" s="53"/>
      <c r="KA123" s="53"/>
      <c r="KB123" s="53"/>
      <c r="KC123" s="53"/>
      <c r="KD123" s="53"/>
      <c r="KE123" s="53"/>
      <c r="KF123" s="53"/>
      <c r="KG123" s="53"/>
      <c r="KH123" s="53"/>
      <c r="KI123" s="53"/>
      <c r="KJ123" s="53"/>
      <c r="KK123" s="53"/>
      <c r="KL123" s="53"/>
      <c r="KM123" s="53"/>
      <c r="KN123" s="53"/>
      <c r="KO123" s="53"/>
      <c r="KP123" s="53"/>
      <c r="KQ123" s="53"/>
      <c r="KR123" s="53"/>
      <c r="KS123" s="53"/>
      <c r="KT123" s="53"/>
      <c r="KU123" s="53"/>
      <c r="KV123" s="53"/>
      <c r="KW123" s="53"/>
      <c r="KX123" s="53"/>
      <c r="KY123" s="53"/>
      <c r="KZ123" s="53"/>
      <c r="LA123" s="53"/>
      <c r="LB123" s="53"/>
      <c r="LC123" s="53"/>
      <c r="LD123" s="53"/>
      <c r="LE123" s="53"/>
      <c r="LF123" s="53"/>
      <c r="LG123" s="53"/>
      <c r="LH123" s="53"/>
      <c r="LI123" s="53"/>
      <c r="LJ123" s="53"/>
      <c r="LK123" s="53"/>
      <c r="LL123" s="53"/>
      <c r="LM123" s="53"/>
      <c r="LN123" s="53"/>
      <c r="LO123" s="53"/>
      <c r="LP123" s="53"/>
      <c r="LQ123" s="53"/>
      <c r="LR123" s="53"/>
      <c r="LS123" s="53"/>
      <c r="LT123" s="53"/>
      <c r="LU123" s="53"/>
      <c r="LV123" s="53"/>
      <c r="LW123" s="53"/>
      <c r="LX123" s="53"/>
      <c r="LY123" s="53"/>
      <c r="LZ123" s="53"/>
      <c r="MA123" s="53"/>
      <c r="MB123" s="53"/>
      <c r="MC123" s="53"/>
      <c r="MD123" s="53"/>
      <c r="ME123" s="53"/>
      <c r="MF123" s="53"/>
      <c r="MG123" s="53"/>
      <c r="MH123" s="53"/>
      <c r="MI123" s="53"/>
      <c r="MJ123" s="53"/>
      <c r="MK123" s="53"/>
      <c r="ML123" s="53"/>
      <c r="MM123" s="53"/>
      <c r="MN123" s="53"/>
      <c r="MO123" s="53"/>
      <c r="MP123" s="53"/>
      <c r="MQ123" s="53"/>
      <c r="MR123" s="53"/>
      <c r="MS123" s="53"/>
      <c r="MT123" s="53"/>
      <c r="MU123" s="53"/>
      <c r="MV123" s="53"/>
      <c r="MW123" s="53"/>
      <c r="MX123" s="53"/>
      <c r="MY123" s="53"/>
      <c r="MZ123" s="53"/>
      <c r="NA123" s="53"/>
      <c r="NB123" s="53"/>
      <c r="NC123" s="53"/>
      <c r="ND123" s="53"/>
      <c r="NE123" s="53"/>
      <c r="NF123" s="53"/>
      <c r="NG123" s="53"/>
      <c r="NH123" s="53"/>
      <c r="NI123" s="53"/>
      <c r="NJ123" s="53"/>
      <c r="NK123" s="53"/>
      <c r="NL123" s="53"/>
      <c r="NM123" s="53"/>
      <c r="NN123" s="53"/>
      <c r="NO123" s="53"/>
      <c r="NP123" s="53"/>
      <c r="NQ123" s="53"/>
      <c r="NR123" s="53"/>
      <c r="NS123" s="53"/>
      <c r="NT123" s="53"/>
      <c r="NU123" s="53"/>
      <c r="NV123" s="53"/>
      <c r="NW123" s="53"/>
      <c r="NX123" s="53"/>
      <c r="NY123" s="53"/>
      <c r="NZ123" s="53"/>
      <c r="OA123" s="53"/>
      <c r="OB123" s="53"/>
      <c r="OC123" s="53"/>
      <c r="OD123" s="53"/>
      <c r="OE123" s="53"/>
      <c r="OF123" s="53"/>
      <c r="OG123" s="53"/>
      <c r="OH123" s="53"/>
      <c r="OI123" s="53"/>
      <c r="OJ123" s="53"/>
      <c r="OK123" s="53"/>
      <c r="OL123" s="53"/>
      <c r="OM123" s="53"/>
      <c r="ON123" s="53"/>
      <c r="OO123" s="53"/>
      <c r="OP123" s="53"/>
      <c r="OQ123" s="53"/>
      <c r="OR123" s="53"/>
      <c r="OS123" s="53"/>
      <c r="OT123" s="53"/>
      <c r="OU123" s="53"/>
      <c r="OV123" s="53"/>
      <c r="OW123" s="53"/>
      <c r="OX123" s="53"/>
      <c r="OY123" s="53"/>
      <c r="OZ123" s="53"/>
      <c r="PA123" s="53"/>
      <c r="PB123" s="53"/>
      <c r="PC123" s="53"/>
      <c r="PD123" s="53"/>
      <c r="PE123" s="53"/>
      <c r="PF123" s="53"/>
      <c r="PG123" s="53"/>
      <c r="PH123" s="53"/>
      <c r="PI123" s="53"/>
      <c r="PJ123" s="53"/>
      <c r="PK123" s="53"/>
      <c r="PL123" s="53"/>
      <c r="PM123" s="53"/>
      <c r="PN123" s="53"/>
      <c r="PO123" s="53"/>
      <c r="PP123" s="53"/>
      <c r="PQ123" s="53"/>
      <c r="PR123" s="53"/>
      <c r="PS123" s="53"/>
      <c r="PT123" s="53"/>
      <c r="PU123" s="53"/>
      <c r="PV123" s="53"/>
      <c r="PW123" s="53"/>
      <c r="PX123" s="53"/>
      <c r="PY123" s="53"/>
      <c r="PZ123" s="53"/>
      <c r="QA123" s="53"/>
      <c r="QB123" s="53"/>
      <c r="QC123" s="53"/>
      <c r="QD123" s="53"/>
      <c r="QE123" s="53"/>
      <c r="QF123" s="53"/>
      <c r="QG123" s="53"/>
      <c r="QH123" s="53"/>
      <c r="QI123" s="53"/>
      <c r="QJ123" s="53"/>
      <c r="QK123" s="53"/>
      <c r="QL123" s="53"/>
      <c r="QM123" s="53"/>
      <c r="QN123" s="53"/>
      <c r="QO123" s="53"/>
      <c r="QP123" s="53"/>
      <c r="QQ123" s="53"/>
      <c r="QR123" s="53"/>
      <c r="QS123" s="53"/>
      <c r="QT123" s="53"/>
      <c r="QU123" s="53"/>
      <c r="QV123" s="53"/>
      <c r="QW123" s="53"/>
      <c r="QX123" s="53"/>
      <c r="QY123" s="53"/>
      <c r="QZ123" s="53"/>
      <c r="RA123" s="53"/>
      <c r="RB123" s="53"/>
      <c r="RC123" s="53"/>
      <c r="RD123" s="53"/>
      <c r="RE123" s="53"/>
      <c r="RF123" s="53"/>
      <c r="RG123" s="53"/>
      <c r="RH123" s="53"/>
      <c r="RI123" s="53"/>
      <c r="RJ123" s="53"/>
      <c r="RK123" s="53"/>
      <c r="RL123" s="53"/>
      <c r="RM123" s="53"/>
      <c r="RN123" s="53"/>
      <c r="RO123" s="53"/>
      <c r="RP123" s="53"/>
      <c r="RQ123" s="53"/>
      <c r="RR123" s="53"/>
      <c r="RS123" s="53"/>
      <c r="RT123" s="53"/>
      <c r="RU123" s="53"/>
      <c r="RV123" s="53"/>
      <c r="RW123" s="53"/>
      <c r="RX123" s="53"/>
      <c r="RY123" s="53"/>
      <c r="RZ123" s="53"/>
      <c r="SA123" s="53"/>
      <c r="SB123" s="53"/>
      <c r="SC123" s="53"/>
      <c r="SD123" s="53"/>
      <c r="SE123" s="53"/>
      <c r="SF123" s="53"/>
      <c r="SG123" s="53"/>
      <c r="SH123" s="53"/>
      <c r="SI123" s="53"/>
      <c r="SJ123" s="53"/>
      <c r="SK123" s="53"/>
      <c r="SL123" s="53"/>
      <c r="SM123" s="53"/>
      <c r="SN123" s="53"/>
      <c r="SO123" s="53"/>
      <c r="SP123" s="53"/>
      <c r="SQ123" s="53"/>
      <c r="SR123" s="53"/>
      <c r="SS123" s="53"/>
      <c r="ST123" s="53"/>
      <c r="SU123" s="53"/>
      <c r="SV123" s="53"/>
      <c r="SW123" s="53"/>
      <c r="SX123" s="53"/>
      <c r="SY123" s="53"/>
      <c r="SZ123" s="53"/>
      <c r="TA123" s="53"/>
      <c r="TB123" s="53"/>
      <c r="TC123" s="53"/>
      <c r="TD123" s="53"/>
      <c r="TE123" s="53"/>
      <c r="TF123" s="53"/>
      <c r="TG123" s="53"/>
      <c r="TH123" s="53"/>
      <c r="TI123" s="53"/>
      <c r="TJ123" s="53"/>
      <c r="TK123" s="53"/>
      <c r="TL123" s="53"/>
      <c r="TM123" s="53"/>
      <c r="TN123" s="53"/>
      <c r="TO123" s="53"/>
      <c r="TP123" s="53"/>
      <c r="TQ123" s="53"/>
      <c r="TR123" s="53"/>
      <c r="TS123" s="53"/>
      <c r="TT123" s="53"/>
      <c r="TU123" s="53"/>
      <c r="TV123" s="53"/>
      <c r="TW123" s="53"/>
      <c r="TX123" s="53"/>
      <c r="TY123" s="53"/>
      <c r="TZ123" s="53"/>
      <c r="UA123" s="53"/>
      <c r="UB123" s="53"/>
      <c r="UC123" s="53"/>
      <c r="UD123" s="53"/>
      <c r="UE123" s="53"/>
      <c r="UF123" s="53"/>
      <c r="UG123" s="53"/>
      <c r="UH123" s="53"/>
      <c r="UI123" s="53"/>
      <c r="UJ123" s="53"/>
      <c r="UK123" s="53"/>
      <c r="UL123" s="53"/>
      <c r="UM123" s="53"/>
      <c r="UN123" s="53"/>
      <c r="UO123" s="53"/>
      <c r="UP123" s="53"/>
      <c r="UQ123" s="53"/>
      <c r="UR123" s="53"/>
      <c r="US123" s="53"/>
      <c r="UT123" s="53"/>
      <c r="UU123" s="53"/>
      <c r="UV123" s="53"/>
      <c r="UW123" s="53"/>
      <c r="UX123" s="53"/>
      <c r="UY123" s="53"/>
      <c r="UZ123" s="53"/>
      <c r="VA123" s="53"/>
      <c r="VB123" s="53"/>
      <c r="VC123" s="53"/>
      <c r="VD123" s="53"/>
      <c r="VE123" s="53"/>
      <c r="VF123" s="53"/>
      <c r="VG123" s="53"/>
      <c r="VH123" s="53"/>
      <c r="VI123" s="53"/>
      <c r="VJ123" s="53"/>
      <c r="VK123" s="53"/>
      <c r="VL123" s="53"/>
    </row>
    <row r="124" spans="1:584" s="47" customFormat="1" ht="15" customHeight="1" x14ac:dyDescent="0.25">
      <c r="A124" s="45"/>
      <c r="B124" s="92"/>
      <c r="C124" s="92"/>
      <c r="D124" s="48" t="str">
        <f>'дод 3'!C64</f>
        <v>у т.ч. за рахунок субвенцій з держбюджету</v>
      </c>
      <c r="E124" s="115">
        <v>60013</v>
      </c>
      <c r="F124" s="115"/>
      <c r="G124" s="115"/>
      <c r="H124" s="115">
        <v>42164.7</v>
      </c>
      <c r="I124" s="115"/>
      <c r="J124" s="115"/>
      <c r="K124" s="164">
        <f t="shared" si="17"/>
        <v>70.259277156616065</v>
      </c>
      <c r="L124" s="115">
        <f t="shared" si="37"/>
        <v>0</v>
      </c>
      <c r="M124" s="115"/>
      <c r="N124" s="115"/>
      <c r="O124" s="115"/>
      <c r="P124" s="115"/>
      <c r="Q124" s="115"/>
      <c r="R124" s="115">
        <f t="shared" si="19"/>
        <v>0</v>
      </c>
      <c r="S124" s="115"/>
      <c r="T124" s="115"/>
      <c r="U124" s="115"/>
      <c r="V124" s="115"/>
      <c r="W124" s="115"/>
      <c r="X124" s="149"/>
      <c r="Y124" s="115">
        <f t="shared" si="36"/>
        <v>42164.7</v>
      </c>
      <c r="Z124" s="187"/>
      <c r="AA124" s="53"/>
      <c r="AB124" s="53"/>
      <c r="AC124" s="53"/>
      <c r="AD124" s="53"/>
      <c r="AE124" s="79"/>
      <c r="AF124" s="79"/>
      <c r="AG124" s="79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/>
      <c r="IF124" s="53"/>
      <c r="IG124" s="53"/>
      <c r="IH124" s="53"/>
      <c r="II124" s="53"/>
      <c r="IJ124" s="53"/>
      <c r="IK124" s="53"/>
      <c r="IL124" s="53"/>
      <c r="IM124" s="53"/>
      <c r="IN124" s="53"/>
      <c r="IO124" s="53"/>
      <c r="IP124" s="53"/>
      <c r="IQ124" s="53"/>
      <c r="IR124" s="53"/>
      <c r="IS124" s="53"/>
      <c r="IT124" s="53"/>
      <c r="IU124" s="53"/>
      <c r="IV124" s="53"/>
      <c r="IW124" s="53"/>
      <c r="IX124" s="53"/>
      <c r="IY124" s="53"/>
      <c r="IZ124" s="53"/>
      <c r="JA124" s="53"/>
      <c r="JB124" s="53"/>
      <c r="JC124" s="53"/>
      <c r="JD124" s="53"/>
      <c r="JE124" s="53"/>
      <c r="JF124" s="53"/>
      <c r="JG124" s="53"/>
      <c r="JH124" s="53"/>
      <c r="JI124" s="53"/>
      <c r="JJ124" s="53"/>
      <c r="JK124" s="53"/>
      <c r="JL124" s="53"/>
      <c r="JM124" s="53"/>
      <c r="JN124" s="53"/>
      <c r="JO124" s="53"/>
      <c r="JP124" s="53"/>
      <c r="JQ124" s="53"/>
      <c r="JR124" s="53"/>
      <c r="JS124" s="53"/>
      <c r="JT124" s="53"/>
      <c r="JU124" s="53"/>
      <c r="JV124" s="53"/>
      <c r="JW124" s="53"/>
      <c r="JX124" s="53"/>
      <c r="JY124" s="53"/>
      <c r="JZ124" s="53"/>
      <c r="KA124" s="53"/>
      <c r="KB124" s="53"/>
      <c r="KC124" s="53"/>
      <c r="KD124" s="53"/>
      <c r="KE124" s="53"/>
      <c r="KF124" s="53"/>
      <c r="KG124" s="53"/>
      <c r="KH124" s="53"/>
      <c r="KI124" s="53"/>
      <c r="KJ124" s="53"/>
      <c r="KK124" s="53"/>
      <c r="KL124" s="53"/>
      <c r="KM124" s="53"/>
      <c r="KN124" s="53"/>
      <c r="KO124" s="53"/>
      <c r="KP124" s="53"/>
      <c r="KQ124" s="53"/>
      <c r="KR124" s="53"/>
      <c r="KS124" s="53"/>
      <c r="KT124" s="53"/>
      <c r="KU124" s="53"/>
      <c r="KV124" s="53"/>
      <c r="KW124" s="53"/>
      <c r="KX124" s="53"/>
      <c r="KY124" s="53"/>
      <c r="KZ124" s="53"/>
      <c r="LA124" s="53"/>
      <c r="LB124" s="53"/>
      <c r="LC124" s="53"/>
      <c r="LD124" s="53"/>
      <c r="LE124" s="53"/>
      <c r="LF124" s="53"/>
      <c r="LG124" s="53"/>
      <c r="LH124" s="53"/>
      <c r="LI124" s="53"/>
      <c r="LJ124" s="53"/>
      <c r="LK124" s="53"/>
      <c r="LL124" s="53"/>
      <c r="LM124" s="53"/>
      <c r="LN124" s="53"/>
      <c r="LO124" s="53"/>
      <c r="LP124" s="53"/>
      <c r="LQ124" s="53"/>
      <c r="LR124" s="53"/>
      <c r="LS124" s="53"/>
      <c r="LT124" s="53"/>
      <c r="LU124" s="53"/>
      <c r="LV124" s="53"/>
      <c r="LW124" s="53"/>
      <c r="LX124" s="53"/>
      <c r="LY124" s="53"/>
      <c r="LZ124" s="53"/>
      <c r="MA124" s="53"/>
      <c r="MB124" s="53"/>
      <c r="MC124" s="53"/>
      <c r="MD124" s="53"/>
      <c r="ME124" s="53"/>
      <c r="MF124" s="53"/>
      <c r="MG124" s="53"/>
      <c r="MH124" s="53"/>
      <c r="MI124" s="53"/>
      <c r="MJ124" s="53"/>
      <c r="MK124" s="53"/>
      <c r="ML124" s="53"/>
      <c r="MM124" s="53"/>
      <c r="MN124" s="53"/>
      <c r="MO124" s="53"/>
      <c r="MP124" s="53"/>
      <c r="MQ124" s="53"/>
      <c r="MR124" s="53"/>
      <c r="MS124" s="53"/>
      <c r="MT124" s="53"/>
      <c r="MU124" s="53"/>
      <c r="MV124" s="53"/>
      <c r="MW124" s="53"/>
      <c r="MX124" s="53"/>
      <c r="MY124" s="53"/>
      <c r="MZ124" s="53"/>
      <c r="NA124" s="53"/>
      <c r="NB124" s="53"/>
      <c r="NC124" s="53"/>
      <c r="ND124" s="53"/>
      <c r="NE124" s="53"/>
      <c r="NF124" s="53"/>
      <c r="NG124" s="53"/>
      <c r="NH124" s="53"/>
      <c r="NI124" s="53"/>
      <c r="NJ124" s="53"/>
      <c r="NK124" s="53"/>
      <c r="NL124" s="53"/>
      <c r="NM124" s="53"/>
      <c r="NN124" s="53"/>
      <c r="NO124" s="53"/>
      <c r="NP124" s="53"/>
      <c r="NQ124" s="53"/>
      <c r="NR124" s="53"/>
      <c r="NS124" s="53"/>
      <c r="NT124" s="53"/>
      <c r="NU124" s="53"/>
      <c r="NV124" s="53"/>
      <c r="NW124" s="53"/>
      <c r="NX124" s="53"/>
      <c r="NY124" s="53"/>
      <c r="NZ124" s="53"/>
      <c r="OA124" s="53"/>
      <c r="OB124" s="53"/>
      <c r="OC124" s="53"/>
      <c r="OD124" s="53"/>
      <c r="OE124" s="53"/>
      <c r="OF124" s="53"/>
      <c r="OG124" s="53"/>
      <c r="OH124" s="53"/>
      <c r="OI124" s="53"/>
      <c r="OJ124" s="53"/>
      <c r="OK124" s="53"/>
      <c r="OL124" s="53"/>
      <c r="OM124" s="53"/>
      <c r="ON124" s="53"/>
      <c r="OO124" s="53"/>
      <c r="OP124" s="53"/>
      <c r="OQ124" s="53"/>
      <c r="OR124" s="53"/>
      <c r="OS124" s="53"/>
      <c r="OT124" s="53"/>
      <c r="OU124" s="53"/>
      <c r="OV124" s="53"/>
      <c r="OW124" s="53"/>
      <c r="OX124" s="53"/>
      <c r="OY124" s="53"/>
      <c r="OZ124" s="53"/>
      <c r="PA124" s="53"/>
      <c r="PB124" s="53"/>
      <c r="PC124" s="53"/>
      <c r="PD124" s="53"/>
      <c r="PE124" s="53"/>
      <c r="PF124" s="53"/>
      <c r="PG124" s="53"/>
      <c r="PH124" s="53"/>
      <c r="PI124" s="53"/>
      <c r="PJ124" s="53"/>
      <c r="PK124" s="53"/>
      <c r="PL124" s="53"/>
      <c r="PM124" s="53"/>
      <c r="PN124" s="53"/>
      <c r="PO124" s="53"/>
      <c r="PP124" s="53"/>
      <c r="PQ124" s="53"/>
      <c r="PR124" s="53"/>
      <c r="PS124" s="53"/>
      <c r="PT124" s="53"/>
      <c r="PU124" s="53"/>
      <c r="PV124" s="53"/>
      <c r="PW124" s="53"/>
      <c r="PX124" s="53"/>
      <c r="PY124" s="53"/>
      <c r="PZ124" s="53"/>
      <c r="QA124" s="53"/>
      <c r="QB124" s="53"/>
      <c r="QC124" s="53"/>
      <c r="QD124" s="53"/>
      <c r="QE124" s="53"/>
      <c r="QF124" s="53"/>
      <c r="QG124" s="53"/>
      <c r="QH124" s="53"/>
      <c r="QI124" s="53"/>
      <c r="QJ124" s="53"/>
      <c r="QK124" s="53"/>
      <c r="QL124" s="53"/>
      <c r="QM124" s="53"/>
      <c r="QN124" s="53"/>
      <c r="QO124" s="53"/>
      <c r="QP124" s="53"/>
      <c r="QQ124" s="53"/>
      <c r="QR124" s="53"/>
      <c r="QS124" s="53"/>
      <c r="QT124" s="53"/>
      <c r="QU124" s="53"/>
      <c r="QV124" s="53"/>
      <c r="QW124" s="53"/>
      <c r="QX124" s="53"/>
      <c r="QY124" s="53"/>
      <c r="QZ124" s="53"/>
      <c r="RA124" s="53"/>
      <c r="RB124" s="53"/>
      <c r="RC124" s="53"/>
      <c r="RD124" s="53"/>
      <c r="RE124" s="53"/>
      <c r="RF124" s="53"/>
      <c r="RG124" s="53"/>
      <c r="RH124" s="53"/>
      <c r="RI124" s="53"/>
      <c r="RJ124" s="53"/>
      <c r="RK124" s="53"/>
      <c r="RL124" s="53"/>
      <c r="RM124" s="53"/>
      <c r="RN124" s="53"/>
      <c r="RO124" s="53"/>
      <c r="RP124" s="53"/>
      <c r="RQ124" s="53"/>
      <c r="RR124" s="53"/>
      <c r="RS124" s="53"/>
      <c r="RT124" s="53"/>
      <c r="RU124" s="53"/>
      <c r="RV124" s="53"/>
      <c r="RW124" s="53"/>
      <c r="RX124" s="53"/>
      <c r="RY124" s="53"/>
      <c r="RZ124" s="53"/>
      <c r="SA124" s="53"/>
      <c r="SB124" s="53"/>
      <c r="SC124" s="53"/>
      <c r="SD124" s="53"/>
      <c r="SE124" s="53"/>
      <c r="SF124" s="53"/>
      <c r="SG124" s="53"/>
      <c r="SH124" s="53"/>
      <c r="SI124" s="53"/>
      <c r="SJ124" s="53"/>
      <c r="SK124" s="53"/>
      <c r="SL124" s="53"/>
      <c r="SM124" s="53"/>
      <c r="SN124" s="53"/>
      <c r="SO124" s="53"/>
      <c r="SP124" s="53"/>
      <c r="SQ124" s="53"/>
      <c r="SR124" s="53"/>
      <c r="SS124" s="53"/>
      <c r="ST124" s="53"/>
      <c r="SU124" s="53"/>
      <c r="SV124" s="53"/>
      <c r="SW124" s="53"/>
      <c r="SX124" s="53"/>
      <c r="SY124" s="53"/>
      <c r="SZ124" s="53"/>
      <c r="TA124" s="53"/>
      <c r="TB124" s="53"/>
      <c r="TC124" s="53"/>
      <c r="TD124" s="53"/>
      <c r="TE124" s="53"/>
      <c r="TF124" s="53"/>
      <c r="TG124" s="53"/>
      <c r="TH124" s="53"/>
      <c r="TI124" s="53"/>
      <c r="TJ124" s="53"/>
      <c r="TK124" s="53"/>
      <c r="TL124" s="53"/>
      <c r="TM124" s="53"/>
      <c r="TN124" s="53"/>
      <c r="TO124" s="53"/>
      <c r="TP124" s="53"/>
      <c r="TQ124" s="53"/>
      <c r="TR124" s="53"/>
      <c r="TS124" s="53"/>
      <c r="TT124" s="53"/>
      <c r="TU124" s="53"/>
      <c r="TV124" s="53"/>
      <c r="TW124" s="53"/>
      <c r="TX124" s="53"/>
      <c r="TY124" s="53"/>
      <c r="TZ124" s="53"/>
      <c r="UA124" s="53"/>
      <c r="UB124" s="53"/>
      <c r="UC124" s="53"/>
      <c r="UD124" s="53"/>
      <c r="UE124" s="53"/>
      <c r="UF124" s="53"/>
      <c r="UG124" s="53"/>
      <c r="UH124" s="53"/>
      <c r="UI124" s="53"/>
      <c r="UJ124" s="53"/>
      <c r="UK124" s="53"/>
      <c r="UL124" s="53"/>
      <c r="UM124" s="53"/>
      <c r="UN124" s="53"/>
      <c r="UO124" s="53"/>
      <c r="UP124" s="53"/>
      <c r="UQ124" s="53"/>
      <c r="UR124" s="53"/>
      <c r="US124" s="53"/>
      <c r="UT124" s="53"/>
      <c r="UU124" s="53"/>
      <c r="UV124" s="53"/>
      <c r="UW124" s="53"/>
      <c r="UX124" s="53"/>
      <c r="UY124" s="53"/>
      <c r="UZ124" s="53"/>
      <c r="VA124" s="53"/>
      <c r="VB124" s="53"/>
      <c r="VC124" s="53"/>
      <c r="VD124" s="53"/>
      <c r="VE124" s="53"/>
      <c r="VF124" s="53"/>
      <c r="VG124" s="53"/>
      <c r="VH124" s="53"/>
      <c r="VI124" s="53"/>
      <c r="VJ124" s="53"/>
      <c r="VK124" s="53"/>
      <c r="VL124" s="53"/>
    </row>
    <row r="125" spans="1:584" s="47" customFormat="1" ht="49.5" customHeight="1" x14ac:dyDescent="0.25">
      <c r="A125" s="45" t="s">
        <v>437</v>
      </c>
      <c r="B125" s="92" t="str">
        <f>'дод 3'!A65</f>
        <v>3022</v>
      </c>
      <c r="C125" s="92">
        <f>'дод 3'!B65</f>
        <v>1060</v>
      </c>
      <c r="D125" s="48" t="str">
        <f>'дод 3'!C65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5" s="115">
        <v>292387</v>
      </c>
      <c r="F125" s="115"/>
      <c r="G125" s="115"/>
      <c r="H125" s="115">
        <v>186368.39</v>
      </c>
      <c r="I125" s="115"/>
      <c r="J125" s="115"/>
      <c r="K125" s="164">
        <f t="shared" si="17"/>
        <v>63.740313351824817</v>
      </c>
      <c r="L125" s="115">
        <f t="shared" si="37"/>
        <v>0</v>
      </c>
      <c r="M125" s="115"/>
      <c r="N125" s="115"/>
      <c r="O125" s="115"/>
      <c r="P125" s="115"/>
      <c r="Q125" s="115"/>
      <c r="R125" s="115">
        <f t="shared" si="19"/>
        <v>0</v>
      </c>
      <c r="S125" s="115"/>
      <c r="T125" s="115"/>
      <c r="U125" s="115"/>
      <c r="V125" s="115"/>
      <c r="W125" s="115"/>
      <c r="X125" s="149"/>
      <c r="Y125" s="115">
        <f t="shared" si="36"/>
        <v>186368.39</v>
      </c>
      <c r="Z125" s="187"/>
      <c r="AA125" s="53"/>
      <c r="AB125" s="53"/>
      <c r="AC125" s="53"/>
      <c r="AD125" s="53"/>
      <c r="AE125" s="79"/>
      <c r="AF125" s="79"/>
      <c r="AG125" s="79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  <c r="IO125" s="53"/>
      <c r="IP125" s="53"/>
      <c r="IQ125" s="53"/>
      <c r="IR125" s="53"/>
      <c r="IS125" s="53"/>
      <c r="IT125" s="53"/>
      <c r="IU125" s="53"/>
      <c r="IV125" s="53"/>
      <c r="IW125" s="53"/>
      <c r="IX125" s="53"/>
      <c r="IY125" s="53"/>
      <c r="IZ125" s="53"/>
      <c r="JA125" s="53"/>
      <c r="JB125" s="53"/>
      <c r="JC125" s="53"/>
      <c r="JD125" s="53"/>
      <c r="JE125" s="53"/>
      <c r="JF125" s="53"/>
      <c r="JG125" s="53"/>
      <c r="JH125" s="53"/>
      <c r="JI125" s="53"/>
      <c r="JJ125" s="53"/>
      <c r="JK125" s="53"/>
      <c r="JL125" s="53"/>
      <c r="JM125" s="53"/>
      <c r="JN125" s="53"/>
      <c r="JO125" s="53"/>
      <c r="JP125" s="53"/>
      <c r="JQ125" s="53"/>
      <c r="JR125" s="53"/>
      <c r="JS125" s="53"/>
      <c r="JT125" s="53"/>
      <c r="JU125" s="53"/>
      <c r="JV125" s="53"/>
      <c r="JW125" s="53"/>
      <c r="JX125" s="53"/>
      <c r="JY125" s="53"/>
      <c r="JZ125" s="53"/>
      <c r="KA125" s="53"/>
      <c r="KB125" s="53"/>
      <c r="KC125" s="53"/>
      <c r="KD125" s="53"/>
      <c r="KE125" s="53"/>
      <c r="KF125" s="53"/>
      <c r="KG125" s="53"/>
      <c r="KH125" s="53"/>
      <c r="KI125" s="53"/>
      <c r="KJ125" s="53"/>
      <c r="KK125" s="53"/>
      <c r="KL125" s="53"/>
      <c r="KM125" s="53"/>
      <c r="KN125" s="53"/>
      <c r="KO125" s="53"/>
      <c r="KP125" s="53"/>
      <c r="KQ125" s="53"/>
      <c r="KR125" s="53"/>
      <c r="KS125" s="53"/>
      <c r="KT125" s="53"/>
      <c r="KU125" s="53"/>
      <c r="KV125" s="53"/>
      <c r="KW125" s="53"/>
      <c r="KX125" s="53"/>
      <c r="KY125" s="53"/>
      <c r="KZ125" s="53"/>
      <c r="LA125" s="53"/>
      <c r="LB125" s="53"/>
      <c r="LC125" s="53"/>
      <c r="LD125" s="53"/>
      <c r="LE125" s="53"/>
      <c r="LF125" s="53"/>
      <c r="LG125" s="53"/>
      <c r="LH125" s="53"/>
      <c r="LI125" s="53"/>
      <c r="LJ125" s="53"/>
      <c r="LK125" s="53"/>
      <c r="LL125" s="53"/>
      <c r="LM125" s="53"/>
      <c r="LN125" s="53"/>
      <c r="LO125" s="53"/>
      <c r="LP125" s="53"/>
      <c r="LQ125" s="53"/>
      <c r="LR125" s="53"/>
      <c r="LS125" s="53"/>
      <c r="LT125" s="53"/>
      <c r="LU125" s="53"/>
      <c r="LV125" s="53"/>
      <c r="LW125" s="53"/>
      <c r="LX125" s="53"/>
      <c r="LY125" s="53"/>
      <c r="LZ125" s="53"/>
      <c r="MA125" s="53"/>
      <c r="MB125" s="53"/>
      <c r="MC125" s="53"/>
      <c r="MD125" s="53"/>
      <c r="ME125" s="53"/>
      <c r="MF125" s="53"/>
      <c r="MG125" s="53"/>
      <c r="MH125" s="53"/>
      <c r="MI125" s="53"/>
      <c r="MJ125" s="53"/>
      <c r="MK125" s="53"/>
      <c r="ML125" s="53"/>
      <c r="MM125" s="53"/>
      <c r="MN125" s="53"/>
      <c r="MO125" s="53"/>
      <c r="MP125" s="53"/>
      <c r="MQ125" s="53"/>
      <c r="MR125" s="53"/>
      <c r="MS125" s="53"/>
      <c r="MT125" s="53"/>
      <c r="MU125" s="53"/>
      <c r="MV125" s="53"/>
      <c r="MW125" s="53"/>
      <c r="MX125" s="53"/>
      <c r="MY125" s="53"/>
      <c r="MZ125" s="53"/>
      <c r="NA125" s="53"/>
      <c r="NB125" s="53"/>
      <c r="NC125" s="53"/>
      <c r="ND125" s="53"/>
      <c r="NE125" s="53"/>
      <c r="NF125" s="53"/>
      <c r="NG125" s="53"/>
      <c r="NH125" s="53"/>
      <c r="NI125" s="53"/>
      <c r="NJ125" s="53"/>
      <c r="NK125" s="53"/>
      <c r="NL125" s="53"/>
      <c r="NM125" s="53"/>
      <c r="NN125" s="53"/>
      <c r="NO125" s="53"/>
      <c r="NP125" s="53"/>
      <c r="NQ125" s="53"/>
      <c r="NR125" s="53"/>
      <c r="NS125" s="53"/>
      <c r="NT125" s="53"/>
      <c r="NU125" s="53"/>
      <c r="NV125" s="53"/>
      <c r="NW125" s="53"/>
      <c r="NX125" s="53"/>
      <c r="NY125" s="53"/>
      <c r="NZ125" s="53"/>
      <c r="OA125" s="53"/>
      <c r="OB125" s="53"/>
      <c r="OC125" s="53"/>
      <c r="OD125" s="53"/>
      <c r="OE125" s="53"/>
      <c r="OF125" s="53"/>
      <c r="OG125" s="53"/>
      <c r="OH125" s="53"/>
      <c r="OI125" s="53"/>
      <c r="OJ125" s="53"/>
      <c r="OK125" s="53"/>
      <c r="OL125" s="53"/>
      <c r="OM125" s="53"/>
      <c r="ON125" s="53"/>
      <c r="OO125" s="53"/>
      <c r="OP125" s="53"/>
      <c r="OQ125" s="53"/>
      <c r="OR125" s="53"/>
      <c r="OS125" s="53"/>
      <c r="OT125" s="53"/>
      <c r="OU125" s="53"/>
      <c r="OV125" s="53"/>
      <c r="OW125" s="53"/>
      <c r="OX125" s="53"/>
      <c r="OY125" s="53"/>
      <c r="OZ125" s="53"/>
      <c r="PA125" s="53"/>
      <c r="PB125" s="53"/>
      <c r="PC125" s="53"/>
      <c r="PD125" s="53"/>
      <c r="PE125" s="53"/>
      <c r="PF125" s="53"/>
      <c r="PG125" s="53"/>
      <c r="PH125" s="53"/>
      <c r="PI125" s="53"/>
      <c r="PJ125" s="53"/>
      <c r="PK125" s="53"/>
      <c r="PL125" s="53"/>
      <c r="PM125" s="53"/>
      <c r="PN125" s="53"/>
      <c r="PO125" s="53"/>
      <c r="PP125" s="53"/>
      <c r="PQ125" s="53"/>
      <c r="PR125" s="53"/>
      <c r="PS125" s="53"/>
      <c r="PT125" s="53"/>
      <c r="PU125" s="53"/>
      <c r="PV125" s="53"/>
      <c r="PW125" s="53"/>
      <c r="PX125" s="53"/>
      <c r="PY125" s="53"/>
      <c r="PZ125" s="53"/>
      <c r="QA125" s="53"/>
      <c r="QB125" s="53"/>
      <c r="QC125" s="53"/>
      <c r="QD125" s="53"/>
      <c r="QE125" s="53"/>
      <c r="QF125" s="53"/>
      <c r="QG125" s="53"/>
      <c r="QH125" s="53"/>
      <c r="QI125" s="53"/>
      <c r="QJ125" s="53"/>
      <c r="QK125" s="53"/>
      <c r="QL125" s="53"/>
      <c r="QM125" s="53"/>
      <c r="QN125" s="53"/>
      <c r="QO125" s="53"/>
      <c r="QP125" s="53"/>
      <c r="QQ125" s="53"/>
      <c r="QR125" s="53"/>
      <c r="QS125" s="53"/>
      <c r="QT125" s="53"/>
      <c r="QU125" s="53"/>
      <c r="QV125" s="53"/>
      <c r="QW125" s="53"/>
      <c r="QX125" s="53"/>
      <c r="QY125" s="53"/>
      <c r="QZ125" s="53"/>
      <c r="RA125" s="53"/>
      <c r="RB125" s="53"/>
      <c r="RC125" s="53"/>
      <c r="RD125" s="53"/>
      <c r="RE125" s="53"/>
      <c r="RF125" s="53"/>
      <c r="RG125" s="53"/>
      <c r="RH125" s="53"/>
      <c r="RI125" s="53"/>
      <c r="RJ125" s="53"/>
      <c r="RK125" s="53"/>
      <c r="RL125" s="53"/>
      <c r="RM125" s="53"/>
      <c r="RN125" s="53"/>
      <c r="RO125" s="53"/>
      <c r="RP125" s="53"/>
      <c r="RQ125" s="53"/>
      <c r="RR125" s="53"/>
      <c r="RS125" s="53"/>
      <c r="RT125" s="53"/>
      <c r="RU125" s="53"/>
      <c r="RV125" s="53"/>
      <c r="RW125" s="53"/>
      <c r="RX125" s="53"/>
      <c r="RY125" s="53"/>
      <c r="RZ125" s="53"/>
      <c r="SA125" s="53"/>
      <c r="SB125" s="53"/>
      <c r="SC125" s="53"/>
      <c r="SD125" s="53"/>
      <c r="SE125" s="53"/>
      <c r="SF125" s="53"/>
      <c r="SG125" s="53"/>
      <c r="SH125" s="53"/>
      <c r="SI125" s="53"/>
      <c r="SJ125" s="53"/>
      <c r="SK125" s="53"/>
      <c r="SL125" s="53"/>
      <c r="SM125" s="53"/>
      <c r="SN125" s="53"/>
      <c r="SO125" s="53"/>
      <c r="SP125" s="53"/>
      <c r="SQ125" s="53"/>
      <c r="SR125" s="53"/>
      <c r="SS125" s="53"/>
      <c r="ST125" s="53"/>
      <c r="SU125" s="53"/>
      <c r="SV125" s="53"/>
      <c r="SW125" s="53"/>
      <c r="SX125" s="53"/>
      <c r="SY125" s="53"/>
      <c r="SZ125" s="53"/>
      <c r="TA125" s="53"/>
      <c r="TB125" s="53"/>
      <c r="TC125" s="53"/>
      <c r="TD125" s="53"/>
      <c r="TE125" s="53"/>
      <c r="TF125" s="53"/>
      <c r="TG125" s="53"/>
      <c r="TH125" s="53"/>
      <c r="TI125" s="53"/>
      <c r="TJ125" s="53"/>
      <c r="TK125" s="53"/>
      <c r="TL125" s="53"/>
      <c r="TM125" s="53"/>
      <c r="TN125" s="53"/>
      <c r="TO125" s="53"/>
      <c r="TP125" s="53"/>
      <c r="TQ125" s="53"/>
      <c r="TR125" s="53"/>
      <c r="TS125" s="53"/>
      <c r="TT125" s="53"/>
      <c r="TU125" s="53"/>
      <c r="TV125" s="53"/>
      <c r="TW125" s="53"/>
      <c r="TX125" s="53"/>
      <c r="TY125" s="53"/>
      <c r="TZ125" s="53"/>
      <c r="UA125" s="53"/>
      <c r="UB125" s="53"/>
      <c r="UC125" s="53"/>
      <c r="UD125" s="53"/>
      <c r="UE125" s="53"/>
      <c r="UF125" s="53"/>
      <c r="UG125" s="53"/>
      <c r="UH125" s="53"/>
      <c r="UI125" s="53"/>
      <c r="UJ125" s="53"/>
      <c r="UK125" s="53"/>
      <c r="UL125" s="53"/>
      <c r="UM125" s="53"/>
      <c r="UN125" s="53"/>
      <c r="UO125" s="53"/>
      <c r="UP125" s="53"/>
      <c r="UQ125" s="53"/>
      <c r="UR125" s="53"/>
      <c r="US125" s="53"/>
      <c r="UT125" s="53"/>
      <c r="UU125" s="53"/>
      <c r="UV125" s="53"/>
      <c r="UW125" s="53"/>
      <c r="UX125" s="53"/>
      <c r="UY125" s="53"/>
      <c r="UZ125" s="53"/>
      <c r="VA125" s="53"/>
      <c r="VB125" s="53"/>
      <c r="VC125" s="53"/>
      <c r="VD125" s="53"/>
      <c r="VE125" s="53"/>
      <c r="VF125" s="53"/>
      <c r="VG125" s="53"/>
      <c r="VH125" s="53"/>
      <c r="VI125" s="53"/>
      <c r="VJ125" s="53"/>
      <c r="VK125" s="53"/>
      <c r="VL125" s="53"/>
    </row>
    <row r="126" spans="1:584" s="47" customFormat="1" ht="15" customHeight="1" x14ac:dyDescent="0.25">
      <c r="A126" s="45"/>
      <c r="B126" s="92"/>
      <c r="C126" s="92"/>
      <c r="D126" s="48" t="str">
        <f>'дод 3'!C66</f>
        <v>у т.ч. за рахунок субвенцій з держбюджету</v>
      </c>
      <c r="E126" s="115">
        <v>292387</v>
      </c>
      <c r="F126" s="115"/>
      <c r="G126" s="115"/>
      <c r="H126" s="115">
        <v>186368.39</v>
      </c>
      <c r="I126" s="115"/>
      <c r="J126" s="115"/>
      <c r="K126" s="164">
        <f t="shared" si="17"/>
        <v>63.740313351824817</v>
      </c>
      <c r="L126" s="115">
        <f t="shared" si="37"/>
        <v>0</v>
      </c>
      <c r="M126" s="115"/>
      <c r="N126" s="115"/>
      <c r="O126" s="115"/>
      <c r="P126" s="115"/>
      <c r="Q126" s="115"/>
      <c r="R126" s="115">
        <f t="shared" si="19"/>
        <v>0</v>
      </c>
      <c r="S126" s="115"/>
      <c r="T126" s="115"/>
      <c r="U126" s="115"/>
      <c r="V126" s="115"/>
      <c r="W126" s="115"/>
      <c r="X126" s="149"/>
      <c r="Y126" s="115">
        <f t="shared" si="36"/>
        <v>186368.39</v>
      </c>
      <c r="Z126" s="187"/>
      <c r="AA126" s="53"/>
      <c r="AB126" s="53"/>
      <c r="AC126" s="53"/>
      <c r="AD126" s="53"/>
      <c r="AE126" s="79"/>
      <c r="AF126" s="79"/>
      <c r="AG126" s="79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/>
      <c r="IF126" s="53"/>
      <c r="IG126" s="53"/>
      <c r="IH126" s="53"/>
      <c r="II126" s="53"/>
      <c r="IJ126" s="53"/>
      <c r="IK126" s="53"/>
      <c r="IL126" s="53"/>
      <c r="IM126" s="53"/>
      <c r="IN126" s="53"/>
      <c r="IO126" s="53"/>
      <c r="IP126" s="53"/>
      <c r="IQ126" s="53"/>
      <c r="IR126" s="53"/>
      <c r="IS126" s="53"/>
      <c r="IT126" s="53"/>
      <c r="IU126" s="53"/>
      <c r="IV126" s="53"/>
      <c r="IW126" s="53"/>
      <c r="IX126" s="53"/>
      <c r="IY126" s="53"/>
      <c r="IZ126" s="53"/>
      <c r="JA126" s="53"/>
      <c r="JB126" s="53"/>
      <c r="JC126" s="53"/>
      <c r="JD126" s="53"/>
      <c r="JE126" s="53"/>
      <c r="JF126" s="53"/>
      <c r="JG126" s="53"/>
      <c r="JH126" s="53"/>
      <c r="JI126" s="53"/>
      <c r="JJ126" s="53"/>
      <c r="JK126" s="53"/>
      <c r="JL126" s="53"/>
      <c r="JM126" s="53"/>
      <c r="JN126" s="53"/>
      <c r="JO126" s="53"/>
      <c r="JP126" s="53"/>
      <c r="JQ126" s="53"/>
      <c r="JR126" s="53"/>
      <c r="JS126" s="53"/>
      <c r="JT126" s="53"/>
      <c r="JU126" s="53"/>
      <c r="JV126" s="53"/>
      <c r="JW126" s="53"/>
      <c r="JX126" s="53"/>
      <c r="JY126" s="53"/>
      <c r="JZ126" s="53"/>
      <c r="KA126" s="53"/>
      <c r="KB126" s="53"/>
      <c r="KC126" s="53"/>
      <c r="KD126" s="53"/>
      <c r="KE126" s="53"/>
      <c r="KF126" s="53"/>
      <c r="KG126" s="53"/>
      <c r="KH126" s="53"/>
      <c r="KI126" s="53"/>
      <c r="KJ126" s="53"/>
      <c r="KK126" s="53"/>
      <c r="KL126" s="53"/>
      <c r="KM126" s="53"/>
      <c r="KN126" s="53"/>
      <c r="KO126" s="53"/>
      <c r="KP126" s="53"/>
      <c r="KQ126" s="53"/>
      <c r="KR126" s="53"/>
      <c r="KS126" s="53"/>
      <c r="KT126" s="53"/>
      <c r="KU126" s="53"/>
      <c r="KV126" s="53"/>
      <c r="KW126" s="53"/>
      <c r="KX126" s="53"/>
      <c r="KY126" s="53"/>
      <c r="KZ126" s="53"/>
      <c r="LA126" s="53"/>
      <c r="LB126" s="53"/>
      <c r="LC126" s="53"/>
      <c r="LD126" s="53"/>
      <c r="LE126" s="53"/>
      <c r="LF126" s="53"/>
      <c r="LG126" s="53"/>
      <c r="LH126" s="53"/>
      <c r="LI126" s="53"/>
      <c r="LJ126" s="53"/>
      <c r="LK126" s="53"/>
      <c r="LL126" s="53"/>
      <c r="LM126" s="53"/>
      <c r="LN126" s="53"/>
      <c r="LO126" s="53"/>
      <c r="LP126" s="53"/>
      <c r="LQ126" s="53"/>
      <c r="LR126" s="53"/>
      <c r="LS126" s="53"/>
      <c r="LT126" s="53"/>
      <c r="LU126" s="53"/>
      <c r="LV126" s="53"/>
      <c r="LW126" s="53"/>
      <c r="LX126" s="53"/>
      <c r="LY126" s="53"/>
      <c r="LZ126" s="53"/>
      <c r="MA126" s="53"/>
      <c r="MB126" s="53"/>
      <c r="MC126" s="53"/>
      <c r="MD126" s="53"/>
      <c r="ME126" s="53"/>
      <c r="MF126" s="53"/>
      <c r="MG126" s="53"/>
      <c r="MH126" s="53"/>
      <c r="MI126" s="53"/>
      <c r="MJ126" s="53"/>
      <c r="MK126" s="53"/>
      <c r="ML126" s="53"/>
      <c r="MM126" s="53"/>
      <c r="MN126" s="53"/>
      <c r="MO126" s="53"/>
      <c r="MP126" s="53"/>
      <c r="MQ126" s="53"/>
      <c r="MR126" s="53"/>
      <c r="MS126" s="53"/>
      <c r="MT126" s="53"/>
      <c r="MU126" s="53"/>
      <c r="MV126" s="53"/>
      <c r="MW126" s="53"/>
      <c r="MX126" s="53"/>
      <c r="MY126" s="53"/>
      <c r="MZ126" s="53"/>
      <c r="NA126" s="53"/>
      <c r="NB126" s="53"/>
      <c r="NC126" s="53"/>
      <c r="ND126" s="53"/>
      <c r="NE126" s="53"/>
      <c r="NF126" s="53"/>
      <c r="NG126" s="53"/>
      <c r="NH126" s="53"/>
      <c r="NI126" s="53"/>
      <c r="NJ126" s="53"/>
      <c r="NK126" s="53"/>
      <c r="NL126" s="53"/>
      <c r="NM126" s="53"/>
      <c r="NN126" s="53"/>
      <c r="NO126" s="53"/>
      <c r="NP126" s="53"/>
      <c r="NQ126" s="53"/>
      <c r="NR126" s="53"/>
      <c r="NS126" s="53"/>
      <c r="NT126" s="53"/>
      <c r="NU126" s="53"/>
      <c r="NV126" s="53"/>
      <c r="NW126" s="53"/>
      <c r="NX126" s="53"/>
      <c r="NY126" s="53"/>
      <c r="NZ126" s="53"/>
      <c r="OA126" s="53"/>
      <c r="OB126" s="53"/>
      <c r="OC126" s="53"/>
      <c r="OD126" s="53"/>
      <c r="OE126" s="53"/>
      <c r="OF126" s="53"/>
      <c r="OG126" s="53"/>
      <c r="OH126" s="53"/>
      <c r="OI126" s="53"/>
      <c r="OJ126" s="53"/>
      <c r="OK126" s="53"/>
      <c r="OL126" s="53"/>
      <c r="OM126" s="53"/>
      <c r="ON126" s="53"/>
      <c r="OO126" s="53"/>
      <c r="OP126" s="53"/>
      <c r="OQ126" s="53"/>
      <c r="OR126" s="53"/>
      <c r="OS126" s="53"/>
      <c r="OT126" s="53"/>
      <c r="OU126" s="53"/>
      <c r="OV126" s="53"/>
      <c r="OW126" s="53"/>
      <c r="OX126" s="53"/>
      <c r="OY126" s="53"/>
      <c r="OZ126" s="53"/>
      <c r="PA126" s="53"/>
      <c r="PB126" s="53"/>
      <c r="PC126" s="53"/>
      <c r="PD126" s="53"/>
      <c r="PE126" s="53"/>
      <c r="PF126" s="53"/>
      <c r="PG126" s="53"/>
      <c r="PH126" s="53"/>
      <c r="PI126" s="53"/>
      <c r="PJ126" s="53"/>
      <c r="PK126" s="53"/>
      <c r="PL126" s="53"/>
      <c r="PM126" s="53"/>
      <c r="PN126" s="53"/>
      <c r="PO126" s="53"/>
      <c r="PP126" s="53"/>
      <c r="PQ126" s="53"/>
      <c r="PR126" s="53"/>
      <c r="PS126" s="53"/>
      <c r="PT126" s="53"/>
      <c r="PU126" s="53"/>
      <c r="PV126" s="53"/>
      <c r="PW126" s="53"/>
      <c r="PX126" s="53"/>
      <c r="PY126" s="53"/>
      <c r="PZ126" s="53"/>
      <c r="QA126" s="53"/>
      <c r="QB126" s="53"/>
      <c r="QC126" s="53"/>
      <c r="QD126" s="53"/>
      <c r="QE126" s="53"/>
      <c r="QF126" s="53"/>
      <c r="QG126" s="53"/>
      <c r="QH126" s="53"/>
      <c r="QI126" s="53"/>
      <c r="QJ126" s="53"/>
      <c r="QK126" s="53"/>
      <c r="QL126" s="53"/>
      <c r="QM126" s="53"/>
      <c r="QN126" s="53"/>
      <c r="QO126" s="53"/>
      <c r="QP126" s="53"/>
      <c r="QQ126" s="53"/>
      <c r="QR126" s="53"/>
      <c r="QS126" s="53"/>
      <c r="QT126" s="53"/>
      <c r="QU126" s="53"/>
      <c r="QV126" s="53"/>
      <c r="QW126" s="53"/>
      <c r="QX126" s="53"/>
      <c r="QY126" s="53"/>
      <c r="QZ126" s="53"/>
      <c r="RA126" s="53"/>
      <c r="RB126" s="53"/>
      <c r="RC126" s="53"/>
      <c r="RD126" s="53"/>
      <c r="RE126" s="53"/>
      <c r="RF126" s="53"/>
      <c r="RG126" s="53"/>
      <c r="RH126" s="53"/>
      <c r="RI126" s="53"/>
      <c r="RJ126" s="53"/>
      <c r="RK126" s="53"/>
      <c r="RL126" s="53"/>
      <c r="RM126" s="53"/>
      <c r="RN126" s="53"/>
      <c r="RO126" s="53"/>
      <c r="RP126" s="53"/>
      <c r="RQ126" s="53"/>
      <c r="RR126" s="53"/>
      <c r="RS126" s="53"/>
      <c r="RT126" s="53"/>
      <c r="RU126" s="53"/>
      <c r="RV126" s="53"/>
      <c r="RW126" s="53"/>
      <c r="RX126" s="53"/>
      <c r="RY126" s="53"/>
      <c r="RZ126" s="53"/>
      <c r="SA126" s="53"/>
      <c r="SB126" s="53"/>
      <c r="SC126" s="53"/>
      <c r="SD126" s="53"/>
      <c r="SE126" s="53"/>
      <c r="SF126" s="53"/>
      <c r="SG126" s="53"/>
      <c r="SH126" s="53"/>
      <c r="SI126" s="53"/>
      <c r="SJ126" s="53"/>
      <c r="SK126" s="53"/>
      <c r="SL126" s="53"/>
      <c r="SM126" s="53"/>
      <c r="SN126" s="53"/>
      <c r="SO126" s="53"/>
      <c r="SP126" s="53"/>
      <c r="SQ126" s="53"/>
      <c r="SR126" s="53"/>
      <c r="SS126" s="53"/>
      <c r="ST126" s="53"/>
      <c r="SU126" s="53"/>
      <c r="SV126" s="53"/>
      <c r="SW126" s="53"/>
      <c r="SX126" s="53"/>
      <c r="SY126" s="53"/>
      <c r="SZ126" s="53"/>
      <c r="TA126" s="53"/>
      <c r="TB126" s="53"/>
      <c r="TC126" s="53"/>
      <c r="TD126" s="53"/>
      <c r="TE126" s="53"/>
      <c r="TF126" s="53"/>
      <c r="TG126" s="53"/>
      <c r="TH126" s="53"/>
      <c r="TI126" s="53"/>
      <c r="TJ126" s="53"/>
      <c r="TK126" s="53"/>
      <c r="TL126" s="53"/>
      <c r="TM126" s="53"/>
      <c r="TN126" s="53"/>
      <c r="TO126" s="53"/>
      <c r="TP126" s="53"/>
      <c r="TQ126" s="53"/>
      <c r="TR126" s="53"/>
      <c r="TS126" s="53"/>
      <c r="TT126" s="53"/>
      <c r="TU126" s="53"/>
      <c r="TV126" s="53"/>
      <c r="TW126" s="53"/>
      <c r="TX126" s="53"/>
      <c r="TY126" s="53"/>
      <c r="TZ126" s="53"/>
      <c r="UA126" s="53"/>
      <c r="UB126" s="53"/>
      <c r="UC126" s="53"/>
      <c r="UD126" s="53"/>
      <c r="UE126" s="53"/>
      <c r="UF126" s="53"/>
      <c r="UG126" s="53"/>
      <c r="UH126" s="53"/>
      <c r="UI126" s="53"/>
      <c r="UJ126" s="53"/>
      <c r="UK126" s="53"/>
      <c r="UL126" s="53"/>
      <c r="UM126" s="53"/>
      <c r="UN126" s="53"/>
      <c r="UO126" s="53"/>
      <c r="UP126" s="53"/>
      <c r="UQ126" s="53"/>
      <c r="UR126" s="53"/>
      <c r="US126" s="53"/>
      <c r="UT126" s="53"/>
      <c r="UU126" s="53"/>
      <c r="UV126" s="53"/>
      <c r="UW126" s="53"/>
      <c r="UX126" s="53"/>
      <c r="UY126" s="53"/>
      <c r="UZ126" s="53"/>
      <c r="VA126" s="53"/>
      <c r="VB126" s="53"/>
      <c r="VC126" s="53"/>
      <c r="VD126" s="53"/>
      <c r="VE126" s="53"/>
      <c r="VF126" s="53"/>
      <c r="VG126" s="53"/>
      <c r="VH126" s="53"/>
      <c r="VI126" s="53"/>
      <c r="VJ126" s="53"/>
      <c r="VK126" s="53"/>
      <c r="VL126" s="53"/>
    </row>
    <row r="127" spans="1:584" s="53" customFormat="1" ht="36" customHeight="1" x14ac:dyDescent="0.25">
      <c r="A127" s="45" t="s">
        <v>243</v>
      </c>
      <c r="B127" s="91" t="str">
        <f>'дод 3'!A67</f>
        <v>3031</v>
      </c>
      <c r="C127" s="91" t="str">
        <f>'дод 3'!B67</f>
        <v>1030</v>
      </c>
      <c r="D127" s="48" t="str">
        <f>'дод 3'!C67</f>
        <v>Надання інших пільг окремим категоріям громадян відповідно до законодавства</v>
      </c>
      <c r="E127" s="115">
        <v>563976</v>
      </c>
      <c r="F127" s="115"/>
      <c r="G127" s="115"/>
      <c r="H127" s="115">
        <v>545073.67000000004</v>
      </c>
      <c r="I127" s="115"/>
      <c r="J127" s="115"/>
      <c r="K127" s="164">
        <f t="shared" si="17"/>
        <v>96.648380427535926</v>
      </c>
      <c r="L127" s="115">
        <f t="shared" si="37"/>
        <v>0</v>
      </c>
      <c r="M127" s="115">
        <f>232600-190600-42000</f>
        <v>0</v>
      </c>
      <c r="N127" s="115"/>
      <c r="O127" s="115"/>
      <c r="P127" s="115"/>
      <c r="Q127" s="115">
        <f>232600-190600-42000</f>
        <v>0</v>
      </c>
      <c r="R127" s="115">
        <f t="shared" si="19"/>
        <v>0</v>
      </c>
      <c r="S127" s="115"/>
      <c r="T127" s="115"/>
      <c r="U127" s="115"/>
      <c r="V127" s="115"/>
      <c r="W127" s="115"/>
      <c r="X127" s="149"/>
      <c r="Y127" s="115">
        <f t="shared" si="36"/>
        <v>545073.67000000004</v>
      </c>
      <c r="Z127" s="187"/>
      <c r="AE127" s="79"/>
      <c r="AF127" s="79"/>
      <c r="AG127" s="79"/>
    </row>
    <row r="128" spans="1:584" s="53" customFormat="1" ht="30" x14ac:dyDescent="0.25">
      <c r="A128" s="45" t="s">
        <v>244</v>
      </c>
      <c r="B128" s="91" t="str">
        <f>'дод 3'!A68</f>
        <v>3032</v>
      </c>
      <c r="C128" s="91" t="str">
        <f>'дод 3'!B68</f>
        <v>1070</v>
      </c>
      <c r="D128" s="48" t="str">
        <f>'дод 3'!C68</f>
        <v>Надання пільг окремим категоріям громадян з оплати послуг зв'язку</v>
      </c>
      <c r="E128" s="115">
        <v>1342557</v>
      </c>
      <c r="F128" s="115"/>
      <c r="G128" s="115"/>
      <c r="H128" s="115">
        <v>1327224.8899999999</v>
      </c>
      <c r="I128" s="115"/>
      <c r="J128" s="115"/>
      <c r="K128" s="164">
        <f t="shared" si="17"/>
        <v>98.857991876694982</v>
      </c>
      <c r="L128" s="115">
        <f t="shared" si="37"/>
        <v>0</v>
      </c>
      <c r="M128" s="115"/>
      <c r="N128" s="115"/>
      <c r="O128" s="115"/>
      <c r="P128" s="115"/>
      <c r="Q128" s="115"/>
      <c r="R128" s="115">
        <f t="shared" si="19"/>
        <v>0</v>
      </c>
      <c r="S128" s="115"/>
      <c r="T128" s="115"/>
      <c r="U128" s="115"/>
      <c r="V128" s="115"/>
      <c r="W128" s="115"/>
      <c r="X128" s="149"/>
      <c r="Y128" s="115">
        <f t="shared" si="36"/>
        <v>1327224.8899999999</v>
      </c>
      <c r="Z128" s="187"/>
      <c r="AE128" s="79"/>
      <c r="AF128" s="79"/>
      <c r="AG128" s="79"/>
    </row>
    <row r="129" spans="1:33" s="53" customFormat="1" ht="38.25" customHeight="1" x14ac:dyDescent="0.25">
      <c r="A129" s="45" t="s">
        <v>245</v>
      </c>
      <c r="B129" s="91" t="str">
        <f>'дод 3'!A69</f>
        <v>3033</v>
      </c>
      <c r="C129" s="91" t="str">
        <f>'дод 3'!B69</f>
        <v>1070</v>
      </c>
      <c r="D129" s="48" t="str">
        <f>'дод 3'!C69</f>
        <v>Компенсаційні виплати на пільговий проїзд автомобільним транспортом окремим категоріям громадян</v>
      </c>
      <c r="E129" s="115">
        <v>24159582.820000004</v>
      </c>
      <c r="F129" s="115"/>
      <c r="G129" s="115"/>
      <c r="H129" s="115">
        <v>24159582.82</v>
      </c>
      <c r="I129" s="115"/>
      <c r="J129" s="115"/>
      <c r="K129" s="164">
        <f t="shared" si="17"/>
        <v>99.999999999999986</v>
      </c>
      <c r="L129" s="115">
        <f t="shared" si="37"/>
        <v>0</v>
      </c>
      <c r="M129" s="115"/>
      <c r="N129" s="115"/>
      <c r="O129" s="115"/>
      <c r="P129" s="115"/>
      <c r="Q129" s="115"/>
      <c r="R129" s="115">
        <f t="shared" si="19"/>
        <v>0</v>
      </c>
      <c r="S129" s="115"/>
      <c r="T129" s="115"/>
      <c r="U129" s="115"/>
      <c r="V129" s="115"/>
      <c r="W129" s="115"/>
      <c r="X129" s="149"/>
      <c r="Y129" s="115">
        <f t="shared" si="36"/>
        <v>24159582.82</v>
      </c>
      <c r="Z129" s="187"/>
      <c r="AE129" s="79"/>
      <c r="AF129" s="79"/>
      <c r="AG129" s="79"/>
    </row>
    <row r="130" spans="1:33" s="53" customFormat="1" ht="30" x14ac:dyDescent="0.25">
      <c r="A130" s="45" t="s">
        <v>493</v>
      </c>
      <c r="B130" s="91" t="str">
        <f>'дод 3'!A70</f>
        <v>3035</v>
      </c>
      <c r="C130" s="91" t="str">
        <f>'дод 3'!B70</f>
        <v>1070</v>
      </c>
      <c r="D130" s="48" t="str">
        <f>'дод 3'!C70</f>
        <v>Компенсаційні виплати за пільговий проїзд окремих категорій громадян на залізничному транспорті</v>
      </c>
      <c r="E130" s="115">
        <v>2000000</v>
      </c>
      <c r="F130" s="115"/>
      <c r="G130" s="115"/>
      <c r="H130" s="115">
        <v>2000000</v>
      </c>
      <c r="I130" s="115"/>
      <c r="J130" s="115"/>
      <c r="K130" s="164">
        <f t="shared" si="17"/>
        <v>100</v>
      </c>
      <c r="L130" s="115">
        <f t="shared" si="37"/>
        <v>0</v>
      </c>
      <c r="M130" s="115"/>
      <c r="N130" s="115"/>
      <c r="O130" s="115"/>
      <c r="P130" s="115"/>
      <c r="Q130" s="115"/>
      <c r="R130" s="115">
        <f t="shared" si="19"/>
        <v>0</v>
      </c>
      <c r="S130" s="115"/>
      <c r="T130" s="115"/>
      <c r="U130" s="115"/>
      <c r="V130" s="115"/>
      <c r="W130" s="115"/>
      <c r="X130" s="149"/>
      <c r="Y130" s="115">
        <f t="shared" si="36"/>
        <v>2000000</v>
      </c>
      <c r="Z130" s="187"/>
      <c r="AE130" s="79"/>
      <c r="AF130" s="79"/>
      <c r="AG130" s="79"/>
    </row>
    <row r="131" spans="1:33" s="53" customFormat="1" ht="36" customHeight="1" x14ac:dyDescent="0.25">
      <c r="A131" s="45" t="s">
        <v>246</v>
      </c>
      <c r="B131" s="91" t="str">
        <f>'дод 3'!A71</f>
        <v>3036</v>
      </c>
      <c r="C131" s="91" t="str">
        <f>'дод 3'!B71</f>
        <v>1070</v>
      </c>
      <c r="D131" s="48" t="str">
        <f>'дод 3'!C71</f>
        <v>Компенсаційні виплати на пільговий проїзд електротранспортом окремим категоріям громадян</v>
      </c>
      <c r="E131" s="115">
        <v>38888948</v>
      </c>
      <c r="F131" s="115"/>
      <c r="G131" s="115"/>
      <c r="H131" s="115">
        <v>38888948</v>
      </c>
      <c r="I131" s="115"/>
      <c r="J131" s="115"/>
      <c r="K131" s="164">
        <f t="shared" si="17"/>
        <v>100</v>
      </c>
      <c r="L131" s="115">
        <f t="shared" si="37"/>
        <v>0</v>
      </c>
      <c r="M131" s="115"/>
      <c r="N131" s="115"/>
      <c r="O131" s="115"/>
      <c r="P131" s="115"/>
      <c r="Q131" s="115"/>
      <c r="R131" s="115">
        <f t="shared" si="19"/>
        <v>0</v>
      </c>
      <c r="S131" s="115"/>
      <c r="T131" s="115"/>
      <c r="U131" s="115"/>
      <c r="V131" s="115"/>
      <c r="W131" s="115"/>
      <c r="X131" s="149"/>
      <c r="Y131" s="115">
        <f t="shared" si="36"/>
        <v>38888948</v>
      </c>
      <c r="Z131" s="187"/>
      <c r="AE131" s="79"/>
      <c r="AF131" s="79"/>
      <c r="AG131" s="79"/>
    </row>
    <row r="132" spans="1:33" s="53" customFormat="1" ht="24.75" customHeight="1" x14ac:dyDescent="0.25">
      <c r="A132" s="52" t="s">
        <v>452</v>
      </c>
      <c r="B132" s="92" t="str">
        <f>'дод 3'!A72</f>
        <v>3041</v>
      </c>
      <c r="C132" s="92" t="str">
        <f>'дод 3'!B72</f>
        <v>1040</v>
      </c>
      <c r="D132" s="48" t="str">
        <f>'дод 3'!C72</f>
        <v>Надання допомоги у зв'язку з вагітністю і пологами</v>
      </c>
      <c r="E132" s="115">
        <v>2680550</v>
      </c>
      <c r="F132" s="115"/>
      <c r="G132" s="115"/>
      <c r="H132" s="115">
        <v>2135509.0699999998</v>
      </c>
      <c r="I132" s="115"/>
      <c r="J132" s="115"/>
      <c r="K132" s="164">
        <f t="shared" si="17"/>
        <v>79.666824718807703</v>
      </c>
      <c r="L132" s="115">
        <f t="shared" si="37"/>
        <v>0</v>
      </c>
      <c r="M132" s="115"/>
      <c r="N132" s="115"/>
      <c r="O132" s="115"/>
      <c r="P132" s="115"/>
      <c r="Q132" s="115"/>
      <c r="R132" s="115">
        <f t="shared" si="19"/>
        <v>0</v>
      </c>
      <c r="S132" s="115"/>
      <c r="T132" s="115"/>
      <c r="U132" s="115"/>
      <c r="V132" s="115"/>
      <c r="W132" s="115"/>
      <c r="X132" s="149"/>
      <c r="Y132" s="115">
        <f t="shared" si="36"/>
        <v>2135509.0699999998</v>
      </c>
      <c r="Z132" s="187"/>
      <c r="AE132" s="79"/>
      <c r="AF132" s="79"/>
      <c r="AG132" s="79"/>
    </row>
    <row r="133" spans="1:33" s="53" customFormat="1" ht="19.5" customHeight="1" x14ac:dyDescent="0.25">
      <c r="A133" s="52"/>
      <c r="B133" s="92"/>
      <c r="C133" s="92"/>
      <c r="D133" s="48" t="str">
        <f>'дод 3'!C73</f>
        <v>у т.ч. за рахунок субвенцій з держбюджету</v>
      </c>
      <c r="E133" s="115">
        <v>2680550</v>
      </c>
      <c r="F133" s="115"/>
      <c r="G133" s="115"/>
      <c r="H133" s="115">
        <v>2135509.0699999998</v>
      </c>
      <c r="I133" s="115"/>
      <c r="J133" s="115"/>
      <c r="K133" s="164">
        <f t="shared" si="17"/>
        <v>79.666824718807703</v>
      </c>
      <c r="L133" s="115">
        <f t="shared" si="37"/>
        <v>0</v>
      </c>
      <c r="M133" s="115"/>
      <c r="N133" s="115"/>
      <c r="O133" s="115"/>
      <c r="P133" s="115"/>
      <c r="Q133" s="115"/>
      <c r="R133" s="115">
        <f t="shared" si="19"/>
        <v>0</v>
      </c>
      <c r="S133" s="115"/>
      <c r="T133" s="115"/>
      <c r="U133" s="115"/>
      <c r="V133" s="115"/>
      <c r="W133" s="115"/>
      <c r="X133" s="149"/>
      <c r="Y133" s="115">
        <f t="shared" si="36"/>
        <v>2135509.0699999998</v>
      </c>
      <c r="Z133" s="187"/>
      <c r="AE133" s="79"/>
      <c r="AF133" s="79"/>
      <c r="AG133" s="79"/>
    </row>
    <row r="134" spans="1:33" s="53" customFormat="1" ht="21" customHeight="1" x14ac:dyDescent="0.25">
      <c r="A134" s="52" t="s">
        <v>453</v>
      </c>
      <c r="B134" s="92" t="str">
        <f>'дод 3'!A74</f>
        <v>3042</v>
      </c>
      <c r="C134" s="92" t="str">
        <f>'дод 3'!B74</f>
        <v>1040</v>
      </c>
      <c r="D134" s="48" t="str">
        <f>'дод 3'!C74</f>
        <v>Надання допомоги при усиновленні дитини</v>
      </c>
      <c r="E134" s="115">
        <v>516000</v>
      </c>
      <c r="F134" s="115"/>
      <c r="G134" s="115"/>
      <c r="H134" s="115">
        <v>506540</v>
      </c>
      <c r="I134" s="115"/>
      <c r="J134" s="115"/>
      <c r="K134" s="164">
        <f t="shared" si="17"/>
        <v>98.166666666666671</v>
      </c>
      <c r="L134" s="115">
        <f t="shared" si="37"/>
        <v>0</v>
      </c>
      <c r="M134" s="115"/>
      <c r="N134" s="115"/>
      <c r="O134" s="115"/>
      <c r="P134" s="115"/>
      <c r="Q134" s="115"/>
      <c r="R134" s="115">
        <f t="shared" si="19"/>
        <v>0</v>
      </c>
      <c r="S134" s="115"/>
      <c r="T134" s="115"/>
      <c r="U134" s="115"/>
      <c r="V134" s="115"/>
      <c r="W134" s="115"/>
      <c r="X134" s="149"/>
      <c r="Y134" s="115">
        <f t="shared" si="36"/>
        <v>506540</v>
      </c>
      <c r="Z134" s="187"/>
      <c r="AE134" s="79"/>
      <c r="AF134" s="79"/>
      <c r="AG134" s="79"/>
    </row>
    <row r="135" spans="1:33" s="53" customFormat="1" ht="19.5" customHeight="1" x14ac:dyDescent="0.25">
      <c r="A135" s="52"/>
      <c r="B135" s="92"/>
      <c r="C135" s="92"/>
      <c r="D135" s="48" t="str">
        <f>'дод 3'!C75</f>
        <v>у т.ч. за рахунок субвенцій з держбюджету</v>
      </c>
      <c r="E135" s="115">
        <v>516000</v>
      </c>
      <c r="F135" s="115"/>
      <c r="G135" s="115"/>
      <c r="H135" s="115">
        <v>506540</v>
      </c>
      <c r="I135" s="115"/>
      <c r="J135" s="115"/>
      <c r="K135" s="164">
        <f t="shared" si="17"/>
        <v>98.166666666666671</v>
      </c>
      <c r="L135" s="115">
        <f t="shared" si="37"/>
        <v>0</v>
      </c>
      <c r="M135" s="115"/>
      <c r="N135" s="115"/>
      <c r="O135" s="115"/>
      <c r="P135" s="115"/>
      <c r="Q135" s="115"/>
      <c r="R135" s="115">
        <f t="shared" si="19"/>
        <v>0</v>
      </c>
      <c r="S135" s="115"/>
      <c r="T135" s="115"/>
      <c r="U135" s="115"/>
      <c r="V135" s="115"/>
      <c r="W135" s="115"/>
      <c r="X135" s="149"/>
      <c r="Y135" s="115">
        <f t="shared" si="36"/>
        <v>506540</v>
      </c>
      <c r="Z135" s="187"/>
      <c r="AE135" s="79"/>
      <c r="AF135" s="79"/>
      <c r="AG135" s="79"/>
    </row>
    <row r="136" spans="1:33" s="53" customFormat="1" ht="19.5" customHeight="1" x14ac:dyDescent="0.25">
      <c r="A136" s="52" t="s">
        <v>454</v>
      </c>
      <c r="B136" s="92" t="str">
        <f>'дод 3'!A76</f>
        <v>3043</v>
      </c>
      <c r="C136" s="92" t="str">
        <f>'дод 3'!B76</f>
        <v>1040</v>
      </c>
      <c r="D136" s="48" t="str">
        <f>'дод 3'!C76</f>
        <v>Надання допомоги при народженні дитини</v>
      </c>
      <c r="E136" s="115">
        <v>122211100</v>
      </c>
      <c r="F136" s="115"/>
      <c r="G136" s="115"/>
      <c r="H136" s="115">
        <v>104583067.97</v>
      </c>
      <c r="I136" s="115"/>
      <c r="J136" s="115"/>
      <c r="K136" s="164">
        <f t="shared" si="17"/>
        <v>85.575752096168017</v>
      </c>
      <c r="L136" s="115">
        <f t="shared" si="37"/>
        <v>0</v>
      </c>
      <c r="M136" s="115"/>
      <c r="N136" s="115"/>
      <c r="O136" s="115"/>
      <c r="P136" s="115"/>
      <c r="Q136" s="115"/>
      <c r="R136" s="115">
        <f t="shared" si="19"/>
        <v>0</v>
      </c>
      <c r="S136" s="115"/>
      <c r="T136" s="115"/>
      <c r="U136" s="115"/>
      <c r="V136" s="115"/>
      <c r="W136" s="115"/>
      <c r="X136" s="149"/>
      <c r="Y136" s="115">
        <f t="shared" si="36"/>
        <v>104583067.97</v>
      </c>
      <c r="Z136" s="187"/>
      <c r="AE136" s="79"/>
      <c r="AF136" s="79"/>
      <c r="AG136" s="79"/>
    </row>
    <row r="137" spans="1:33" s="53" customFormat="1" ht="19.5" customHeight="1" x14ac:dyDescent="0.25">
      <c r="A137" s="52"/>
      <c r="B137" s="92"/>
      <c r="C137" s="92"/>
      <c r="D137" s="48" t="str">
        <f>'дод 3'!C77</f>
        <v>у т.ч. за рахунок субвенцій з держбюджету</v>
      </c>
      <c r="E137" s="115">
        <v>122211100</v>
      </c>
      <c r="F137" s="115"/>
      <c r="G137" s="115"/>
      <c r="H137" s="115">
        <v>104583067.97</v>
      </c>
      <c r="I137" s="115"/>
      <c r="J137" s="115"/>
      <c r="K137" s="164">
        <f t="shared" si="17"/>
        <v>85.575752096168017</v>
      </c>
      <c r="L137" s="115">
        <f t="shared" si="37"/>
        <v>0</v>
      </c>
      <c r="M137" s="115"/>
      <c r="N137" s="115"/>
      <c r="O137" s="115"/>
      <c r="P137" s="115"/>
      <c r="Q137" s="115"/>
      <c r="R137" s="115">
        <f t="shared" si="19"/>
        <v>0</v>
      </c>
      <c r="S137" s="115"/>
      <c r="T137" s="115"/>
      <c r="U137" s="115"/>
      <c r="V137" s="115"/>
      <c r="W137" s="115"/>
      <c r="X137" s="149"/>
      <c r="Y137" s="115">
        <f t="shared" si="36"/>
        <v>104583067.97</v>
      </c>
      <c r="Z137" s="187"/>
      <c r="AE137" s="79"/>
      <c r="AF137" s="79"/>
      <c r="AG137" s="79"/>
    </row>
    <row r="138" spans="1:33" s="53" customFormat="1" ht="30.75" customHeight="1" x14ac:dyDescent="0.25">
      <c r="A138" s="52" t="s">
        <v>455</v>
      </c>
      <c r="B138" s="92" t="str">
        <f>'дод 3'!A78</f>
        <v>3044</v>
      </c>
      <c r="C138" s="92" t="str">
        <f>'дод 3'!B78</f>
        <v>1040</v>
      </c>
      <c r="D138" s="48" t="str">
        <f>'дод 3'!C78</f>
        <v>Надання допомоги на дітей, над якими встановлено опіку чи піклування</v>
      </c>
      <c r="E138" s="115">
        <v>10189800</v>
      </c>
      <c r="F138" s="115"/>
      <c r="G138" s="115"/>
      <c r="H138" s="115">
        <v>8176953.6699999999</v>
      </c>
      <c r="I138" s="115"/>
      <c r="J138" s="115"/>
      <c r="K138" s="164">
        <f t="shared" si="17"/>
        <v>80.246458909890279</v>
      </c>
      <c r="L138" s="115">
        <f t="shared" si="37"/>
        <v>0</v>
      </c>
      <c r="M138" s="115"/>
      <c r="N138" s="115"/>
      <c r="O138" s="115"/>
      <c r="P138" s="115"/>
      <c r="Q138" s="115"/>
      <c r="R138" s="115">
        <f t="shared" si="19"/>
        <v>0</v>
      </c>
      <c r="S138" s="115"/>
      <c r="T138" s="115"/>
      <c r="U138" s="115"/>
      <c r="V138" s="115"/>
      <c r="W138" s="115"/>
      <c r="X138" s="149"/>
      <c r="Y138" s="115">
        <f t="shared" si="36"/>
        <v>8176953.6699999999</v>
      </c>
      <c r="Z138" s="187"/>
      <c r="AE138" s="79"/>
      <c r="AF138" s="79"/>
      <c r="AG138" s="79"/>
    </row>
    <row r="139" spans="1:33" s="53" customFormat="1" ht="19.5" customHeight="1" x14ac:dyDescent="0.25">
      <c r="A139" s="52"/>
      <c r="B139" s="92"/>
      <c r="C139" s="92"/>
      <c r="D139" s="48" t="str">
        <f>'дод 3'!C79</f>
        <v>у т.ч. за рахунок субвенцій з держбюджету</v>
      </c>
      <c r="E139" s="115">
        <v>10189800</v>
      </c>
      <c r="F139" s="115"/>
      <c r="G139" s="115"/>
      <c r="H139" s="115">
        <v>8176953.6699999999</v>
      </c>
      <c r="I139" s="115"/>
      <c r="J139" s="115"/>
      <c r="K139" s="164">
        <f t="shared" si="17"/>
        <v>80.246458909890279</v>
      </c>
      <c r="L139" s="115">
        <f t="shared" si="37"/>
        <v>0</v>
      </c>
      <c r="M139" s="115"/>
      <c r="N139" s="115"/>
      <c r="O139" s="115"/>
      <c r="P139" s="115"/>
      <c r="Q139" s="115"/>
      <c r="R139" s="115">
        <f t="shared" si="19"/>
        <v>0</v>
      </c>
      <c r="S139" s="115"/>
      <c r="T139" s="115"/>
      <c r="U139" s="115"/>
      <c r="V139" s="115"/>
      <c r="W139" s="115"/>
      <c r="X139" s="149"/>
      <c r="Y139" s="115">
        <f t="shared" si="36"/>
        <v>8176953.6699999999</v>
      </c>
      <c r="Z139" s="187"/>
      <c r="AE139" s="79"/>
      <c r="AF139" s="79"/>
      <c r="AG139" s="79"/>
    </row>
    <row r="140" spans="1:33" s="53" customFormat="1" ht="22.5" customHeight="1" x14ac:dyDescent="0.25">
      <c r="A140" s="52" t="s">
        <v>456</v>
      </c>
      <c r="B140" s="92" t="str">
        <f>'дод 3'!A80</f>
        <v>3045</v>
      </c>
      <c r="C140" s="92" t="str">
        <f>'дод 3'!B80</f>
        <v>1040</v>
      </c>
      <c r="D140" s="48" t="str">
        <f>'дод 3'!C80</f>
        <v>Надання допомоги на дітей одиноким матерям</v>
      </c>
      <c r="E140" s="115">
        <v>45396740</v>
      </c>
      <c r="F140" s="115"/>
      <c r="G140" s="115"/>
      <c r="H140" s="115">
        <v>36456373.770000003</v>
      </c>
      <c r="I140" s="115"/>
      <c r="J140" s="115"/>
      <c r="K140" s="164">
        <f t="shared" si="17"/>
        <v>80.30614923009891</v>
      </c>
      <c r="L140" s="115">
        <f t="shared" si="37"/>
        <v>0</v>
      </c>
      <c r="M140" s="115"/>
      <c r="N140" s="115"/>
      <c r="O140" s="115"/>
      <c r="P140" s="115"/>
      <c r="Q140" s="115"/>
      <c r="R140" s="115">
        <f t="shared" si="19"/>
        <v>0</v>
      </c>
      <c r="S140" s="115"/>
      <c r="T140" s="115"/>
      <c r="U140" s="115"/>
      <c r="V140" s="115"/>
      <c r="W140" s="115"/>
      <c r="X140" s="149"/>
      <c r="Y140" s="115">
        <f t="shared" si="36"/>
        <v>36456373.770000003</v>
      </c>
      <c r="Z140" s="187"/>
      <c r="AE140" s="79"/>
      <c r="AF140" s="79"/>
      <c r="AG140" s="79"/>
    </row>
    <row r="141" spans="1:33" s="53" customFormat="1" ht="19.5" customHeight="1" x14ac:dyDescent="0.25">
      <c r="A141" s="52"/>
      <c r="B141" s="92"/>
      <c r="C141" s="92"/>
      <c r="D141" s="48" t="str">
        <f>'дод 3'!C81</f>
        <v>у т.ч. за рахунок субвенцій з держбюджету</v>
      </c>
      <c r="E141" s="115">
        <v>45396740</v>
      </c>
      <c r="F141" s="115"/>
      <c r="G141" s="115"/>
      <c r="H141" s="115">
        <v>36456373.770000003</v>
      </c>
      <c r="I141" s="115"/>
      <c r="J141" s="115"/>
      <c r="K141" s="164">
        <f t="shared" ref="K141:K204" si="38">H141/E141*100</f>
        <v>80.30614923009891</v>
      </c>
      <c r="L141" s="115">
        <f t="shared" si="37"/>
        <v>0</v>
      </c>
      <c r="M141" s="115"/>
      <c r="N141" s="115"/>
      <c r="O141" s="115"/>
      <c r="P141" s="115"/>
      <c r="Q141" s="115"/>
      <c r="R141" s="115">
        <f t="shared" si="19"/>
        <v>0</v>
      </c>
      <c r="S141" s="115"/>
      <c r="T141" s="115"/>
      <c r="U141" s="115"/>
      <c r="V141" s="115"/>
      <c r="W141" s="115"/>
      <c r="X141" s="149"/>
      <c r="Y141" s="115">
        <f t="shared" si="36"/>
        <v>36456373.770000003</v>
      </c>
      <c r="Z141" s="187"/>
      <c r="AE141" s="79"/>
      <c r="AF141" s="79"/>
      <c r="AG141" s="79"/>
    </row>
    <row r="142" spans="1:33" s="53" customFormat="1" ht="22.5" customHeight="1" x14ac:dyDescent="0.25">
      <c r="A142" s="52" t="s">
        <v>457</v>
      </c>
      <c r="B142" s="92" t="str">
        <f>'дод 3'!A82</f>
        <v>3046</v>
      </c>
      <c r="C142" s="92" t="str">
        <f>'дод 3'!B82</f>
        <v>1040</v>
      </c>
      <c r="D142" s="48" t="str">
        <f>'дод 3'!C82</f>
        <v>Надання тимчасової державної допомоги дітям</v>
      </c>
      <c r="E142" s="115">
        <v>973500</v>
      </c>
      <c r="F142" s="115"/>
      <c r="G142" s="115"/>
      <c r="H142" s="115">
        <v>514825.86</v>
      </c>
      <c r="I142" s="115"/>
      <c r="J142" s="115"/>
      <c r="K142" s="164">
        <f t="shared" si="38"/>
        <v>52.884012326656396</v>
      </c>
      <c r="L142" s="115">
        <f t="shared" si="37"/>
        <v>0</v>
      </c>
      <c r="M142" s="115"/>
      <c r="N142" s="115"/>
      <c r="O142" s="115"/>
      <c r="P142" s="115"/>
      <c r="Q142" s="115"/>
      <c r="R142" s="115">
        <f t="shared" ref="R142:R205" si="39">T142+W142</f>
        <v>0</v>
      </c>
      <c r="S142" s="115"/>
      <c r="T142" s="115"/>
      <c r="U142" s="115"/>
      <c r="V142" s="115"/>
      <c r="W142" s="115"/>
      <c r="X142" s="149"/>
      <c r="Y142" s="115">
        <f t="shared" si="36"/>
        <v>514825.86</v>
      </c>
      <c r="Z142" s="187"/>
      <c r="AE142" s="79"/>
      <c r="AF142" s="79"/>
      <c r="AG142" s="79"/>
    </row>
    <row r="143" spans="1:33" s="53" customFormat="1" ht="19.5" customHeight="1" x14ac:dyDescent="0.25">
      <c r="A143" s="52"/>
      <c r="B143" s="92"/>
      <c r="C143" s="92"/>
      <c r="D143" s="48" t="str">
        <f>'дод 3'!C83</f>
        <v>у т.ч. за рахунок субвенцій з держбюджету</v>
      </c>
      <c r="E143" s="115">
        <v>973500</v>
      </c>
      <c r="F143" s="115"/>
      <c r="G143" s="115"/>
      <c r="H143" s="115">
        <v>514825.86</v>
      </c>
      <c r="I143" s="115"/>
      <c r="J143" s="115"/>
      <c r="K143" s="164">
        <f t="shared" si="38"/>
        <v>52.884012326656396</v>
      </c>
      <c r="L143" s="115">
        <f t="shared" si="37"/>
        <v>0</v>
      </c>
      <c r="M143" s="115"/>
      <c r="N143" s="115"/>
      <c r="O143" s="115"/>
      <c r="P143" s="115"/>
      <c r="Q143" s="115"/>
      <c r="R143" s="115">
        <f t="shared" si="39"/>
        <v>0</v>
      </c>
      <c r="S143" s="115"/>
      <c r="T143" s="115"/>
      <c r="U143" s="115"/>
      <c r="V143" s="115"/>
      <c r="W143" s="115"/>
      <c r="X143" s="149"/>
      <c r="Y143" s="115">
        <f t="shared" si="36"/>
        <v>514825.86</v>
      </c>
      <c r="Z143" s="187"/>
      <c r="AE143" s="79"/>
      <c r="AF143" s="79"/>
      <c r="AG143" s="79"/>
    </row>
    <row r="144" spans="1:33" s="53" customFormat="1" ht="31.5" customHeight="1" x14ac:dyDescent="0.25">
      <c r="A144" s="52" t="s">
        <v>458</v>
      </c>
      <c r="B144" s="92" t="str">
        <f>'дод 3'!A84</f>
        <v>3047</v>
      </c>
      <c r="C144" s="92" t="str">
        <f>'дод 3'!B84</f>
        <v>1040</v>
      </c>
      <c r="D144" s="48" t="str">
        <f>'дод 3'!C84</f>
        <v>Надання державної соціальної допомоги малозабезпеченим сім’ям</v>
      </c>
      <c r="E144" s="115">
        <v>44264925</v>
      </c>
      <c r="F144" s="115"/>
      <c r="G144" s="115"/>
      <c r="H144" s="115">
        <v>38820801.689999998</v>
      </c>
      <c r="I144" s="115"/>
      <c r="J144" s="115"/>
      <c r="K144" s="164">
        <f t="shared" si="38"/>
        <v>87.7010447662568</v>
      </c>
      <c r="L144" s="115">
        <f t="shared" si="37"/>
        <v>0</v>
      </c>
      <c r="M144" s="115"/>
      <c r="N144" s="115"/>
      <c r="O144" s="115"/>
      <c r="P144" s="115"/>
      <c r="Q144" s="115"/>
      <c r="R144" s="115">
        <f t="shared" si="39"/>
        <v>0</v>
      </c>
      <c r="S144" s="115"/>
      <c r="T144" s="115"/>
      <c r="U144" s="115"/>
      <c r="V144" s="115"/>
      <c r="W144" s="115"/>
      <c r="X144" s="149"/>
      <c r="Y144" s="115">
        <f t="shared" si="36"/>
        <v>38820801.689999998</v>
      </c>
      <c r="Z144" s="187"/>
      <c r="AE144" s="79"/>
      <c r="AF144" s="79"/>
      <c r="AG144" s="79"/>
    </row>
    <row r="145" spans="1:584" s="53" customFormat="1" ht="19.5" customHeight="1" x14ac:dyDescent="0.25">
      <c r="A145" s="52"/>
      <c r="B145" s="92"/>
      <c r="C145" s="92"/>
      <c r="D145" s="48" t="str">
        <f>'дод 3'!C85</f>
        <v>у т.ч. за рахунок субвенцій з держбюджету</v>
      </c>
      <c r="E145" s="115">
        <v>44264925</v>
      </c>
      <c r="F145" s="115"/>
      <c r="G145" s="115"/>
      <c r="H145" s="115">
        <v>38820801.689999998</v>
      </c>
      <c r="I145" s="115"/>
      <c r="J145" s="115"/>
      <c r="K145" s="164">
        <f t="shared" si="38"/>
        <v>87.7010447662568</v>
      </c>
      <c r="L145" s="115">
        <f t="shared" si="37"/>
        <v>0</v>
      </c>
      <c r="M145" s="115"/>
      <c r="N145" s="115"/>
      <c r="O145" s="115"/>
      <c r="P145" s="115"/>
      <c r="Q145" s="115"/>
      <c r="R145" s="115">
        <f t="shared" si="39"/>
        <v>0</v>
      </c>
      <c r="S145" s="115"/>
      <c r="T145" s="115"/>
      <c r="U145" s="115"/>
      <c r="V145" s="115"/>
      <c r="W145" s="115"/>
      <c r="X145" s="149"/>
      <c r="Y145" s="115">
        <f t="shared" si="36"/>
        <v>38820801.689999998</v>
      </c>
      <c r="Z145" s="187"/>
      <c r="AE145" s="79"/>
      <c r="AF145" s="79"/>
      <c r="AG145" s="79"/>
    </row>
    <row r="146" spans="1:584" s="53" customFormat="1" ht="30" x14ac:dyDescent="0.25">
      <c r="A146" s="90" t="s">
        <v>580</v>
      </c>
      <c r="B146" s="92">
        <v>3049</v>
      </c>
      <c r="C146" s="92">
        <v>1040</v>
      </c>
      <c r="D146" s="48" t="s">
        <v>583</v>
      </c>
      <c r="E146" s="115">
        <v>834585</v>
      </c>
      <c r="F146" s="115"/>
      <c r="G146" s="115"/>
      <c r="H146" s="115">
        <v>638549.68999999994</v>
      </c>
      <c r="I146" s="115"/>
      <c r="J146" s="115"/>
      <c r="K146" s="164">
        <f t="shared" si="38"/>
        <v>76.511043213093927</v>
      </c>
      <c r="L146" s="115">
        <f t="shared" si="37"/>
        <v>0</v>
      </c>
      <c r="M146" s="115"/>
      <c r="N146" s="115"/>
      <c r="O146" s="115"/>
      <c r="P146" s="115"/>
      <c r="Q146" s="115"/>
      <c r="R146" s="115">
        <f t="shared" si="39"/>
        <v>0</v>
      </c>
      <c r="S146" s="115"/>
      <c r="T146" s="115"/>
      <c r="U146" s="115"/>
      <c r="V146" s="115"/>
      <c r="W146" s="115"/>
      <c r="X146" s="149"/>
      <c r="Y146" s="115">
        <f t="shared" si="36"/>
        <v>638549.68999999994</v>
      </c>
      <c r="Z146" s="187"/>
      <c r="AE146" s="79"/>
      <c r="AF146" s="79"/>
      <c r="AG146" s="79"/>
    </row>
    <row r="147" spans="1:584" s="53" customFormat="1" ht="19.5" customHeight="1" x14ac:dyDescent="0.25">
      <c r="A147" s="52"/>
      <c r="B147" s="92"/>
      <c r="C147" s="92"/>
      <c r="D147" s="48" t="s">
        <v>342</v>
      </c>
      <c r="E147" s="115">
        <v>834585</v>
      </c>
      <c r="F147" s="115"/>
      <c r="G147" s="115"/>
      <c r="H147" s="115">
        <v>638549.68999999994</v>
      </c>
      <c r="I147" s="115"/>
      <c r="J147" s="115"/>
      <c r="K147" s="164">
        <f t="shared" si="38"/>
        <v>76.511043213093927</v>
      </c>
      <c r="L147" s="115">
        <f t="shared" si="37"/>
        <v>0</v>
      </c>
      <c r="M147" s="115"/>
      <c r="N147" s="115"/>
      <c r="O147" s="115"/>
      <c r="P147" s="115"/>
      <c r="Q147" s="115"/>
      <c r="R147" s="115">
        <f t="shared" si="39"/>
        <v>0</v>
      </c>
      <c r="S147" s="115"/>
      <c r="T147" s="115"/>
      <c r="U147" s="115"/>
      <c r="V147" s="115"/>
      <c r="W147" s="115"/>
      <c r="X147" s="149"/>
      <c r="Y147" s="115">
        <f t="shared" si="36"/>
        <v>638549.68999999994</v>
      </c>
      <c r="Z147" s="187"/>
      <c r="AE147" s="79"/>
      <c r="AF147" s="79"/>
      <c r="AG147" s="79"/>
    </row>
    <row r="148" spans="1:584" s="47" customFormat="1" ht="34.5" customHeight="1" x14ac:dyDescent="0.25">
      <c r="A148" s="45" t="s">
        <v>247</v>
      </c>
      <c r="B148" s="91" t="str">
        <f>'дод 3'!A88</f>
        <v>3050</v>
      </c>
      <c r="C148" s="91" t="str">
        <f>'дод 3'!B88</f>
        <v>1070</v>
      </c>
      <c r="D148" s="48" t="str">
        <f>'дод 3'!C88</f>
        <v>Пільгове медичне обслуговування осіб, які постраждали внаслідок Чорнобильської катастрофи</v>
      </c>
      <c r="E148" s="115">
        <v>686000</v>
      </c>
      <c r="F148" s="115"/>
      <c r="G148" s="115"/>
      <c r="H148" s="115">
        <v>685801.19</v>
      </c>
      <c r="I148" s="115"/>
      <c r="J148" s="115"/>
      <c r="K148" s="164">
        <f t="shared" si="38"/>
        <v>99.971018950437312</v>
      </c>
      <c r="L148" s="115">
        <f t="shared" si="37"/>
        <v>0</v>
      </c>
      <c r="M148" s="115"/>
      <c r="N148" s="115"/>
      <c r="O148" s="115"/>
      <c r="P148" s="115"/>
      <c r="Q148" s="115"/>
      <c r="R148" s="115">
        <f t="shared" si="39"/>
        <v>0</v>
      </c>
      <c r="S148" s="115"/>
      <c r="T148" s="115"/>
      <c r="U148" s="115"/>
      <c r="V148" s="115"/>
      <c r="W148" s="115"/>
      <c r="X148" s="149"/>
      <c r="Y148" s="115">
        <f t="shared" si="36"/>
        <v>685801.19</v>
      </c>
      <c r="Z148" s="187"/>
      <c r="AA148" s="53"/>
      <c r="AB148" s="53"/>
      <c r="AC148" s="53"/>
      <c r="AD148" s="53"/>
      <c r="AE148" s="79"/>
      <c r="AF148" s="79"/>
      <c r="AG148" s="79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/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  <c r="IE148" s="53"/>
      <c r="IF148" s="53"/>
      <c r="IG148" s="53"/>
      <c r="IH148" s="53"/>
      <c r="II148" s="53"/>
      <c r="IJ148" s="53"/>
      <c r="IK148" s="53"/>
      <c r="IL148" s="53"/>
      <c r="IM148" s="53"/>
      <c r="IN148" s="53"/>
      <c r="IO148" s="53"/>
      <c r="IP148" s="53"/>
      <c r="IQ148" s="53"/>
      <c r="IR148" s="53"/>
      <c r="IS148" s="53"/>
      <c r="IT148" s="53"/>
      <c r="IU148" s="53"/>
      <c r="IV148" s="53"/>
      <c r="IW148" s="53"/>
      <c r="IX148" s="53"/>
      <c r="IY148" s="53"/>
      <c r="IZ148" s="53"/>
      <c r="JA148" s="53"/>
      <c r="JB148" s="53"/>
      <c r="JC148" s="53"/>
      <c r="JD148" s="53"/>
      <c r="JE148" s="53"/>
      <c r="JF148" s="53"/>
      <c r="JG148" s="53"/>
      <c r="JH148" s="53"/>
      <c r="JI148" s="53"/>
      <c r="JJ148" s="53"/>
      <c r="JK148" s="53"/>
      <c r="JL148" s="53"/>
      <c r="JM148" s="53"/>
      <c r="JN148" s="53"/>
      <c r="JO148" s="53"/>
      <c r="JP148" s="53"/>
      <c r="JQ148" s="53"/>
      <c r="JR148" s="53"/>
      <c r="JS148" s="53"/>
      <c r="JT148" s="53"/>
      <c r="JU148" s="53"/>
      <c r="JV148" s="53"/>
      <c r="JW148" s="53"/>
      <c r="JX148" s="53"/>
      <c r="JY148" s="53"/>
      <c r="JZ148" s="53"/>
      <c r="KA148" s="53"/>
      <c r="KB148" s="53"/>
      <c r="KC148" s="53"/>
      <c r="KD148" s="53"/>
      <c r="KE148" s="53"/>
      <c r="KF148" s="53"/>
      <c r="KG148" s="53"/>
      <c r="KH148" s="53"/>
      <c r="KI148" s="53"/>
      <c r="KJ148" s="53"/>
      <c r="KK148" s="53"/>
      <c r="KL148" s="53"/>
      <c r="KM148" s="53"/>
      <c r="KN148" s="53"/>
      <c r="KO148" s="53"/>
      <c r="KP148" s="53"/>
      <c r="KQ148" s="53"/>
      <c r="KR148" s="53"/>
      <c r="KS148" s="53"/>
      <c r="KT148" s="53"/>
      <c r="KU148" s="53"/>
      <c r="KV148" s="53"/>
      <c r="KW148" s="53"/>
      <c r="KX148" s="53"/>
      <c r="KY148" s="53"/>
      <c r="KZ148" s="53"/>
      <c r="LA148" s="53"/>
      <c r="LB148" s="53"/>
      <c r="LC148" s="53"/>
      <c r="LD148" s="53"/>
      <c r="LE148" s="53"/>
      <c r="LF148" s="53"/>
      <c r="LG148" s="53"/>
      <c r="LH148" s="53"/>
      <c r="LI148" s="53"/>
      <c r="LJ148" s="53"/>
      <c r="LK148" s="53"/>
      <c r="LL148" s="53"/>
      <c r="LM148" s="53"/>
      <c r="LN148" s="53"/>
      <c r="LO148" s="53"/>
      <c r="LP148" s="53"/>
      <c r="LQ148" s="53"/>
      <c r="LR148" s="53"/>
      <c r="LS148" s="53"/>
      <c r="LT148" s="53"/>
      <c r="LU148" s="53"/>
      <c r="LV148" s="53"/>
      <c r="LW148" s="53"/>
      <c r="LX148" s="53"/>
      <c r="LY148" s="53"/>
      <c r="LZ148" s="53"/>
      <c r="MA148" s="53"/>
      <c r="MB148" s="53"/>
      <c r="MC148" s="53"/>
      <c r="MD148" s="53"/>
      <c r="ME148" s="53"/>
      <c r="MF148" s="53"/>
      <c r="MG148" s="53"/>
      <c r="MH148" s="53"/>
      <c r="MI148" s="53"/>
      <c r="MJ148" s="53"/>
      <c r="MK148" s="53"/>
      <c r="ML148" s="53"/>
      <c r="MM148" s="53"/>
      <c r="MN148" s="53"/>
      <c r="MO148" s="53"/>
      <c r="MP148" s="53"/>
      <c r="MQ148" s="53"/>
      <c r="MR148" s="53"/>
      <c r="MS148" s="53"/>
      <c r="MT148" s="53"/>
      <c r="MU148" s="53"/>
      <c r="MV148" s="53"/>
      <c r="MW148" s="53"/>
      <c r="MX148" s="53"/>
      <c r="MY148" s="53"/>
      <c r="MZ148" s="53"/>
      <c r="NA148" s="53"/>
      <c r="NB148" s="53"/>
      <c r="NC148" s="53"/>
      <c r="ND148" s="53"/>
      <c r="NE148" s="53"/>
      <c r="NF148" s="53"/>
      <c r="NG148" s="53"/>
      <c r="NH148" s="53"/>
      <c r="NI148" s="53"/>
      <c r="NJ148" s="53"/>
      <c r="NK148" s="53"/>
      <c r="NL148" s="53"/>
      <c r="NM148" s="53"/>
      <c r="NN148" s="53"/>
      <c r="NO148" s="53"/>
      <c r="NP148" s="53"/>
      <c r="NQ148" s="53"/>
      <c r="NR148" s="53"/>
      <c r="NS148" s="53"/>
      <c r="NT148" s="53"/>
      <c r="NU148" s="53"/>
      <c r="NV148" s="53"/>
      <c r="NW148" s="53"/>
      <c r="NX148" s="53"/>
      <c r="NY148" s="53"/>
      <c r="NZ148" s="53"/>
      <c r="OA148" s="53"/>
      <c r="OB148" s="53"/>
      <c r="OC148" s="53"/>
      <c r="OD148" s="53"/>
      <c r="OE148" s="53"/>
      <c r="OF148" s="53"/>
      <c r="OG148" s="53"/>
      <c r="OH148" s="53"/>
      <c r="OI148" s="53"/>
      <c r="OJ148" s="53"/>
      <c r="OK148" s="53"/>
      <c r="OL148" s="53"/>
      <c r="OM148" s="53"/>
      <c r="ON148" s="53"/>
      <c r="OO148" s="53"/>
      <c r="OP148" s="53"/>
      <c r="OQ148" s="53"/>
      <c r="OR148" s="53"/>
      <c r="OS148" s="53"/>
      <c r="OT148" s="53"/>
      <c r="OU148" s="53"/>
      <c r="OV148" s="53"/>
      <c r="OW148" s="53"/>
      <c r="OX148" s="53"/>
      <c r="OY148" s="53"/>
      <c r="OZ148" s="53"/>
      <c r="PA148" s="53"/>
      <c r="PB148" s="53"/>
      <c r="PC148" s="53"/>
      <c r="PD148" s="53"/>
      <c r="PE148" s="53"/>
      <c r="PF148" s="53"/>
      <c r="PG148" s="53"/>
      <c r="PH148" s="53"/>
      <c r="PI148" s="53"/>
      <c r="PJ148" s="53"/>
      <c r="PK148" s="53"/>
      <c r="PL148" s="53"/>
      <c r="PM148" s="53"/>
      <c r="PN148" s="53"/>
      <c r="PO148" s="53"/>
      <c r="PP148" s="53"/>
      <c r="PQ148" s="53"/>
      <c r="PR148" s="53"/>
      <c r="PS148" s="53"/>
      <c r="PT148" s="53"/>
      <c r="PU148" s="53"/>
      <c r="PV148" s="53"/>
      <c r="PW148" s="53"/>
      <c r="PX148" s="53"/>
      <c r="PY148" s="53"/>
      <c r="PZ148" s="53"/>
      <c r="QA148" s="53"/>
      <c r="QB148" s="53"/>
      <c r="QC148" s="53"/>
      <c r="QD148" s="53"/>
      <c r="QE148" s="53"/>
      <c r="QF148" s="53"/>
      <c r="QG148" s="53"/>
      <c r="QH148" s="53"/>
      <c r="QI148" s="53"/>
      <c r="QJ148" s="53"/>
      <c r="QK148" s="53"/>
      <c r="QL148" s="53"/>
      <c r="QM148" s="53"/>
      <c r="QN148" s="53"/>
      <c r="QO148" s="53"/>
      <c r="QP148" s="53"/>
      <c r="QQ148" s="53"/>
      <c r="QR148" s="53"/>
      <c r="QS148" s="53"/>
      <c r="QT148" s="53"/>
      <c r="QU148" s="53"/>
      <c r="QV148" s="53"/>
      <c r="QW148" s="53"/>
      <c r="QX148" s="53"/>
      <c r="QY148" s="53"/>
      <c r="QZ148" s="53"/>
      <c r="RA148" s="53"/>
      <c r="RB148" s="53"/>
      <c r="RC148" s="53"/>
      <c r="RD148" s="53"/>
      <c r="RE148" s="53"/>
      <c r="RF148" s="53"/>
      <c r="RG148" s="53"/>
      <c r="RH148" s="53"/>
      <c r="RI148" s="53"/>
      <c r="RJ148" s="53"/>
      <c r="RK148" s="53"/>
      <c r="RL148" s="53"/>
      <c r="RM148" s="53"/>
      <c r="RN148" s="53"/>
      <c r="RO148" s="53"/>
      <c r="RP148" s="53"/>
      <c r="RQ148" s="53"/>
      <c r="RR148" s="53"/>
      <c r="RS148" s="53"/>
      <c r="RT148" s="53"/>
      <c r="RU148" s="53"/>
      <c r="RV148" s="53"/>
      <c r="RW148" s="53"/>
      <c r="RX148" s="53"/>
      <c r="RY148" s="53"/>
      <c r="RZ148" s="53"/>
      <c r="SA148" s="53"/>
      <c r="SB148" s="53"/>
      <c r="SC148" s="53"/>
      <c r="SD148" s="53"/>
      <c r="SE148" s="53"/>
      <c r="SF148" s="53"/>
      <c r="SG148" s="53"/>
      <c r="SH148" s="53"/>
      <c r="SI148" s="53"/>
      <c r="SJ148" s="53"/>
      <c r="SK148" s="53"/>
      <c r="SL148" s="53"/>
      <c r="SM148" s="53"/>
      <c r="SN148" s="53"/>
      <c r="SO148" s="53"/>
      <c r="SP148" s="53"/>
      <c r="SQ148" s="53"/>
      <c r="SR148" s="53"/>
      <c r="SS148" s="53"/>
      <c r="ST148" s="53"/>
      <c r="SU148" s="53"/>
      <c r="SV148" s="53"/>
      <c r="SW148" s="53"/>
      <c r="SX148" s="53"/>
      <c r="SY148" s="53"/>
      <c r="SZ148" s="53"/>
      <c r="TA148" s="53"/>
      <c r="TB148" s="53"/>
      <c r="TC148" s="53"/>
      <c r="TD148" s="53"/>
      <c r="TE148" s="53"/>
      <c r="TF148" s="53"/>
      <c r="TG148" s="53"/>
      <c r="TH148" s="53"/>
      <c r="TI148" s="53"/>
      <c r="TJ148" s="53"/>
      <c r="TK148" s="53"/>
      <c r="TL148" s="53"/>
      <c r="TM148" s="53"/>
      <c r="TN148" s="53"/>
      <c r="TO148" s="53"/>
      <c r="TP148" s="53"/>
      <c r="TQ148" s="53"/>
      <c r="TR148" s="53"/>
      <c r="TS148" s="53"/>
      <c r="TT148" s="53"/>
      <c r="TU148" s="53"/>
      <c r="TV148" s="53"/>
      <c r="TW148" s="53"/>
      <c r="TX148" s="53"/>
      <c r="TY148" s="53"/>
      <c r="TZ148" s="53"/>
      <c r="UA148" s="53"/>
      <c r="UB148" s="53"/>
      <c r="UC148" s="53"/>
      <c r="UD148" s="53"/>
      <c r="UE148" s="53"/>
      <c r="UF148" s="53"/>
      <c r="UG148" s="53"/>
      <c r="UH148" s="53"/>
      <c r="UI148" s="53"/>
      <c r="UJ148" s="53"/>
      <c r="UK148" s="53"/>
      <c r="UL148" s="53"/>
      <c r="UM148" s="53"/>
      <c r="UN148" s="53"/>
      <c r="UO148" s="53"/>
      <c r="UP148" s="53"/>
      <c r="UQ148" s="53"/>
      <c r="UR148" s="53"/>
      <c r="US148" s="53"/>
      <c r="UT148" s="53"/>
      <c r="UU148" s="53"/>
      <c r="UV148" s="53"/>
      <c r="UW148" s="53"/>
      <c r="UX148" s="53"/>
      <c r="UY148" s="53"/>
      <c r="UZ148" s="53"/>
      <c r="VA148" s="53"/>
      <c r="VB148" s="53"/>
      <c r="VC148" s="53"/>
      <c r="VD148" s="53"/>
      <c r="VE148" s="53"/>
      <c r="VF148" s="53"/>
      <c r="VG148" s="53"/>
      <c r="VH148" s="53"/>
      <c r="VI148" s="53"/>
      <c r="VJ148" s="53"/>
      <c r="VK148" s="53"/>
      <c r="VL148" s="53"/>
    </row>
    <row r="149" spans="1:584" s="47" customFormat="1" ht="36.75" customHeight="1" x14ac:dyDescent="0.25">
      <c r="A149" s="45" t="s">
        <v>470</v>
      </c>
      <c r="B149" s="91" t="str">
        <f>'дод 3'!A89</f>
        <v>3081</v>
      </c>
      <c r="C149" s="91" t="str">
        <f>'дод 3'!B89</f>
        <v>1010</v>
      </c>
      <c r="D149" s="48" t="str">
        <f>'дод 3'!C89</f>
        <v>Надання державної соціальної допомоги особам з інвалідністю з дитинства та дітям з інвалідністю</v>
      </c>
      <c r="E149" s="115">
        <v>70995980</v>
      </c>
      <c r="F149" s="115"/>
      <c r="G149" s="115"/>
      <c r="H149" s="115">
        <v>63024685.789999999</v>
      </c>
      <c r="I149" s="115"/>
      <c r="J149" s="115"/>
      <c r="K149" s="164">
        <f t="shared" si="38"/>
        <v>88.772189340861274</v>
      </c>
      <c r="L149" s="115">
        <f t="shared" si="37"/>
        <v>0</v>
      </c>
      <c r="M149" s="115"/>
      <c r="N149" s="115"/>
      <c r="O149" s="115"/>
      <c r="P149" s="115"/>
      <c r="Q149" s="115"/>
      <c r="R149" s="115">
        <f t="shared" si="39"/>
        <v>0</v>
      </c>
      <c r="S149" s="115"/>
      <c r="T149" s="115"/>
      <c r="U149" s="115"/>
      <c r="V149" s="115"/>
      <c r="W149" s="115"/>
      <c r="X149" s="149"/>
      <c r="Y149" s="115">
        <f t="shared" si="36"/>
        <v>63024685.789999999</v>
      </c>
      <c r="Z149" s="187">
        <v>13</v>
      </c>
      <c r="AA149" s="53"/>
      <c r="AB149" s="53"/>
      <c r="AC149" s="53"/>
      <c r="AD149" s="53"/>
      <c r="AE149" s="79"/>
      <c r="AF149" s="79"/>
      <c r="AG149" s="79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3"/>
      <c r="GQ149" s="53"/>
      <c r="GR149" s="53"/>
      <c r="GS149" s="53"/>
      <c r="GT149" s="53"/>
      <c r="GU149" s="53"/>
      <c r="GV149" s="53"/>
      <c r="GW149" s="53"/>
      <c r="GX149" s="53"/>
      <c r="GY149" s="53"/>
      <c r="GZ149" s="53"/>
      <c r="HA149" s="53"/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  <c r="IH149" s="53"/>
      <c r="II149" s="53"/>
      <c r="IJ149" s="53"/>
      <c r="IK149" s="53"/>
      <c r="IL149" s="53"/>
      <c r="IM149" s="53"/>
      <c r="IN149" s="53"/>
      <c r="IO149" s="53"/>
      <c r="IP149" s="53"/>
      <c r="IQ149" s="53"/>
      <c r="IR149" s="53"/>
      <c r="IS149" s="53"/>
      <c r="IT149" s="53"/>
      <c r="IU149" s="53"/>
      <c r="IV149" s="53"/>
      <c r="IW149" s="53"/>
      <c r="IX149" s="53"/>
      <c r="IY149" s="53"/>
      <c r="IZ149" s="53"/>
      <c r="JA149" s="53"/>
      <c r="JB149" s="53"/>
      <c r="JC149" s="53"/>
      <c r="JD149" s="53"/>
      <c r="JE149" s="53"/>
      <c r="JF149" s="53"/>
      <c r="JG149" s="53"/>
      <c r="JH149" s="53"/>
      <c r="JI149" s="53"/>
      <c r="JJ149" s="53"/>
      <c r="JK149" s="53"/>
      <c r="JL149" s="53"/>
      <c r="JM149" s="53"/>
      <c r="JN149" s="53"/>
      <c r="JO149" s="53"/>
      <c r="JP149" s="53"/>
      <c r="JQ149" s="53"/>
      <c r="JR149" s="53"/>
      <c r="JS149" s="53"/>
      <c r="JT149" s="53"/>
      <c r="JU149" s="53"/>
      <c r="JV149" s="53"/>
      <c r="JW149" s="53"/>
      <c r="JX149" s="53"/>
      <c r="JY149" s="53"/>
      <c r="JZ149" s="53"/>
      <c r="KA149" s="53"/>
      <c r="KB149" s="53"/>
      <c r="KC149" s="53"/>
      <c r="KD149" s="53"/>
      <c r="KE149" s="53"/>
      <c r="KF149" s="53"/>
      <c r="KG149" s="53"/>
      <c r="KH149" s="53"/>
      <c r="KI149" s="53"/>
      <c r="KJ149" s="53"/>
      <c r="KK149" s="53"/>
      <c r="KL149" s="53"/>
      <c r="KM149" s="53"/>
      <c r="KN149" s="53"/>
      <c r="KO149" s="53"/>
      <c r="KP149" s="53"/>
      <c r="KQ149" s="53"/>
      <c r="KR149" s="53"/>
      <c r="KS149" s="53"/>
      <c r="KT149" s="53"/>
      <c r="KU149" s="53"/>
      <c r="KV149" s="53"/>
      <c r="KW149" s="53"/>
      <c r="KX149" s="53"/>
      <c r="KY149" s="53"/>
      <c r="KZ149" s="53"/>
      <c r="LA149" s="53"/>
      <c r="LB149" s="53"/>
      <c r="LC149" s="53"/>
      <c r="LD149" s="53"/>
      <c r="LE149" s="53"/>
      <c r="LF149" s="53"/>
      <c r="LG149" s="53"/>
      <c r="LH149" s="53"/>
      <c r="LI149" s="53"/>
      <c r="LJ149" s="53"/>
      <c r="LK149" s="53"/>
      <c r="LL149" s="53"/>
      <c r="LM149" s="53"/>
      <c r="LN149" s="53"/>
      <c r="LO149" s="53"/>
      <c r="LP149" s="53"/>
      <c r="LQ149" s="53"/>
      <c r="LR149" s="53"/>
      <c r="LS149" s="53"/>
      <c r="LT149" s="53"/>
      <c r="LU149" s="53"/>
      <c r="LV149" s="53"/>
      <c r="LW149" s="53"/>
      <c r="LX149" s="53"/>
      <c r="LY149" s="53"/>
      <c r="LZ149" s="53"/>
      <c r="MA149" s="53"/>
      <c r="MB149" s="53"/>
      <c r="MC149" s="53"/>
      <c r="MD149" s="53"/>
      <c r="ME149" s="53"/>
      <c r="MF149" s="53"/>
      <c r="MG149" s="53"/>
      <c r="MH149" s="53"/>
      <c r="MI149" s="53"/>
      <c r="MJ149" s="53"/>
      <c r="MK149" s="53"/>
      <c r="ML149" s="53"/>
      <c r="MM149" s="53"/>
      <c r="MN149" s="53"/>
      <c r="MO149" s="53"/>
      <c r="MP149" s="53"/>
      <c r="MQ149" s="53"/>
      <c r="MR149" s="53"/>
      <c r="MS149" s="53"/>
      <c r="MT149" s="53"/>
      <c r="MU149" s="53"/>
      <c r="MV149" s="53"/>
      <c r="MW149" s="53"/>
      <c r="MX149" s="53"/>
      <c r="MY149" s="53"/>
      <c r="MZ149" s="53"/>
      <c r="NA149" s="53"/>
      <c r="NB149" s="53"/>
      <c r="NC149" s="53"/>
      <c r="ND149" s="53"/>
      <c r="NE149" s="53"/>
      <c r="NF149" s="53"/>
      <c r="NG149" s="53"/>
      <c r="NH149" s="53"/>
      <c r="NI149" s="53"/>
      <c r="NJ149" s="53"/>
      <c r="NK149" s="53"/>
      <c r="NL149" s="53"/>
      <c r="NM149" s="53"/>
      <c r="NN149" s="53"/>
      <c r="NO149" s="53"/>
      <c r="NP149" s="53"/>
      <c r="NQ149" s="53"/>
      <c r="NR149" s="53"/>
      <c r="NS149" s="53"/>
      <c r="NT149" s="53"/>
      <c r="NU149" s="53"/>
      <c r="NV149" s="53"/>
      <c r="NW149" s="53"/>
      <c r="NX149" s="53"/>
      <c r="NY149" s="53"/>
      <c r="NZ149" s="53"/>
      <c r="OA149" s="53"/>
      <c r="OB149" s="53"/>
      <c r="OC149" s="53"/>
      <c r="OD149" s="53"/>
      <c r="OE149" s="53"/>
      <c r="OF149" s="53"/>
      <c r="OG149" s="53"/>
      <c r="OH149" s="53"/>
      <c r="OI149" s="53"/>
      <c r="OJ149" s="53"/>
      <c r="OK149" s="53"/>
      <c r="OL149" s="53"/>
      <c r="OM149" s="53"/>
      <c r="ON149" s="53"/>
      <c r="OO149" s="53"/>
      <c r="OP149" s="53"/>
      <c r="OQ149" s="53"/>
      <c r="OR149" s="53"/>
      <c r="OS149" s="53"/>
      <c r="OT149" s="53"/>
      <c r="OU149" s="53"/>
      <c r="OV149" s="53"/>
      <c r="OW149" s="53"/>
      <c r="OX149" s="53"/>
      <c r="OY149" s="53"/>
      <c r="OZ149" s="53"/>
      <c r="PA149" s="53"/>
      <c r="PB149" s="53"/>
      <c r="PC149" s="53"/>
      <c r="PD149" s="53"/>
      <c r="PE149" s="53"/>
      <c r="PF149" s="53"/>
      <c r="PG149" s="53"/>
      <c r="PH149" s="53"/>
      <c r="PI149" s="53"/>
      <c r="PJ149" s="53"/>
      <c r="PK149" s="53"/>
      <c r="PL149" s="53"/>
      <c r="PM149" s="53"/>
      <c r="PN149" s="53"/>
      <c r="PO149" s="53"/>
      <c r="PP149" s="53"/>
      <c r="PQ149" s="53"/>
      <c r="PR149" s="53"/>
      <c r="PS149" s="53"/>
      <c r="PT149" s="53"/>
      <c r="PU149" s="53"/>
      <c r="PV149" s="53"/>
      <c r="PW149" s="53"/>
      <c r="PX149" s="53"/>
      <c r="PY149" s="53"/>
      <c r="PZ149" s="53"/>
      <c r="QA149" s="53"/>
      <c r="QB149" s="53"/>
      <c r="QC149" s="53"/>
      <c r="QD149" s="53"/>
      <c r="QE149" s="53"/>
      <c r="QF149" s="53"/>
      <c r="QG149" s="53"/>
      <c r="QH149" s="53"/>
      <c r="QI149" s="53"/>
      <c r="QJ149" s="53"/>
      <c r="QK149" s="53"/>
      <c r="QL149" s="53"/>
      <c r="QM149" s="53"/>
      <c r="QN149" s="53"/>
      <c r="QO149" s="53"/>
      <c r="QP149" s="53"/>
      <c r="QQ149" s="53"/>
      <c r="QR149" s="53"/>
      <c r="QS149" s="53"/>
      <c r="QT149" s="53"/>
      <c r="QU149" s="53"/>
      <c r="QV149" s="53"/>
      <c r="QW149" s="53"/>
      <c r="QX149" s="53"/>
      <c r="QY149" s="53"/>
      <c r="QZ149" s="53"/>
      <c r="RA149" s="53"/>
      <c r="RB149" s="53"/>
      <c r="RC149" s="53"/>
      <c r="RD149" s="53"/>
      <c r="RE149" s="53"/>
      <c r="RF149" s="53"/>
      <c r="RG149" s="53"/>
      <c r="RH149" s="53"/>
      <c r="RI149" s="53"/>
      <c r="RJ149" s="53"/>
      <c r="RK149" s="53"/>
      <c r="RL149" s="53"/>
      <c r="RM149" s="53"/>
      <c r="RN149" s="53"/>
      <c r="RO149" s="53"/>
      <c r="RP149" s="53"/>
      <c r="RQ149" s="53"/>
      <c r="RR149" s="53"/>
      <c r="RS149" s="53"/>
      <c r="RT149" s="53"/>
      <c r="RU149" s="53"/>
      <c r="RV149" s="53"/>
      <c r="RW149" s="53"/>
      <c r="RX149" s="53"/>
      <c r="RY149" s="53"/>
      <c r="RZ149" s="53"/>
      <c r="SA149" s="53"/>
      <c r="SB149" s="53"/>
      <c r="SC149" s="53"/>
      <c r="SD149" s="53"/>
      <c r="SE149" s="53"/>
      <c r="SF149" s="53"/>
      <c r="SG149" s="53"/>
      <c r="SH149" s="53"/>
      <c r="SI149" s="53"/>
      <c r="SJ149" s="53"/>
      <c r="SK149" s="53"/>
      <c r="SL149" s="53"/>
      <c r="SM149" s="53"/>
      <c r="SN149" s="53"/>
      <c r="SO149" s="53"/>
      <c r="SP149" s="53"/>
      <c r="SQ149" s="53"/>
      <c r="SR149" s="53"/>
      <c r="SS149" s="53"/>
      <c r="ST149" s="53"/>
      <c r="SU149" s="53"/>
      <c r="SV149" s="53"/>
      <c r="SW149" s="53"/>
      <c r="SX149" s="53"/>
      <c r="SY149" s="53"/>
      <c r="SZ149" s="53"/>
      <c r="TA149" s="53"/>
      <c r="TB149" s="53"/>
      <c r="TC149" s="53"/>
      <c r="TD149" s="53"/>
      <c r="TE149" s="53"/>
      <c r="TF149" s="53"/>
      <c r="TG149" s="53"/>
      <c r="TH149" s="53"/>
      <c r="TI149" s="53"/>
      <c r="TJ149" s="53"/>
      <c r="TK149" s="53"/>
      <c r="TL149" s="53"/>
      <c r="TM149" s="53"/>
      <c r="TN149" s="53"/>
      <c r="TO149" s="53"/>
      <c r="TP149" s="53"/>
      <c r="TQ149" s="53"/>
      <c r="TR149" s="53"/>
      <c r="TS149" s="53"/>
      <c r="TT149" s="53"/>
      <c r="TU149" s="53"/>
      <c r="TV149" s="53"/>
      <c r="TW149" s="53"/>
      <c r="TX149" s="53"/>
      <c r="TY149" s="53"/>
      <c r="TZ149" s="53"/>
      <c r="UA149" s="53"/>
      <c r="UB149" s="53"/>
      <c r="UC149" s="53"/>
      <c r="UD149" s="53"/>
      <c r="UE149" s="53"/>
      <c r="UF149" s="53"/>
      <c r="UG149" s="53"/>
      <c r="UH149" s="53"/>
      <c r="UI149" s="53"/>
      <c r="UJ149" s="53"/>
      <c r="UK149" s="53"/>
      <c r="UL149" s="53"/>
      <c r="UM149" s="53"/>
      <c r="UN149" s="53"/>
      <c r="UO149" s="53"/>
      <c r="UP149" s="53"/>
      <c r="UQ149" s="53"/>
      <c r="UR149" s="53"/>
      <c r="US149" s="53"/>
      <c r="UT149" s="53"/>
      <c r="UU149" s="53"/>
      <c r="UV149" s="53"/>
      <c r="UW149" s="53"/>
      <c r="UX149" s="53"/>
      <c r="UY149" s="53"/>
      <c r="UZ149" s="53"/>
      <c r="VA149" s="53"/>
      <c r="VB149" s="53"/>
      <c r="VC149" s="53"/>
      <c r="VD149" s="53"/>
      <c r="VE149" s="53"/>
      <c r="VF149" s="53"/>
      <c r="VG149" s="53"/>
      <c r="VH149" s="53"/>
      <c r="VI149" s="53"/>
      <c r="VJ149" s="53"/>
      <c r="VK149" s="53"/>
      <c r="VL149" s="53"/>
    </row>
    <row r="150" spans="1:584" s="47" customFormat="1" ht="15" customHeight="1" x14ac:dyDescent="0.25">
      <c r="A150" s="45"/>
      <c r="B150" s="91"/>
      <c r="C150" s="91"/>
      <c r="D150" s="48" t="str">
        <f>'дод 3'!C90</f>
        <v>у т.ч. за рахунок субвенцій з держбюджету</v>
      </c>
      <c r="E150" s="115">
        <v>70995980</v>
      </c>
      <c r="F150" s="115"/>
      <c r="G150" s="115"/>
      <c r="H150" s="115">
        <v>63024685.789999999</v>
      </c>
      <c r="I150" s="115"/>
      <c r="J150" s="115"/>
      <c r="K150" s="164">
        <f t="shared" si="38"/>
        <v>88.772189340861274</v>
      </c>
      <c r="L150" s="115">
        <f t="shared" si="37"/>
        <v>0</v>
      </c>
      <c r="M150" s="115"/>
      <c r="N150" s="115"/>
      <c r="O150" s="115"/>
      <c r="P150" s="115"/>
      <c r="Q150" s="115"/>
      <c r="R150" s="115">
        <f t="shared" si="39"/>
        <v>0</v>
      </c>
      <c r="S150" s="115"/>
      <c r="T150" s="115"/>
      <c r="U150" s="115"/>
      <c r="V150" s="115"/>
      <c r="W150" s="115"/>
      <c r="X150" s="149"/>
      <c r="Y150" s="115">
        <f t="shared" si="36"/>
        <v>63024685.789999999</v>
      </c>
      <c r="Z150" s="187"/>
      <c r="AA150" s="53"/>
      <c r="AB150" s="53"/>
      <c r="AC150" s="53"/>
      <c r="AD150" s="53"/>
      <c r="AE150" s="79"/>
      <c r="AF150" s="79"/>
      <c r="AG150" s="79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  <c r="IK150" s="53"/>
      <c r="IL150" s="53"/>
      <c r="IM150" s="53"/>
      <c r="IN150" s="53"/>
      <c r="IO150" s="53"/>
      <c r="IP150" s="53"/>
      <c r="IQ150" s="53"/>
      <c r="IR150" s="53"/>
      <c r="IS150" s="53"/>
      <c r="IT150" s="53"/>
      <c r="IU150" s="53"/>
      <c r="IV150" s="53"/>
      <c r="IW150" s="53"/>
      <c r="IX150" s="53"/>
      <c r="IY150" s="53"/>
      <c r="IZ150" s="53"/>
      <c r="JA150" s="53"/>
      <c r="JB150" s="53"/>
      <c r="JC150" s="53"/>
      <c r="JD150" s="53"/>
      <c r="JE150" s="53"/>
      <c r="JF150" s="53"/>
      <c r="JG150" s="53"/>
      <c r="JH150" s="53"/>
      <c r="JI150" s="53"/>
      <c r="JJ150" s="53"/>
      <c r="JK150" s="53"/>
      <c r="JL150" s="53"/>
      <c r="JM150" s="53"/>
      <c r="JN150" s="53"/>
      <c r="JO150" s="53"/>
      <c r="JP150" s="53"/>
      <c r="JQ150" s="53"/>
      <c r="JR150" s="53"/>
      <c r="JS150" s="53"/>
      <c r="JT150" s="53"/>
      <c r="JU150" s="53"/>
      <c r="JV150" s="53"/>
      <c r="JW150" s="53"/>
      <c r="JX150" s="53"/>
      <c r="JY150" s="53"/>
      <c r="JZ150" s="53"/>
      <c r="KA150" s="53"/>
      <c r="KB150" s="53"/>
      <c r="KC150" s="53"/>
      <c r="KD150" s="53"/>
      <c r="KE150" s="53"/>
      <c r="KF150" s="53"/>
      <c r="KG150" s="53"/>
      <c r="KH150" s="53"/>
      <c r="KI150" s="53"/>
      <c r="KJ150" s="53"/>
      <c r="KK150" s="53"/>
      <c r="KL150" s="53"/>
      <c r="KM150" s="53"/>
      <c r="KN150" s="53"/>
      <c r="KO150" s="53"/>
      <c r="KP150" s="53"/>
      <c r="KQ150" s="53"/>
      <c r="KR150" s="53"/>
      <c r="KS150" s="53"/>
      <c r="KT150" s="53"/>
      <c r="KU150" s="53"/>
      <c r="KV150" s="53"/>
      <c r="KW150" s="53"/>
      <c r="KX150" s="53"/>
      <c r="KY150" s="53"/>
      <c r="KZ150" s="53"/>
      <c r="LA150" s="53"/>
      <c r="LB150" s="53"/>
      <c r="LC150" s="53"/>
      <c r="LD150" s="53"/>
      <c r="LE150" s="53"/>
      <c r="LF150" s="53"/>
      <c r="LG150" s="53"/>
      <c r="LH150" s="53"/>
      <c r="LI150" s="53"/>
      <c r="LJ150" s="53"/>
      <c r="LK150" s="53"/>
      <c r="LL150" s="53"/>
      <c r="LM150" s="53"/>
      <c r="LN150" s="53"/>
      <c r="LO150" s="53"/>
      <c r="LP150" s="53"/>
      <c r="LQ150" s="53"/>
      <c r="LR150" s="53"/>
      <c r="LS150" s="53"/>
      <c r="LT150" s="53"/>
      <c r="LU150" s="53"/>
      <c r="LV150" s="53"/>
      <c r="LW150" s="53"/>
      <c r="LX150" s="53"/>
      <c r="LY150" s="53"/>
      <c r="LZ150" s="53"/>
      <c r="MA150" s="53"/>
      <c r="MB150" s="53"/>
      <c r="MC150" s="53"/>
      <c r="MD150" s="53"/>
      <c r="ME150" s="53"/>
      <c r="MF150" s="53"/>
      <c r="MG150" s="53"/>
      <c r="MH150" s="53"/>
      <c r="MI150" s="53"/>
      <c r="MJ150" s="53"/>
      <c r="MK150" s="53"/>
      <c r="ML150" s="53"/>
      <c r="MM150" s="53"/>
      <c r="MN150" s="53"/>
      <c r="MO150" s="53"/>
      <c r="MP150" s="53"/>
      <c r="MQ150" s="53"/>
      <c r="MR150" s="53"/>
      <c r="MS150" s="53"/>
      <c r="MT150" s="53"/>
      <c r="MU150" s="53"/>
      <c r="MV150" s="53"/>
      <c r="MW150" s="53"/>
      <c r="MX150" s="53"/>
      <c r="MY150" s="53"/>
      <c r="MZ150" s="53"/>
      <c r="NA150" s="53"/>
      <c r="NB150" s="53"/>
      <c r="NC150" s="53"/>
      <c r="ND150" s="53"/>
      <c r="NE150" s="53"/>
      <c r="NF150" s="53"/>
      <c r="NG150" s="53"/>
      <c r="NH150" s="53"/>
      <c r="NI150" s="53"/>
      <c r="NJ150" s="53"/>
      <c r="NK150" s="53"/>
      <c r="NL150" s="53"/>
      <c r="NM150" s="53"/>
      <c r="NN150" s="53"/>
      <c r="NO150" s="53"/>
      <c r="NP150" s="53"/>
      <c r="NQ150" s="53"/>
      <c r="NR150" s="53"/>
      <c r="NS150" s="53"/>
      <c r="NT150" s="53"/>
      <c r="NU150" s="53"/>
      <c r="NV150" s="53"/>
      <c r="NW150" s="53"/>
      <c r="NX150" s="53"/>
      <c r="NY150" s="53"/>
      <c r="NZ150" s="53"/>
      <c r="OA150" s="53"/>
      <c r="OB150" s="53"/>
      <c r="OC150" s="53"/>
      <c r="OD150" s="53"/>
      <c r="OE150" s="53"/>
      <c r="OF150" s="53"/>
      <c r="OG150" s="53"/>
      <c r="OH150" s="53"/>
      <c r="OI150" s="53"/>
      <c r="OJ150" s="53"/>
      <c r="OK150" s="53"/>
      <c r="OL150" s="53"/>
      <c r="OM150" s="53"/>
      <c r="ON150" s="53"/>
      <c r="OO150" s="53"/>
      <c r="OP150" s="53"/>
      <c r="OQ150" s="53"/>
      <c r="OR150" s="53"/>
      <c r="OS150" s="53"/>
      <c r="OT150" s="53"/>
      <c r="OU150" s="53"/>
      <c r="OV150" s="53"/>
      <c r="OW150" s="53"/>
      <c r="OX150" s="53"/>
      <c r="OY150" s="53"/>
      <c r="OZ150" s="53"/>
      <c r="PA150" s="53"/>
      <c r="PB150" s="53"/>
      <c r="PC150" s="53"/>
      <c r="PD150" s="53"/>
      <c r="PE150" s="53"/>
      <c r="PF150" s="53"/>
      <c r="PG150" s="53"/>
      <c r="PH150" s="53"/>
      <c r="PI150" s="53"/>
      <c r="PJ150" s="53"/>
      <c r="PK150" s="53"/>
      <c r="PL150" s="53"/>
      <c r="PM150" s="53"/>
      <c r="PN150" s="53"/>
      <c r="PO150" s="53"/>
      <c r="PP150" s="53"/>
      <c r="PQ150" s="53"/>
      <c r="PR150" s="53"/>
      <c r="PS150" s="53"/>
      <c r="PT150" s="53"/>
      <c r="PU150" s="53"/>
      <c r="PV150" s="53"/>
      <c r="PW150" s="53"/>
      <c r="PX150" s="53"/>
      <c r="PY150" s="53"/>
      <c r="PZ150" s="53"/>
      <c r="QA150" s="53"/>
      <c r="QB150" s="53"/>
      <c r="QC150" s="53"/>
      <c r="QD150" s="53"/>
      <c r="QE150" s="53"/>
      <c r="QF150" s="53"/>
      <c r="QG150" s="53"/>
      <c r="QH150" s="53"/>
      <c r="QI150" s="53"/>
      <c r="QJ150" s="53"/>
      <c r="QK150" s="53"/>
      <c r="QL150" s="53"/>
      <c r="QM150" s="53"/>
      <c r="QN150" s="53"/>
      <c r="QO150" s="53"/>
      <c r="QP150" s="53"/>
      <c r="QQ150" s="53"/>
      <c r="QR150" s="53"/>
      <c r="QS150" s="53"/>
      <c r="QT150" s="53"/>
      <c r="QU150" s="53"/>
      <c r="QV150" s="53"/>
      <c r="QW150" s="53"/>
      <c r="QX150" s="53"/>
      <c r="QY150" s="53"/>
      <c r="QZ150" s="53"/>
      <c r="RA150" s="53"/>
      <c r="RB150" s="53"/>
      <c r="RC150" s="53"/>
      <c r="RD150" s="53"/>
      <c r="RE150" s="53"/>
      <c r="RF150" s="53"/>
      <c r="RG150" s="53"/>
      <c r="RH150" s="53"/>
      <c r="RI150" s="53"/>
      <c r="RJ150" s="53"/>
      <c r="RK150" s="53"/>
      <c r="RL150" s="53"/>
      <c r="RM150" s="53"/>
      <c r="RN150" s="53"/>
      <c r="RO150" s="53"/>
      <c r="RP150" s="53"/>
      <c r="RQ150" s="53"/>
      <c r="RR150" s="53"/>
      <c r="RS150" s="53"/>
      <c r="RT150" s="53"/>
      <c r="RU150" s="53"/>
      <c r="RV150" s="53"/>
      <c r="RW150" s="53"/>
      <c r="RX150" s="53"/>
      <c r="RY150" s="53"/>
      <c r="RZ150" s="53"/>
      <c r="SA150" s="53"/>
      <c r="SB150" s="53"/>
      <c r="SC150" s="53"/>
      <c r="SD150" s="53"/>
      <c r="SE150" s="53"/>
      <c r="SF150" s="53"/>
      <c r="SG150" s="53"/>
      <c r="SH150" s="53"/>
      <c r="SI150" s="53"/>
      <c r="SJ150" s="53"/>
      <c r="SK150" s="53"/>
      <c r="SL150" s="53"/>
      <c r="SM150" s="53"/>
      <c r="SN150" s="53"/>
      <c r="SO150" s="53"/>
      <c r="SP150" s="53"/>
      <c r="SQ150" s="53"/>
      <c r="SR150" s="53"/>
      <c r="SS150" s="53"/>
      <c r="ST150" s="53"/>
      <c r="SU150" s="53"/>
      <c r="SV150" s="53"/>
      <c r="SW150" s="53"/>
      <c r="SX150" s="53"/>
      <c r="SY150" s="53"/>
      <c r="SZ150" s="53"/>
      <c r="TA150" s="53"/>
      <c r="TB150" s="53"/>
      <c r="TC150" s="53"/>
      <c r="TD150" s="53"/>
      <c r="TE150" s="53"/>
      <c r="TF150" s="53"/>
      <c r="TG150" s="53"/>
      <c r="TH150" s="53"/>
      <c r="TI150" s="53"/>
      <c r="TJ150" s="53"/>
      <c r="TK150" s="53"/>
      <c r="TL150" s="53"/>
      <c r="TM150" s="53"/>
      <c r="TN150" s="53"/>
      <c r="TO150" s="53"/>
      <c r="TP150" s="53"/>
      <c r="TQ150" s="53"/>
      <c r="TR150" s="53"/>
      <c r="TS150" s="53"/>
      <c r="TT150" s="53"/>
      <c r="TU150" s="53"/>
      <c r="TV150" s="53"/>
      <c r="TW150" s="53"/>
      <c r="TX150" s="53"/>
      <c r="TY150" s="53"/>
      <c r="TZ150" s="53"/>
      <c r="UA150" s="53"/>
      <c r="UB150" s="53"/>
      <c r="UC150" s="53"/>
      <c r="UD150" s="53"/>
      <c r="UE150" s="53"/>
      <c r="UF150" s="53"/>
      <c r="UG150" s="53"/>
      <c r="UH150" s="53"/>
      <c r="UI150" s="53"/>
      <c r="UJ150" s="53"/>
      <c r="UK150" s="53"/>
      <c r="UL150" s="53"/>
      <c r="UM150" s="53"/>
      <c r="UN150" s="53"/>
      <c r="UO150" s="53"/>
      <c r="UP150" s="53"/>
      <c r="UQ150" s="53"/>
      <c r="UR150" s="53"/>
      <c r="US150" s="53"/>
      <c r="UT150" s="53"/>
      <c r="UU150" s="53"/>
      <c r="UV150" s="53"/>
      <c r="UW150" s="53"/>
      <c r="UX150" s="53"/>
      <c r="UY150" s="53"/>
      <c r="UZ150" s="53"/>
      <c r="VA150" s="53"/>
      <c r="VB150" s="53"/>
      <c r="VC150" s="53"/>
      <c r="VD150" s="53"/>
      <c r="VE150" s="53"/>
      <c r="VF150" s="53"/>
      <c r="VG150" s="53"/>
      <c r="VH150" s="53"/>
      <c r="VI150" s="53"/>
      <c r="VJ150" s="53"/>
      <c r="VK150" s="53"/>
      <c r="VL150" s="53"/>
    </row>
    <row r="151" spans="1:584" s="47" customFormat="1" ht="49.5" customHeight="1" x14ac:dyDescent="0.25">
      <c r="A151" s="45" t="s">
        <v>471</v>
      </c>
      <c r="B151" s="91" t="str">
        <f>'дод 3'!A91</f>
        <v>3082</v>
      </c>
      <c r="C151" s="91" t="str">
        <f>'дод 3'!B91</f>
        <v>1010</v>
      </c>
      <c r="D151" s="48" t="str">
        <f>'дод 3'!C91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1" s="115">
        <v>11172650</v>
      </c>
      <c r="F151" s="115"/>
      <c r="G151" s="115"/>
      <c r="H151" s="115">
        <v>11109753.73</v>
      </c>
      <c r="I151" s="115"/>
      <c r="J151" s="115"/>
      <c r="K151" s="164">
        <f t="shared" si="38"/>
        <v>99.437051460486103</v>
      </c>
      <c r="L151" s="115">
        <f t="shared" si="37"/>
        <v>0</v>
      </c>
      <c r="M151" s="115"/>
      <c r="N151" s="115"/>
      <c r="O151" s="115"/>
      <c r="P151" s="115"/>
      <c r="Q151" s="115"/>
      <c r="R151" s="115">
        <f t="shared" si="39"/>
        <v>0</v>
      </c>
      <c r="S151" s="115"/>
      <c r="T151" s="115"/>
      <c r="U151" s="115"/>
      <c r="V151" s="115"/>
      <c r="W151" s="115"/>
      <c r="X151" s="149"/>
      <c r="Y151" s="115">
        <f t="shared" si="36"/>
        <v>11109753.73</v>
      </c>
      <c r="Z151" s="187"/>
      <c r="AA151" s="53"/>
      <c r="AB151" s="53"/>
      <c r="AC151" s="53"/>
      <c r="AD151" s="53"/>
      <c r="AE151" s="79"/>
      <c r="AF151" s="79"/>
      <c r="AG151" s="79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  <c r="IK151" s="53"/>
      <c r="IL151" s="53"/>
      <c r="IM151" s="53"/>
      <c r="IN151" s="53"/>
      <c r="IO151" s="53"/>
      <c r="IP151" s="53"/>
      <c r="IQ151" s="53"/>
      <c r="IR151" s="53"/>
      <c r="IS151" s="53"/>
      <c r="IT151" s="53"/>
      <c r="IU151" s="53"/>
      <c r="IV151" s="53"/>
      <c r="IW151" s="53"/>
      <c r="IX151" s="53"/>
      <c r="IY151" s="53"/>
      <c r="IZ151" s="53"/>
      <c r="JA151" s="53"/>
      <c r="JB151" s="53"/>
      <c r="JC151" s="53"/>
      <c r="JD151" s="53"/>
      <c r="JE151" s="53"/>
      <c r="JF151" s="53"/>
      <c r="JG151" s="53"/>
      <c r="JH151" s="53"/>
      <c r="JI151" s="53"/>
      <c r="JJ151" s="53"/>
      <c r="JK151" s="53"/>
      <c r="JL151" s="53"/>
      <c r="JM151" s="53"/>
      <c r="JN151" s="53"/>
      <c r="JO151" s="53"/>
      <c r="JP151" s="53"/>
      <c r="JQ151" s="53"/>
      <c r="JR151" s="53"/>
      <c r="JS151" s="53"/>
      <c r="JT151" s="53"/>
      <c r="JU151" s="53"/>
      <c r="JV151" s="53"/>
      <c r="JW151" s="53"/>
      <c r="JX151" s="53"/>
      <c r="JY151" s="53"/>
      <c r="JZ151" s="53"/>
      <c r="KA151" s="53"/>
      <c r="KB151" s="53"/>
      <c r="KC151" s="53"/>
      <c r="KD151" s="53"/>
      <c r="KE151" s="53"/>
      <c r="KF151" s="53"/>
      <c r="KG151" s="53"/>
      <c r="KH151" s="53"/>
      <c r="KI151" s="53"/>
      <c r="KJ151" s="53"/>
      <c r="KK151" s="53"/>
      <c r="KL151" s="53"/>
      <c r="KM151" s="53"/>
      <c r="KN151" s="53"/>
      <c r="KO151" s="53"/>
      <c r="KP151" s="53"/>
      <c r="KQ151" s="53"/>
      <c r="KR151" s="53"/>
      <c r="KS151" s="53"/>
      <c r="KT151" s="53"/>
      <c r="KU151" s="53"/>
      <c r="KV151" s="53"/>
      <c r="KW151" s="53"/>
      <c r="KX151" s="53"/>
      <c r="KY151" s="53"/>
      <c r="KZ151" s="53"/>
      <c r="LA151" s="53"/>
      <c r="LB151" s="53"/>
      <c r="LC151" s="53"/>
      <c r="LD151" s="53"/>
      <c r="LE151" s="53"/>
      <c r="LF151" s="53"/>
      <c r="LG151" s="53"/>
      <c r="LH151" s="53"/>
      <c r="LI151" s="53"/>
      <c r="LJ151" s="53"/>
      <c r="LK151" s="53"/>
      <c r="LL151" s="53"/>
      <c r="LM151" s="53"/>
      <c r="LN151" s="53"/>
      <c r="LO151" s="53"/>
      <c r="LP151" s="53"/>
      <c r="LQ151" s="53"/>
      <c r="LR151" s="53"/>
      <c r="LS151" s="53"/>
      <c r="LT151" s="53"/>
      <c r="LU151" s="53"/>
      <c r="LV151" s="53"/>
      <c r="LW151" s="53"/>
      <c r="LX151" s="53"/>
      <c r="LY151" s="53"/>
      <c r="LZ151" s="53"/>
      <c r="MA151" s="53"/>
      <c r="MB151" s="53"/>
      <c r="MC151" s="53"/>
      <c r="MD151" s="53"/>
      <c r="ME151" s="53"/>
      <c r="MF151" s="53"/>
      <c r="MG151" s="53"/>
      <c r="MH151" s="53"/>
      <c r="MI151" s="53"/>
      <c r="MJ151" s="53"/>
      <c r="MK151" s="53"/>
      <c r="ML151" s="53"/>
      <c r="MM151" s="53"/>
      <c r="MN151" s="53"/>
      <c r="MO151" s="53"/>
      <c r="MP151" s="53"/>
      <c r="MQ151" s="53"/>
      <c r="MR151" s="53"/>
      <c r="MS151" s="53"/>
      <c r="MT151" s="53"/>
      <c r="MU151" s="53"/>
      <c r="MV151" s="53"/>
      <c r="MW151" s="53"/>
      <c r="MX151" s="53"/>
      <c r="MY151" s="53"/>
      <c r="MZ151" s="53"/>
      <c r="NA151" s="53"/>
      <c r="NB151" s="53"/>
      <c r="NC151" s="53"/>
      <c r="ND151" s="53"/>
      <c r="NE151" s="53"/>
      <c r="NF151" s="53"/>
      <c r="NG151" s="53"/>
      <c r="NH151" s="53"/>
      <c r="NI151" s="53"/>
      <c r="NJ151" s="53"/>
      <c r="NK151" s="53"/>
      <c r="NL151" s="53"/>
      <c r="NM151" s="53"/>
      <c r="NN151" s="53"/>
      <c r="NO151" s="53"/>
      <c r="NP151" s="53"/>
      <c r="NQ151" s="53"/>
      <c r="NR151" s="53"/>
      <c r="NS151" s="53"/>
      <c r="NT151" s="53"/>
      <c r="NU151" s="53"/>
      <c r="NV151" s="53"/>
      <c r="NW151" s="53"/>
      <c r="NX151" s="53"/>
      <c r="NY151" s="53"/>
      <c r="NZ151" s="53"/>
      <c r="OA151" s="53"/>
      <c r="OB151" s="53"/>
      <c r="OC151" s="53"/>
      <c r="OD151" s="53"/>
      <c r="OE151" s="53"/>
      <c r="OF151" s="53"/>
      <c r="OG151" s="53"/>
      <c r="OH151" s="53"/>
      <c r="OI151" s="53"/>
      <c r="OJ151" s="53"/>
      <c r="OK151" s="53"/>
      <c r="OL151" s="53"/>
      <c r="OM151" s="53"/>
      <c r="ON151" s="53"/>
      <c r="OO151" s="53"/>
      <c r="OP151" s="53"/>
      <c r="OQ151" s="53"/>
      <c r="OR151" s="53"/>
      <c r="OS151" s="53"/>
      <c r="OT151" s="53"/>
      <c r="OU151" s="53"/>
      <c r="OV151" s="53"/>
      <c r="OW151" s="53"/>
      <c r="OX151" s="53"/>
      <c r="OY151" s="53"/>
      <c r="OZ151" s="53"/>
      <c r="PA151" s="53"/>
      <c r="PB151" s="53"/>
      <c r="PC151" s="53"/>
      <c r="PD151" s="53"/>
      <c r="PE151" s="53"/>
      <c r="PF151" s="53"/>
      <c r="PG151" s="53"/>
      <c r="PH151" s="53"/>
      <c r="PI151" s="53"/>
      <c r="PJ151" s="53"/>
      <c r="PK151" s="53"/>
      <c r="PL151" s="53"/>
      <c r="PM151" s="53"/>
      <c r="PN151" s="53"/>
      <c r="PO151" s="53"/>
      <c r="PP151" s="53"/>
      <c r="PQ151" s="53"/>
      <c r="PR151" s="53"/>
      <c r="PS151" s="53"/>
      <c r="PT151" s="53"/>
      <c r="PU151" s="53"/>
      <c r="PV151" s="53"/>
      <c r="PW151" s="53"/>
      <c r="PX151" s="53"/>
      <c r="PY151" s="53"/>
      <c r="PZ151" s="53"/>
      <c r="QA151" s="53"/>
      <c r="QB151" s="53"/>
      <c r="QC151" s="53"/>
      <c r="QD151" s="53"/>
      <c r="QE151" s="53"/>
      <c r="QF151" s="53"/>
      <c r="QG151" s="53"/>
      <c r="QH151" s="53"/>
      <c r="QI151" s="53"/>
      <c r="QJ151" s="53"/>
      <c r="QK151" s="53"/>
      <c r="QL151" s="53"/>
      <c r="QM151" s="53"/>
      <c r="QN151" s="53"/>
      <c r="QO151" s="53"/>
      <c r="QP151" s="53"/>
      <c r="QQ151" s="53"/>
      <c r="QR151" s="53"/>
      <c r="QS151" s="53"/>
      <c r="QT151" s="53"/>
      <c r="QU151" s="53"/>
      <c r="QV151" s="53"/>
      <c r="QW151" s="53"/>
      <c r="QX151" s="53"/>
      <c r="QY151" s="53"/>
      <c r="QZ151" s="53"/>
      <c r="RA151" s="53"/>
      <c r="RB151" s="53"/>
      <c r="RC151" s="53"/>
      <c r="RD151" s="53"/>
      <c r="RE151" s="53"/>
      <c r="RF151" s="53"/>
      <c r="RG151" s="53"/>
      <c r="RH151" s="53"/>
      <c r="RI151" s="53"/>
      <c r="RJ151" s="53"/>
      <c r="RK151" s="53"/>
      <c r="RL151" s="53"/>
      <c r="RM151" s="53"/>
      <c r="RN151" s="53"/>
      <c r="RO151" s="53"/>
      <c r="RP151" s="53"/>
      <c r="RQ151" s="53"/>
      <c r="RR151" s="53"/>
      <c r="RS151" s="53"/>
      <c r="RT151" s="53"/>
      <c r="RU151" s="53"/>
      <c r="RV151" s="53"/>
      <c r="RW151" s="53"/>
      <c r="RX151" s="53"/>
      <c r="RY151" s="53"/>
      <c r="RZ151" s="53"/>
      <c r="SA151" s="53"/>
      <c r="SB151" s="53"/>
      <c r="SC151" s="53"/>
      <c r="SD151" s="53"/>
      <c r="SE151" s="53"/>
      <c r="SF151" s="53"/>
      <c r="SG151" s="53"/>
      <c r="SH151" s="53"/>
      <c r="SI151" s="53"/>
      <c r="SJ151" s="53"/>
      <c r="SK151" s="53"/>
      <c r="SL151" s="53"/>
      <c r="SM151" s="53"/>
      <c r="SN151" s="53"/>
      <c r="SO151" s="53"/>
      <c r="SP151" s="53"/>
      <c r="SQ151" s="53"/>
      <c r="SR151" s="53"/>
      <c r="SS151" s="53"/>
      <c r="ST151" s="53"/>
      <c r="SU151" s="53"/>
      <c r="SV151" s="53"/>
      <c r="SW151" s="53"/>
      <c r="SX151" s="53"/>
      <c r="SY151" s="53"/>
      <c r="SZ151" s="53"/>
      <c r="TA151" s="53"/>
      <c r="TB151" s="53"/>
      <c r="TC151" s="53"/>
      <c r="TD151" s="53"/>
      <c r="TE151" s="53"/>
      <c r="TF151" s="53"/>
      <c r="TG151" s="53"/>
      <c r="TH151" s="53"/>
      <c r="TI151" s="53"/>
      <c r="TJ151" s="53"/>
      <c r="TK151" s="53"/>
      <c r="TL151" s="53"/>
      <c r="TM151" s="53"/>
      <c r="TN151" s="53"/>
      <c r="TO151" s="53"/>
      <c r="TP151" s="53"/>
      <c r="TQ151" s="53"/>
      <c r="TR151" s="53"/>
      <c r="TS151" s="53"/>
      <c r="TT151" s="53"/>
      <c r="TU151" s="53"/>
      <c r="TV151" s="53"/>
      <c r="TW151" s="53"/>
      <c r="TX151" s="53"/>
      <c r="TY151" s="53"/>
      <c r="TZ151" s="53"/>
      <c r="UA151" s="53"/>
      <c r="UB151" s="53"/>
      <c r="UC151" s="53"/>
      <c r="UD151" s="53"/>
      <c r="UE151" s="53"/>
      <c r="UF151" s="53"/>
      <c r="UG151" s="53"/>
      <c r="UH151" s="53"/>
      <c r="UI151" s="53"/>
      <c r="UJ151" s="53"/>
      <c r="UK151" s="53"/>
      <c r="UL151" s="53"/>
      <c r="UM151" s="53"/>
      <c r="UN151" s="53"/>
      <c r="UO151" s="53"/>
      <c r="UP151" s="53"/>
      <c r="UQ151" s="53"/>
      <c r="UR151" s="53"/>
      <c r="US151" s="53"/>
      <c r="UT151" s="53"/>
      <c r="UU151" s="53"/>
      <c r="UV151" s="53"/>
      <c r="UW151" s="53"/>
      <c r="UX151" s="53"/>
      <c r="UY151" s="53"/>
      <c r="UZ151" s="53"/>
      <c r="VA151" s="53"/>
      <c r="VB151" s="53"/>
      <c r="VC151" s="53"/>
      <c r="VD151" s="53"/>
      <c r="VE151" s="53"/>
      <c r="VF151" s="53"/>
      <c r="VG151" s="53"/>
      <c r="VH151" s="53"/>
      <c r="VI151" s="53"/>
      <c r="VJ151" s="53"/>
      <c r="VK151" s="53"/>
      <c r="VL151" s="53"/>
    </row>
    <row r="152" spans="1:584" s="47" customFormat="1" ht="15.75" customHeight="1" x14ac:dyDescent="0.25">
      <c r="A152" s="45"/>
      <c r="B152" s="91"/>
      <c r="C152" s="91"/>
      <c r="D152" s="48" t="str">
        <f>'дод 3'!C92</f>
        <v>у т.ч. за рахунок субвенцій з держбюджету</v>
      </c>
      <c r="E152" s="115">
        <v>11172650</v>
      </c>
      <c r="F152" s="115"/>
      <c r="G152" s="115"/>
      <c r="H152" s="115">
        <v>11109753.73</v>
      </c>
      <c r="I152" s="115"/>
      <c r="J152" s="115"/>
      <c r="K152" s="164">
        <f t="shared" si="38"/>
        <v>99.437051460486103</v>
      </c>
      <c r="L152" s="115">
        <f t="shared" si="37"/>
        <v>0</v>
      </c>
      <c r="M152" s="115"/>
      <c r="N152" s="115"/>
      <c r="O152" s="115"/>
      <c r="P152" s="115"/>
      <c r="Q152" s="115"/>
      <c r="R152" s="115">
        <f t="shared" si="39"/>
        <v>0</v>
      </c>
      <c r="S152" s="115"/>
      <c r="T152" s="115"/>
      <c r="U152" s="115"/>
      <c r="V152" s="115"/>
      <c r="W152" s="115"/>
      <c r="X152" s="149"/>
      <c r="Y152" s="115">
        <f t="shared" si="36"/>
        <v>11109753.73</v>
      </c>
      <c r="Z152" s="187"/>
      <c r="AA152" s="53"/>
      <c r="AB152" s="53"/>
      <c r="AC152" s="53"/>
      <c r="AD152" s="53"/>
      <c r="AE152" s="79"/>
      <c r="AF152" s="79"/>
      <c r="AG152" s="79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  <c r="IK152" s="53"/>
      <c r="IL152" s="53"/>
      <c r="IM152" s="53"/>
      <c r="IN152" s="53"/>
      <c r="IO152" s="53"/>
      <c r="IP152" s="53"/>
      <c r="IQ152" s="53"/>
      <c r="IR152" s="53"/>
      <c r="IS152" s="53"/>
      <c r="IT152" s="53"/>
      <c r="IU152" s="53"/>
      <c r="IV152" s="53"/>
      <c r="IW152" s="53"/>
      <c r="IX152" s="53"/>
      <c r="IY152" s="53"/>
      <c r="IZ152" s="53"/>
      <c r="JA152" s="53"/>
      <c r="JB152" s="53"/>
      <c r="JC152" s="53"/>
      <c r="JD152" s="53"/>
      <c r="JE152" s="53"/>
      <c r="JF152" s="53"/>
      <c r="JG152" s="53"/>
      <c r="JH152" s="53"/>
      <c r="JI152" s="53"/>
      <c r="JJ152" s="53"/>
      <c r="JK152" s="53"/>
      <c r="JL152" s="53"/>
      <c r="JM152" s="53"/>
      <c r="JN152" s="53"/>
      <c r="JO152" s="53"/>
      <c r="JP152" s="53"/>
      <c r="JQ152" s="53"/>
      <c r="JR152" s="53"/>
      <c r="JS152" s="53"/>
      <c r="JT152" s="53"/>
      <c r="JU152" s="53"/>
      <c r="JV152" s="53"/>
      <c r="JW152" s="53"/>
      <c r="JX152" s="53"/>
      <c r="JY152" s="53"/>
      <c r="JZ152" s="53"/>
      <c r="KA152" s="53"/>
      <c r="KB152" s="53"/>
      <c r="KC152" s="53"/>
      <c r="KD152" s="53"/>
      <c r="KE152" s="53"/>
      <c r="KF152" s="53"/>
      <c r="KG152" s="53"/>
      <c r="KH152" s="53"/>
      <c r="KI152" s="53"/>
      <c r="KJ152" s="53"/>
      <c r="KK152" s="53"/>
      <c r="KL152" s="53"/>
      <c r="KM152" s="53"/>
      <c r="KN152" s="53"/>
      <c r="KO152" s="53"/>
      <c r="KP152" s="53"/>
      <c r="KQ152" s="53"/>
      <c r="KR152" s="53"/>
      <c r="KS152" s="53"/>
      <c r="KT152" s="53"/>
      <c r="KU152" s="53"/>
      <c r="KV152" s="53"/>
      <c r="KW152" s="53"/>
      <c r="KX152" s="53"/>
      <c r="KY152" s="53"/>
      <c r="KZ152" s="53"/>
      <c r="LA152" s="53"/>
      <c r="LB152" s="53"/>
      <c r="LC152" s="53"/>
      <c r="LD152" s="53"/>
      <c r="LE152" s="53"/>
      <c r="LF152" s="53"/>
      <c r="LG152" s="53"/>
      <c r="LH152" s="53"/>
      <c r="LI152" s="53"/>
      <c r="LJ152" s="53"/>
      <c r="LK152" s="53"/>
      <c r="LL152" s="53"/>
      <c r="LM152" s="53"/>
      <c r="LN152" s="53"/>
      <c r="LO152" s="53"/>
      <c r="LP152" s="53"/>
      <c r="LQ152" s="53"/>
      <c r="LR152" s="53"/>
      <c r="LS152" s="53"/>
      <c r="LT152" s="53"/>
      <c r="LU152" s="53"/>
      <c r="LV152" s="53"/>
      <c r="LW152" s="53"/>
      <c r="LX152" s="53"/>
      <c r="LY152" s="53"/>
      <c r="LZ152" s="53"/>
      <c r="MA152" s="53"/>
      <c r="MB152" s="53"/>
      <c r="MC152" s="53"/>
      <c r="MD152" s="53"/>
      <c r="ME152" s="53"/>
      <c r="MF152" s="53"/>
      <c r="MG152" s="53"/>
      <c r="MH152" s="53"/>
      <c r="MI152" s="53"/>
      <c r="MJ152" s="53"/>
      <c r="MK152" s="53"/>
      <c r="ML152" s="53"/>
      <c r="MM152" s="53"/>
      <c r="MN152" s="53"/>
      <c r="MO152" s="53"/>
      <c r="MP152" s="53"/>
      <c r="MQ152" s="53"/>
      <c r="MR152" s="53"/>
      <c r="MS152" s="53"/>
      <c r="MT152" s="53"/>
      <c r="MU152" s="53"/>
      <c r="MV152" s="53"/>
      <c r="MW152" s="53"/>
      <c r="MX152" s="53"/>
      <c r="MY152" s="53"/>
      <c r="MZ152" s="53"/>
      <c r="NA152" s="53"/>
      <c r="NB152" s="53"/>
      <c r="NC152" s="53"/>
      <c r="ND152" s="53"/>
      <c r="NE152" s="53"/>
      <c r="NF152" s="53"/>
      <c r="NG152" s="53"/>
      <c r="NH152" s="53"/>
      <c r="NI152" s="53"/>
      <c r="NJ152" s="53"/>
      <c r="NK152" s="53"/>
      <c r="NL152" s="53"/>
      <c r="NM152" s="53"/>
      <c r="NN152" s="53"/>
      <c r="NO152" s="53"/>
      <c r="NP152" s="53"/>
      <c r="NQ152" s="53"/>
      <c r="NR152" s="53"/>
      <c r="NS152" s="53"/>
      <c r="NT152" s="53"/>
      <c r="NU152" s="53"/>
      <c r="NV152" s="53"/>
      <c r="NW152" s="53"/>
      <c r="NX152" s="53"/>
      <c r="NY152" s="53"/>
      <c r="NZ152" s="53"/>
      <c r="OA152" s="53"/>
      <c r="OB152" s="53"/>
      <c r="OC152" s="53"/>
      <c r="OD152" s="53"/>
      <c r="OE152" s="53"/>
      <c r="OF152" s="53"/>
      <c r="OG152" s="53"/>
      <c r="OH152" s="53"/>
      <c r="OI152" s="53"/>
      <c r="OJ152" s="53"/>
      <c r="OK152" s="53"/>
      <c r="OL152" s="53"/>
      <c r="OM152" s="53"/>
      <c r="ON152" s="53"/>
      <c r="OO152" s="53"/>
      <c r="OP152" s="53"/>
      <c r="OQ152" s="53"/>
      <c r="OR152" s="53"/>
      <c r="OS152" s="53"/>
      <c r="OT152" s="53"/>
      <c r="OU152" s="53"/>
      <c r="OV152" s="53"/>
      <c r="OW152" s="53"/>
      <c r="OX152" s="53"/>
      <c r="OY152" s="53"/>
      <c r="OZ152" s="53"/>
      <c r="PA152" s="53"/>
      <c r="PB152" s="53"/>
      <c r="PC152" s="53"/>
      <c r="PD152" s="53"/>
      <c r="PE152" s="53"/>
      <c r="PF152" s="53"/>
      <c r="PG152" s="53"/>
      <c r="PH152" s="53"/>
      <c r="PI152" s="53"/>
      <c r="PJ152" s="53"/>
      <c r="PK152" s="53"/>
      <c r="PL152" s="53"/>
      <c r="PM152" s="53"/>
      <c r="PN152" s="53"/>
      <c r="PO152" s="53"/>
      <c r="PP152" s="53"/>
      <c r="PQ152" s="53"/>
      <c r="PR152" s="53"/>
      <c r="PS152" s="53"/>
      <c r="PT152" s="53"/>
      <c r="PU152" s="53"/>
      <c r="PV152" s="53"/>
      <c r="PW152" s="53"/>
      <c r="PX152" s="53"/>
      <c r="PY152" s="53"/>
      <c r="PZ152" s="53"/>
      <c r="QA152" s="53"/>
      <c r="QB152" s="53"/>
      <c r="QC152" s="53"/>
      <c r="QD152" s="53"/>
      <c r="QE152" s="53"/>
      <c r="QF152" s="53"/>
      <c r="QG152" s="53"/>
      <c r="QH152" s="53"/>
      <c r="QI152" s="53"/>
      <c r="QJ152" s="53"/>
      <c r="QK152" s="53"/>
      <c r="QL152" s="53"/>
      <c r="QM152" s="53"/>
      <c r="QN152" s="53"/>
      <c r="QO152" s="53"/>
      <c r="QP152" s="53"/>
      <c r="QQ152" s="53"/>
      <c r="QR152" s="53"/>
      <c r="QS152" s="53"/>
      <c r="QT152" s="53"/>
      <c r="QU152" s="53"/>
      <c r="QV152" s="53"/>
      <c r="QW152" s="53"/>
      <c r="QX152" s="53"/>
      <c r="QY152" s="53"/>
      <c r="QZ152" s="53"/>
      <c r="RA152" s="53"/>
      <c r="RB152" s="53"/>
      <c r="RC152" s="53"/>
      <c r="RD152" s="53"/>
      <c r="RE152" s="53"/>
      <c r="RF152" s="53"/>
      <c r="RG152" s="53"/>
      <c r="RH152" s="53"/>
      <c r="RI152" s="53"/>
      <c r="RJ152" s="53"/>
      <c r="RK152" s="53"/>
      <c r="RL152" s="53"/>
      <c r="RM152" s="53"/>
      <c r="RN152" s="53"/>
      <c r="RO152" s="53"/>
      <c r="RP152" s="53"/>
      <c r="RQ152" s="53"/>
      <c r="RR152" s="53"/>
      <c r="RS152" s="53"/>
      <c r="RT152" s="53"/>
      <c r="RU152" s="53"/>
      <c r="RV152" s="53"/>
      <c r="RW152" s="53"/>
      <c r="RX152" s="53"/>
      <c r="RY152" s="53"/>
      <c r="RZ152" s="53"/>
      <c r="SA152" s="53"/>
      <c r="SB152" s="53"/>
      <c r="SC152" s="53"/>
      <c r="SD152" s="53"/>
      <c r="SE152" s="53"/>
      <c r="SF152" s="53"/>
      <c r="SG152" s="53"/>
      <c r="SH152" s="53"/>
      <c r="SI152" s="53"/>
      <c r="SJ152" s="53"/>
      <c r="SK152" s="53"/>
      <c r="SL152" s="53"/>
      <c r="SM152" s="53"/>
      <c r="SN152" s="53"/>
      <c r="SO152" s="53"/>
      <c r="SP152" s="53"/>
      <c r="SQ152" s="53"/>
      <c r="SR152" s="53"/>
      <c r="SS152" s="53"/>
      <c r="ST152" s="53"/>
      <c r="SU152" s="53"/>
      <c r="SV152" s="53"/>
      <c r="SW152" s="53"/>
      <c r="SX152" s="53"/>
      <c r="SY152" s="53"/>
      <c r="SZ152" s="53"/>
      <c r="TA152" s="53"/>
      <c r="TB152" s="53"/>
      <c r="TC152" s="53"/>
      <c r="TD152" s="53"/>
      <c r="TE152" s="53"/>
      <c r="TF152" s="53"/>
      <c r="TG152" s="53"/>
      <c r="TH152" s="53"/>
      <c r="TI152" s="53"/>
      <c r="TJ152" s="53"/>
      <c r="TK152" s="53"/>
      <c r="TL152" s="53"/>
      <c r="TM152" s="53"/>
      <c r="TN152" s="53"/>
      <c r="TO152" s="53"/>
      <c r="TP152" s="53"/>
      <c r="TQ152" s="53"/>
      <c r="TR152" s="53"/>
      <c r="TS152" s="53"/>
      <c r="TT152" s="53"/>
      <c r="TU152" s="53"/>
      <c r="TV152" s="53"/>
      <c r="TW152" s="53"/>
      <c r="TX152" s="53"/>
      <c r="TY152" s="53"/>
      <c r="TZ152" s="53"/>
      <c r="UA152" s="53"/>
      <c r="UB152" s="53"/>
      <c r="UC152" s="53"/>
      <c r="UD152" s="53"/>
      <c r="UE152" s="53"/>
      <c r="UF152" s="53"/>
      <c r="UG152" s="53"/>
      <c r="UH152" s="53"/>
      <c r="UI152" s="53"/>
      <c r="UJ152" s="53"/>
      <c r="UK152" s="53"/>
      <c r="UL152" s="53"/>
      <c r="UM152" s="53"/>
      <c r="UN152" s="53"/>
      <c r="UO152" s="53"/>
      <c r="UP152" s="53"/>
      <c r="UQ152" s="53"/>
      <c r="UR152" s="53"/>
      <c r="US152" s="53"/>
      <c r="UT152" s="53"/>
      <c r="UU152" s="53"/>
      <c r="UV152" s="53"/>
      <c r="UW152" s="53"/>
      <c r="UX152" s="53"/>
      <c r="UY152" s="53"/>
      <c r="UZ152" s="53"/>
      <c r="VA152" s="53"/>
      <c r="VB152" s="53"/>
      <c r="VC152" s="53"/>
      <c r="VD152" s="53"/>
      <c r="VE152" s="53"/>
      <c r="VF152" s="53"/>
      <c r="VG152" s="53"/>
      <c r="VH152" s="53"/>
      <c r="VI152" s="53"/>
      <c r="VJ152" s="53"/>
      <c r="VK152" s="53"/>
      <c r="VL152" s="53"/>
    </row>
    <row r="153" spans="1:584" s="47" customFormat="1" ht="31.5" customHeight="1" x14ac:dyDescent="0.25">
      <c r="A153" s="45" t="s">
        <v>472</v>
      </c>
      <c r="B153" s="91" t="str">
        <f>'дод 3'!A93</f>
        <v>3083</v>
      </c>
      <c r="C153" s="91" t="str">
        <f>'дод 3'!B93</f>
        <v>1010</v>
      </c>
      <c r="D153" s="48" t="str">
        <f>'дод 3'!C93</f>
        <v>Надання допомоги по догляду за особами з інвалідністю I чи II групи внаслідок психічного розладу</v>
      </c>
      <c r="E153" s="115">
        <v>12253970</v>
      </c>
      <c r="F153" s="115"/>
      <c r="G153" s="115"/>
      <c r="H153" s="115">
        <v>10515222.199999999</v>
      </c>
      <c r="I153" s="115"/>
      <c r="J153" s="115"/>
      <c r="K153" s="164">
        <f t="shared" si="38"/>
        <v>85.810738887070883</v>
      </c>
      <c r="L153" s="115">
        <f t="shared" si="37"/>
        <v>0</v>
      </c>
      <c r="M153" s="115"/>
      <c r="N153" s="115"/>
      <c r="O153" s="115"/>
      <c r="P153" s="115"/>
      <c r="Q153" s="115"/>
      <c r="R153" s="115">
        <f t="shared" si="39"/>
        <v>0</v>
      </c>
      <c r="S153" s="115"/>
      <c r="T153" s="115"/>
      <c r="U153" s="115"/>
      <c r="V153" s="115"/>
      <c r="W153" s="115"/>
      <c r="X153" s="149"/>
      <c r="Y153" s="115">
        <f t="shared" si="36"/>
        <v>10515222.199999999</v>
      </c>
      <c r="Z153" s="187"/>
      <c r="AA153" s="53"/>
      <c r="AB153" s="53"/>
      <c r="AC153" s="53"/>
      <c r="AD153" s="53"/>
      <c r="AE153" s="79"/>
      <c r="AF153" s="79"/>
      <c r="AG153" s="79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/>
      <c r="IQ153" s="53"/>
      <c r="IR153" s="53"/>
      <c r="IS153" s="53"/>
      <c r="IT153" s="53"/>
      <c r="IU153" s="53"/>
      <c r="IV153" s="53"/>
      <c r="IW153" s="53"/>
      <c r="IX153" s="53"/>
      <c r="IY153" s="53"/>
      <c r="IZ153" s="53"/>
      <c r="JA153" s="53"/>
      <c r="JB153" s="53"/>
      <c r="JC153" s="53"/>
      <c r="JD153" s="53"/>
      <c r="JE153" s="53"/>
      <c r="JF153" s="53"/>
      <c r="JG153" s="53"/>
      <c r="JH153" s="53"/>
      <c r="JI153" s="53"/>
      <c r="JJ153" s="53"/>
      <c r="JK153" s="53"/>
      <c r="JL153" s="53"/>
      <c r="JM153" s="53"/>
      <c r="JN153" s="53"/>
      <c r="JO153" s="53"/>
      <c r="JP153" s="53"/>
      <c r="JQ153" s="53"/>
      <c r="JR153" s="53"/>
      <c r="JS153" s="53"/>
      <c r="JT153" s="53"/>
      <c r="JU153" s="53"/>
      <c r="JV153" s="53"/>
      <c r="JW153" s="53"/>
      <c r="JX153" s="53"/>
      <c r="JY153" s="53"/>
      <c r="JZ153" s="53"/>
      <c r="KA153" s="53"/>
      <c r="KB153" s="53"/>
      <c r="KC153" s="53"/>
      <c r="KD153" s="53"/>
      <c r="KE153" s="53"/>
      <c r="KF153" s="53"/>
      <c r="KG153" s="53"/>
      <c r="KH153" s="53"/>
      <c r="KI153" s="53"/>
      <c r="KJ153" s="53"/>
      <c r="KK153" s="53"/>
      <c r="KL153" s="53"/>
      <c r="KM153" s="53"/>
      <c r="KN153" s="53"/>
      <c r="KO153" s="53"/>
      <c r="KP153" s="53"/>
      <c r="KQ153" s="53"/>
      <c r="KR153" s="53"/>
      <c r="KS153" s="53"/>
      <c r="KT153" s="53"/>
      <c r="KU153" s="53"/>
      <c r="KV153" s="53"/>
      <c r="KW153" s="53"/>
      <c r="KX153" s="53"/>
      <c r="KY153" s="53"/>
      <c r="KZ153" s="53"/>
      <c r="LA153" s="53"/>
      <c r="LB153" s="53"/>
      <c r="LC153" s="53"/>
      <c r="LD153" s="53"/>
      <c r="LE153" s="53"/>
      <c r="LF153" s="53"/>
      <c r="LG153" s="53"/>
      <c r="LH153" s="53"/>
      <c r="LI153" s="53"/>
      <c r="LJ153" s="53"/>
      <c r="LK153" s="53"/>
      <c r="LL153" s="53"/>
      <c r="LM153" s="53"/>
      <c r="LN153" s="53"/>
      <c r="LO153" s="53"/>
      <c r="LP153" s="53"/>
      <c r="LQ153" s="53"/>
      <c r="LR153" s="53"/>
      <c r="LS153" s="53"/>
      <c r="LT153" s="53"/>
      <c r="LU153" s="53"/>
      <c r="LV153" s="53"/>
      <c r="LW153" s="53"/>
      <c r="LX153" s="53"/>
      <c r="LY153" s="53"/>
      <c r="LZ153" s="53"/>
      <c r="MA153" s="53"/>
      <c r="MB153" s="53"/>
      <c r="MC153" s="53"/>
      <c r="MD153" s="53"/>
      <c r="ME153" s="53"/>
      <c r="MF153" s="53"/>
      <c r="MG153" s="53"/>
      <c r="MH153" s="53"/>
      <c r="MI153" s="53"/>
      <c r="MJ153" s="53"/>
      <c r="MK153" s="53"/>
      <c r="ML153" s="53"/>
      <c r="MM153" s="53"/>
      <c r="MN153" s="53"/>
      <c r="MO153" s="53"/>
      <c r="MP153" s="53"/>
      <c r="MQ153" s="53"/>
      <c r="MR153" s="53"/>
      <c r="MS153" s="53"/>
      <c r="MT153" s="53"/>
      <c r="MU153" s="53"/>
      <c r="MV153" s="53"/>
      <c r="MW153" s="53"/>
      <c r="MX153" s="53"/>
      <c r="MY153" s="53"/>
      <c r="MZ153" s="53"/>
      <c r="NA153" s="53"/>
      <c r="NB153" s="53"/>
      <c r="NC153" s="53"/>
      <c r="ND153" s="53"/>
      <c r="NE153" s="53"/>
      <c r="NF153" s="53"/>
      <c r="NG153" s="53"/>
      <c r="NH153" s="53"/>
      <c r="NI153" s="53"/>
      <c r="NJ153" s="53"/>
      <c r="NK153" s="53"/>
      <c r="NL153" s="53"/>
      <c r="NM153" s="53"/>
      <c r="NN153" s="53"/>
      <c r="NO153" s="53"/>
      <c r="NP153" s="53"/>
      <c r="NQ153" s="53"/>
      <c r="NR153" s="53"/>
      <c r="NS153" s="53"/>
      <c r="NT153" s="53"/>
      <c r="NU153" s="53"/>
      <c r="NV153" s="53"/>
      <c r="NW153" s="53"/>
      <c r="NX153" s="53"/>
      <c r="NY153" s="53"/>
      <c r="NZ153" s="53"/>
      <c r="OA153" s="53"/>
      <c r="OB153" s="53"/>
      <c r="OC153" s="53"/>
      <c r="OD153" s="53"/>
      <c r="OE153" s="53"/>
      <c r="OF153" s="53"/>
      <c r="OG153" s="53"/>
      <c r="OH153" s="53"/>
      <c r="OI153" s="53"/>
      <c r="OJ153" s="53"/>
      <c r="OK153" s="53"/>
      <c r="OL153" s="53"/>
      <c r="OM153" s="53"/>
      <c r="ON153" s="53"/>
      <c r="OO153" s="53"/>
      <c r="OP153" s="53"/>
      <c r="OQ153" s="53"/>
      <c r="OR153" s="53"/>
      <c r="OS153" s="53"/>
      <c r="OT153" s="53"/>
      <c r="OU153" s="53"/>
      <c r="OV153" s="53"/>
      <c r="OW153" s="53"/>
      <c r="OX153" s="53"/>
      <c r="OY153" s="53"/>
      <c r="OZ153" s="53"/>
      <c r="PA153" s="53"/>
      <c r="PB153" s="53"/>
      <c r="PC153" s="53"/>
      <c r="PD153" s="53"/>
      <c r="PE153" s="53"/>
      <c r="PF153" s="53"/>
      <c r="PG153" s="53"/>
      <c r="PH153" s="53"/>
      <c r="PI153" s="53"/>
      <c r="PJ153" s="53"/>
      <c r="PK153" s="53"/>
      <c r="PL153" s="53"/>
      <c r="PM153" s="53"/>
      <c r="PN153" s="53"/>
      <c r="PO153" s="53"/>
      <c r="PP153" s="53"/>
      <c r="PQ153" s="53"/>
      <c r="PR153" s="53"/>
      <c r="PS153" s="53"/>
      <c r="PT153" s="53"/>
      <c r="PU153" s="53"/>
      <c r="PV153" s="53"/>
      <c r="PW153" s="53"/>
      <c r="PX153" s="53"/>
      <c r="PY153" s="53"/>
      <c r="PZ153" s="53"/>
      <c r="QA153" s="53"/>
      <c r="QB153" s="53"/>
      <c r="QC153" s="53"/>
      <c r="QD153" s="53"/>
      <c r="QE153" s="53"/>
      <c r="QF153" s="53"/>
      <c r="QG153" s="53"/>
      <c r="QH153" s="53"/>
      <c r="QI153" s="53"/>
      <c r="QJ153" s="53"/>
      <c r="QK153" s="53"/>
      <c r="QL153" s="53"/>
      <c r="QM153" s="53"/>
      <c r="QN153" s="53"/>
      <c r="QO153" s="53"/>
      <c r="QP153" s="53"/>
      <c r="QQ153" s="53"/>
      <c r="QR153" s="53"/>
      <c r="QS153" s="53"/>
      <c r="QT153" s="53"/>
      <c r="QU153" s="53"/>
      <c r="QV153" s="53"/>
      <c r="QW153" s="53"/>
      <c r="QX153" s="53"/>
      <c r="QY153" s="53"/>
      <c r="QZ153" s="53"/>
      <c r="RA153" s="53"/>
      <c r="RB153" s="53"/>
      <c r="RC153" s="53"/>
      <c r="RD153" s="53"/>
      <c r="RE153" s="53"/>
      <c r="RF153" s="53"/>
      <c r="RG153" s="53"/>
      <c r="RH153" s="53"/>
      <c r="RI153" s="53"/>
      <c r="RJ153" s="53"/>
      <c r="RK153" s="53"/>
      <c r="RL153" s="53"/>
      <c r="RM153" s="53"/>
      <c r="RN153" s="53"/>
      <c r="RO153" s="53"/>
      <c r="RP153" s="53"/>
      <c r="RQ153" s="53"/>
      <c r="RR153" s="53"/>
      <c r="RS153" s="53"/>
      <c r="RT153" s="53"/>
      <c r="RU153" s="53"/>
      <c r="RV153" s="53"/>
      <c r="RW153" s="53"/>
      <c r="RX153" s="53"/>
      <c r="RY153" s="53"/>
      <c r="RZ153" s="53"/>
      <c r="SA153" s="53"/>
      <c r="SB153" s="53"/>
      <c r="SC153" s="53"/>
      <c r="SD153" s="53"/>
      <c r="SE153" s="53"/>
      <c r="SF153" s="53"/>
      <c r="SG153" s="53"/>
      <c r="SH153" s="53"/>
      <c r="SI153" s="53"/>
      <c r="SJ153" s="53"/>
      <c r="SK153" s="53"/>
      <c r="SL153" s="53"/>
      <c r="SM153" s="53"/>
      <c r="SN153" s="53"/>
      <c r="SO153" s="53"/>
      <c r="SP153" s="53"/>
      <c r="SQ153" s="53"/>
      <c r="SR153" s="53"/>
      <c r="SS153" s="53"/>
      <c r="ST153" s="53"/>
      <c r="SU153" s="53"/>
      <c r="SV153" s="53"/>
      <c r="SW153" s="53"/>
      <c r="SX153" s="53"/>
      <c r="SY153" s="53"/>
      <c r="SZ153" s="53"/>
      <c r="TA153" s="53"/>
      <c r="TB153" s="53"/>
      <c r="TC153" s="53"/>
      <c r="TD153" s="53"/>
      <c r="TE153" s="53"/>
      <c r="TF153" s="53"/>
      <c r="TG153" s="53"/>
      <c r="TH153" s="53"/>
      <c r="TI153" s="53"/>
      <c r="TJ153" s="53"/>
      <c r="TK153" s="53"/>
      <c r="TL153" s="53"/>
      <c r="TM153" s="53"/>
      <c r="TN153" s="53"/>
      <c r="TO153" s="53"/>
      <c r="TP153" s="53"/>
      <c r="TQ153" s="53"/>
      <c r="TR153" s="53"/>
      <c r="TS153" s="53"/>
      <c r="TT153" s="53"/>
      <c r="TU153" s="53"/>
      <c r="TV153" s="53"/>
      <c r="TW153" s="53"/>
      <c r="TX153" s="53"/>
      <c r="TY153" s="53"/>
      <c r="TZ153" s="53"/>
      <c r="UA153" s="53"/>
      <c r="UB153" s="53"/>
      <c r="UC153" s="53"/>
      <c r="UD153" s="53"/>
      <c r="UE153" s="53"/>
      <c r="UF153" s="53"/>
      <c r="UG153" s="53"/>
      <c r="UH153" s="53"/>
      <c r="UI153" s="53"/>
      <c r="UJ153" s="53"/>
      <c r="UK153" s="53"/>
      <c r="UL153" s="53"/>
      <c r="UM153" s="53"/>
      <c r="UN153" s="53"/>
      <c r="UO153" s="53"/>
      <c r="UP153" s="53"/>
      <c r="UQ153" s="53"/>
      <c r="UR153" s="53"/>
      <c r="US153" s="53"/>
      <c r="UT153" s="53"/>
      <c r="UU153" s="53"/>
      <c r="UV153" s="53"/>
      <c r="UW153" s="53"/>
      <c r="UX153" s="53"/>
      <c r="UY153" s="53"/>
      <c r="UZ153" s="53"/>
      <c r="VA153" s="53"/>
      <c r="VB153" s="53"/>
      <c r="VC153" s="53"/>
      <c r="VD153" s="53"/>
      <c r="VE153" s="53"/>
      <c r="VF153" s="53"/>
      <c r="VG153" s="53"/>
      <c r="VH153" s="53"/>
      <c r="VI153" s="53"/>
      <c r="VJ153" s="53"/>
      <c r="VK153" s="53"/>
      <c r="VL153" s="53"/>
    </row>
    <row r="154" spans="1:584" s="47" customFormat="1" ht="14.25" customHeight="1" x14ac:dyDescent="0.25">
      <c r="A154" s="45"/>
      <c r="B154" s="91"/>
      <c r="C154" s="91"/>
      <c r="D154" s="48" t="str">
        <f>'дод 3'!C94</f>
        <v>у т.ч. за рахунок субвенцій з держбюджету</v>
      </c>
      <c r="E154" s="115">
        <v>12253970</v>
      </c>
      <c r="F154" s="115"/>
      <c r="G154" s="115"/>
      <c r="H154" s="115">
        <v>10515222.199999999</v>
      </c>
      <c r="I154" s="115"/>
      <c r="J154" s="115"/>
      <c r="K154" s="164">
        <f t="shared" si="38"/>
        <v>85.810738887070883</v>
      </c>
      <c r="L154" s="115">
        <f t="shared" si="37"/>
        <v>0</v>
      </c>
      <c r="M154" s="115"/>
      <c r="N154" s="115"/>
      <c r="O154" s="115"/>
      <c r="P154" s="115"/>
      <c r="Q154" s="115"/>
      <c r="R154" s="115">
        <f t="shared" si="39"/>
        <v>0</v>
      </c>
      <c r="S154" s="115"/>
      <c r="T154" s="115"/>
      <c r="U154" s="115"/>
      <c r="V154" s="115"/>
      <c r="W154" s="115"/>
      <c r="X154" s="149"/>
      <c r="Y154" s="115">
        <f t="shared" si="36"/>
        <v>10515222.199999999</v>
      </c>
      <c r="Z154" s="187"/>
      <c r="AA154" s="53"/>
      <c r="AB154" s="53"/>
      <c r="AC154" s="53"/>
      <c r="AD154" s="53"/>
      <c r="AE154" s="79"/>
      <c r="AF154" s="79"/>
      <c r="AG154" s="79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  <c r="IK154" s="53"/>
      <c r="IL154" s="53"/>
      <c r="IM154" s="53"/>
      <c r="IN154" s="53"/>
      <c r="IO154" s="53"/>
      <c r="IP154" s="53"/>
      <c r="IQ154" s="53"/>
      <c r="IR154" s="53"/>
      <c r="IS154" s="53"/>
      <c r="IT154" s="53"/>
      <c r="IU154" s="53"/>
      <c r="IV154" s="53"/>
      <c r="IW154" s="53"/>
      <c r="IX154" s="53"/>
      <c r="IY154" s="53"/>
      <c r="IZ154" s="53"/>
      <c r="JA154" s="53"/>
      <c r="JB154" s="53"/>
      <c r="JC154" s="53"/>
      <c r="JD154" s="53"/>
      <c r="JE154" s="53"/>
      <c r="JF154" s="53"/>
      <c r="JG154" s="53"/>
      <c r="JH154" s="53"/>
      <c r="JI154" s="53"/>
      <c r="JJ154" s="53"/>
      <c r="JK154" s="53"/>
      <c r="JL154" s="53"/>
      <c r="JM154" s="53"/>
      <c r="JN154" s="53"/>
      <c r="JO154" s="53"/>
      <c r="JP154" s="53"/>
      <c r="JQ154" s="53"/>
      <c r="JR154" s="53"/>
      <c r="JS154" s="53"/>
      <c r="JT154" s="53"/>
      <c r="JU154" s="53"/>
      <c r="JV154" s="53"/>
      <c r="JW154" s="53"/>
      <c r="JX154" s="53"/>
      <c r="JY154" s="53"/>
      <c r="JZ154" s="53"/>
      <c r="KA154" s="53"/>
      <c r="KB154" s="53"/>
      <c r="KC154" s="53"/>
      <c r="KD154" s="53"/>
      <c r="KE154" s="53"/>
      <c r="KF154" s="53"/>
      <c r="KG154" s="53"/>
      <c r="KH154" s="53"/>
      <c r="KI154" s="53"/>
      <c r="KJ154" s="53"/>
      <c r="KK154" s="53"/>
      <c r="KL154" s="53"/>
      <c r="KM154" s="53"/>
      <c r="KN154" s="53"/>
      <c r="KO154" s="53"/>
      <c r="KP154" s="53"/>
      <c r="KQ154" s="53"/>
      <c r="KR154" s="53"/>
      <c r="KS154" s="53"/>
      <c r="KT154" s="53"/>
      <c r="KU154" s="53"/>
      <c r="KV154" s="53"/>
      <c r="KW154" s="53"/>
      <c r="KX154" s="53"/>
      <c r="KY154" s="53"/>
      <c r="KZ154" s="53"/>
      <c r="LA154" s="53"/>
      <c r="LB154" s="53"/>
      <c r="LC154" s="53"/>
      <c r="LD154" s="53"/>
      <c r="LE154" s="53"/>
      <c r="LF154" s="53"/>
      <c r="LG154" s="53"/>
      <c r="LH154" s="53"/>
      <c r="LI154" s="53"/>
      <c r="LJ154" s="53"/>
      <c r="LK154" s="53"/>
      <c r="LL154" s="53"/>
      <c r="LM154" s="53"/>
      <c r="LN154" s="53"/>
      <c r="LO154" s="53"/>
      <c r="LP154" s="53"/>
      <c r="LQ154" s="53"/>
      <c r="LR154" s="53"/>
      <c r="LS154" s="53"/>
      <c r="LT154" s="53"/>
      <c r="LU154" s="53"/>
      <c r="LV154" s="53"/>
      <c r="LW154" s="53"/>
      <c r="LX154" s="53"/>
      <c r="LY154" s="53"/>
      <c r="LZ154" s="53"/>
      <c r="MA154" s="53"/>
      <c r="MB154" s="53"/>
      <c r="MC154" s="53"/>
      <c r="MD154" s="53"/>
      <c r="ME154" s="53"/>
      <c r="MF154" s="53"/>
      <c r="MG154" s="53"/>
      <c r="MH154" s="53"/>
      <c r="MI154" s="53"/>
      <c r="MJ154" s="53"/>
      <c r="MK154" s="53"/>
      <c r="ML154" s="53"/>
      <c r="MM154" s="53"/>
      <c r="MN154" s="53"/>
      <c r="MO154" s="53"/>
      <c r="MP154" s="53"/>
      <c r="MQ154" s="53"/>
      <c r="MR154" s="53"/>
      <c r="MS154" s="53"/>
      <c r="MT154" s="53"/>
      <c r="MU154" s="53"/>
      <c r="MV154" s="53"/>
      <c r="MW154" s="53"/>
      <c r="MX154" s="53"/>
      <c r="MY154" s="53"/>
      <c r="MZ154" s="53"/>
      <c r="NA154" s="53"/>
      <c r="NB154" s="53"/>
      <c r="NC154" s="53"/>
      <c r="ND154" s="53"/>
      <c r="NE154" s="53"/>
      <c r="NF154" s="53"/>
      <c r="NG154" s="53"/>
      <c r="NH154" s="53"/>
      <c r="NI154" s="53"/>
      <c r="NJ154" s="53"/>
      <c r="NK154" s="53"/>
      <c r="NL154" s="53"/>
      <c r="NM154" s="53"/>
      <c r="NN154" s="53"/>
      <c r="NO154" s="53"/>
      <c r="NP154" s="53"/>
      <c r="NQ154" s="53"/>
      <c r="NR154" s="53"/>
      <c r="NS154" s="53"/>
      <c r="NT154" s="53"/>
      <c r="NU154" s="53"/>
      <c r="NV154" s="53"/>
      <c r="NW154" s="53"/>
      <c r="NX154" s="53"/>
      <c r="NY154" s="53"/>
      <c r="NZ154" s="53"/>
      <c r="OA154" s="53"/>
      <c r="OB154" s="53"/>
      <c r="OC154" s="53"/>
      <c r="OD154" s="53"/>
      <c r="OE154" s="53"/>
      <c r="OF154" s="53"/>
      <c r="OG154" s="53"/>
      <c r="OH154" s="53"/>
      <c r="OI154" s="53"/>
      <c r="OJ154" s="53"/>
      <c r="OK154" s="53"/>
      <c r="OL154" s="53"/>
      <c r="OM154" s="53"/>
      <c r="ON154" s="53"/>
      <c r="OO154" s="53"/>
      <c r="OP154" s="53"/>
      <c r="OQ154" s="53"/>
      <c r="OR154" s="53"/>
      <c r="OS154" s="53"/>
      <c r="OT154" s="53"/>
      <c r="OU154" s="53"/>
      <c r="OV154" s="53"/>
      <c r="OW154" s="53"/>
      <c r="OX154" s="53"/>
      <c r="OY154" s="53"/>
      <c r="OZ154" s="53"/>
      <c r="PA154" s="53"/>
      <c r="PB154" s="53"/>
      <c r="PC154" s="53"/>
      <c r="PD154" s="53"/>
      <c r="PE154" s="53"/>
      <c r="PF154" s="53"/>
      <c r="PG154" s="53"/>
      <c r="PH154" s="53"/>
      <c r="PI154" s="53"/>
      <c r="PJ154" s="53"/>
      <c r="PK154" s="53"/>
      <c r="PL154" s="53"/>
      <c r="PM154" s="53"/>
      <c r="PN154" s="53"/>
      <c r="PO154" s="53"/>
      <c r="PP154" s="53"/>
      <c r="PQ154" s="53"/>
      <c r="PR154" s="53"/>
      <c r="PS154" s="53"/>
      <c r="PT154" s="53"/>
      <c r="PU154" s="53"/>
      <c r="PV154" s="53"/>
      <c r="PW154" s="53"/>
      <c r="PX154" s="53"/>
      <c r="PY154" s="53"/>
      <c r="PZ154" s="53"/>
      <c r="QA154" s="53"/>
      <c r="QB154" s="53"/>
      <c r="QC154" s="53"/>
      <c r="QD154" s="53"/>
      <c r="QE154" s="53"/>
      <c r="QF154" s="53"/>
      <c r="QG154" s="53"/>
      <c r="QH154" s="53"/>
      <c r="QI154" s="53"/>
      <c r="QJ154" s="53"/>
      <c r="QK154" s="53"/>
      <c r="QL154" s="53"/>
      <c r="QM154" s="53"/>
      <c r="QN154" s="53"/>
      <c r="QO154" s="53"/>
      <c r="QP154" s="53"/>
      <c r="QQ154" s="53"/>
      <c r="QR154" s="53"/>
      <c r="QS154" s="53"/>
      <c r="QT154" s="53"/>
      <c r="QU154" s="53"/>
      <c r="QV154" s="53"/>
      <c r="QW154" s="53"/>
      <c r="QX154" s="53"/>
      <c r="QY154" s="53"/>
      <c r="QZ154" s="53"/>
      <c r="RA154" s="53"/>
      <c r="RB154" s="53"/>
      <c r="RC154" s="53"/>
      <c r="RD154" s="53"/>
      <c r="RE154" s="53"/>
      <c r="RF154" s="53"/>
      <c r="RG154" s="53"/>
      <c r="RH154" s="53"/>
      <c r="RI154" s="53"/>
      <c r="RJ154" s="53"/>
      <c r="RK154" s="53"/>
      <c r="RL154" s="53"/>
      <c r="RM154" s="53"/>
      <c r="RN154" s="53"/>
      <c r="RO154" s="53"/>
      <c r="RP154" s="53"/>
      <c r="RQ154" s="53"/>
      <c r="RR154" s="53"/>
      <c r="RS154" s="53"/>
      <c r="RT154" s="53"/>
      <c r="RU154" s="53"/>
      <c r="RV154" s="53"/>
      <c r="RW154" s="53"/>
      <c r="RX154" s="53"/>
      <c r="RY154" s="53"/>
      <c r="RZ154" s="53"/>
      <c r="SA154" s="53"/>
      <c r="SB154" s="53"/>
      <c r="SC154" s="53"/>
      <c r="SD154" s="53"/>
      <c r="SE154" s="53"/>
      <c r="SF154" s="53"/>
      <c r="SG154" s="53"/>
      <c r="SH154" s="53"/>
      <c r="SI154" s="53"/>
      <c r="SJ154" s="53"/>
      <c r="SK154" s="53"/>
      <c r="SL154" s="53"/>
      <c r="SM154" s="53"/>
      <c r="SN154" s="53"/>
      <c r="SO154" s="53"/>
      <c r="SP154" s="53"/>
      <c r="SQ154" s="53"/>
      <c r="SR154" s="53"/>
      <c r="SS154" s="53"/>
      <c r="ST154" s="53"/>
      <c r="SU154" s="53"/>
      <c r="SV154" s="53"/>
      <c r="SW154" s="53"/>
      <c r="SX154" s="53"/>
      <c r="SY154" s="53"/>
      <c r="SZ154" s="53"/>
      <c r="TA154" s="53"/>
      <c r="TB154" s="53"/>
      <c r="TC154" s="53"/>
      <c r="TD154" s="53"/>
      <c r="TE154" s="53"/>
      <c r="TF154" s="53"/>
      <c r="TG154" s="53"/>
      <c r="TH154" s="53"/>
      <c r="TI154" s="53"/>
      <c r="TJ154" s="53"/>
      <c r="TK154" s="53"/>
      <c r="TL154" s="53"/>
      <c r="TM154" s="53"/>
      <c r="TN154" s="53"/>
      <c r="TO154" s="53"/>
      <c r="TP154" s="53"/>
      <c r="TQ154" s="53"/>
      <c r="TR154" s="53"/>
      <c r="TS154" s="53"/>
      <c r="TT154" s="53"/>
      <c r="TU154" s="53"/>
      <c r="TV154" s="53"/>
      <c r="TW154" s="53"/>
      <c r="TX154" s="53"/>
      <c r="TY154" s="53"/>
      <c r="TZ154" s="53"/>
      <c r="UA154" s="53"/>
      <c r="UB154" s="53"/>
      <c r="UC154" s="53"/>
      <c r="UD154" s="53"/>
      <c r="UE154" s="53"/>
      <c r="UF154" s="53"/>
      <c r="UG154" s="53"/>
      <c r="UH154" s="53"/>
      <c r="UI154" s="53"/>
      <c r="UJ154" s="53"/>
      <c r="UK154" s="53"/>
      <c r="UL154" s="53"/>
      <c r="UM154" s="53"/>
      <c r="UN154" s="53"/>
      <c r="UO154" s="53"/>
      <c r="UP154" s="53"/>
      <c r="UQ154" s="53"/>
      <c r="UR154" s="53"/>
      <c r="US154" s="53"/>
      <c r="UT154" s="53"/>
      <c r="UU154" s="53"/>
      <c r="UV154" s="53"/>
      <c r="UW154" s="53"/>
      <c r="UX154" s="53"/>
      <c r="UY154" s="53"/>
      <c r="UZ154" s="53"/>
      <c r="VA154" s="53"/>
      <c r="VB154" s="53"/>
      <c r="VC154" s="53"/>
      <c r="VD154" s="53"/>
      <c r="VE154" s="53"/>
      <c r="VF154" s="53"/>
      <c r="VG154" s="53"/>
      <c r="VH154" s="53"/>
      <c r="VI154" s="53"/>
      <c r="VJ154" s="53"/>
      <c r="VK154" s="53"/>
      <c r="VL154" s="53"/>
    </row>
    <row r="155" spans="1:584" s="47" customFormat="1" ht="49.5" customHeight="1" x14ac:dyDescent="0.25">
      <c r="A155" s="45" t="s">
        <v>473</v>
      </c>
      <c r="B155" s="91" t="str">
        <f>'дод 3'!A95</f>
        <v>3084</v>
      </c>
      <c r="C155" s="91" t="str">
        <f>'дод 3'!B95</f>
        <v>1040</v>
      </c>
      <c r="D155" s="48" t="str">
        <f>'дод 3'!C95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5" s="115">
        <v>1859870</v>
      </c>
      <c r="F155" s="115"/>
      <c r="G155" s="115"/>
      <c r="H155" s="115">
        <v>1105748.68</v>
      </c>
      <c r="I155" s="115"/>
      <c r="J155" s="115"/>
      <c r="K155" s="164">
        <f t="shared" si="38"/>
        <v>59.453009081279873</v>
      </c>
      <c r="L155" s="115">
        <f t="shared" si="37"/>
        <v>0</v>
      </c>
      <c r="M155" s="115"/>
      <c r="N155" s="115"/>
      <c r="O155" s="115"/>
      <c r="P155" s="115"/>
      <c r="Q155" s="115"/>
      <c r="R155" s="115">
        <f t="shared" si="39"/>
        <v>0</v>
      </c>
      <c r="S155" s="115"/>
      <c r="T155" s="115"/>
      <c r="U155" s="115"/>
      <c r="V155" s="115"/>
      <c r="W155" s="115"/>
      <c r="X155" s="149"/>
      <c r="Y155" s="115">
        <f t="shared" si="36"/>
        <v>1105748.68</v>
      </c>
      <c r="Z155" s="187"/>
      <c r="AA155" s="53"/>
      <c r="AB155" s="53"/>
      <c r="AC155" s="53"/>
      <c r="AD155" s="53"/>
      <c r="AE155" s="79"/>
      <c r="AF155" s="79"/>
      <c r="AG155" s="79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3"/>
      <c r="IU155" s="53"/>
      <c r="IV155" s="53"/>
      <c r="IW155" s="53"/>
      <c r="IX155" s="53"/>
      <c r="IY155" s="53"/>
      <c r="IZ155" s="53"/>
      <c r="JA155" s="53"/>
      <c r="JB155" s="53"/>
      <c r="JC155" s="53"/>
      <c r="JD155" s="53"/>
      <c r="JE155" s="53"/>
      <c r="JF155" s="53"/>
      <c r="JG155" s="53"/>
      <c r="JH155" s="53"/>
      <c r="JI155" s="53"/>
      <c r="JJ155" s="53"/>
      <c r="JK155" s="53"/>
      <c r="JL155" s="53"/>
      <c r="JM155" s="53"/>
      <c r="JN155" s="53"/>
      <c r="JO155" s="53"/>
      <c r="JP155" s="53"/>
      <c r="JQ155" s="53"/>
      <c r="JR155" s="53"/>
      <c r="JS155" s="53"/>
      <c r="JT155" s="53"/>
      <c r="JU155" s="53"/>
      <c r="JV155" s="53"/>
      <c r="JW155" s="53"/>
      <c r="JX155" s="53"/>
      <c r="JY155" s="53"/>
      <c r="JZ155" s="53"/>
      <c r="KA155" s="53"/>
      <c r="KB155" s="53"/>
      <c r="KC155" s="53"/>
      <c r="KD155" s="53"/>
      <c r="KE155" s="53"/>
      <c r="KF155" s="53"/>
      <c r="KG155" s="53"/>
      <c r="KH155" s="53"/>
      <c r="KI155" s="53"/>
      <c r="KJ155" s="53"/>
      <c r="KK155" s="53"/>
      <c r="KL155" s="53"/>
      <c r="KM155" s="53"/>
      <c r="KN155" s="53"/>
      <c r="KO155" s="53"/>
      <c r="KP155" s="53"/>
      <c r="KQ155" s="53"/>
      <c r="KR155" s="53"/>
      <c r="KS155" s="53"/>
      <c r="KT155" s="53"/>
      <c r="KU155" s="53"/>
      <c r="KV155" s="53"/>
      <c r="KW155" s="53"/>
      <c r="KX155" s="53"/>
      <c r="KY155" s="53"/>
      <c r="KZ155" s="53"/>
      <c r="LA155" s="53"/>
      <c r="LB155" s="53"/>
      <c r="LC155" s="53"/>
      <c r="LD155" s="53"/>
      <c r="LE155" s="53"/>
      <c r="LF155" s="53"/>
      <c r="LG155" s="53"/>
      <c r="LH155" s="53"/>
      <c r="LI155" s="53"/>
      <c r="LJ155" s="53"/>
      <c r="LK155" s="53"/>
      <c r="LL155" s="53"/>
      <c r="LM155" s="53"/>
      <c r="LN155" s="53"/>
      <c r="LO155" s="53"/>
      <c r="LP155" s="53"/>
      <c r="LQ155" s="53"/>
      <c r="LR155" s="53"/>
      <c r="LS155" s="53"/>
      <c r="LT155" s="53"/>
      <c r="LU155" s="53"/>
      <c r="LV155" s="53"/>
      <c r="LW155" s="53"/>
      <c r="LX155" s="53"/>
      <c r="LY155" s="53"/>
      <c r="LZ155" s="53"/>
      <c r="MA155" s="53"/>
      <c r="MB155" s="53"/>
      <c r="MC155" s="53"/>
      <c r="MD155" s="53"/>
      <c r="ME155" s="53"/>
      <c r="MF155" s="53"/>
      <c r="MG155" s="53"/>
      <c r="MH155" s="53"/>
      <c r="MI155" s="53"/>
      <c r="MJ155" s="53"/>
      <c r="MK155" s="53"/>
      <c r="ML155" s="53"/>
      <c r="MM155" s="53"/>
      <c r="MN155" s="53"/>
      <c r="MO155" s="53"/>
      <c r="MP155" s="53"/>
      <c r="MQ155" s="53"/>
      <c r="MR155" s="53"/>
      <c r="MS155" s="53"/>
      <c r="MT155" s="53"/>
      <c r="MU155" s="53"/>
      <c r="MV155" s="53"/>
      <c r="MW155" s="53"/>
      <c r="MX155" s="53"/>
      <c r="MY155" s="53"/>
      <c r="MZ155" s="53"/>
      <c r="NA155" s="53"/>
      <c r="NB155" s="53"/>
      <c r="NC155" s="53"/>
      <c r="ND155" s="53"/>
      <c r="NE155" s="53"/>
      <c r="NF155" s="53"/>
      <c r="NG155" s="53"/>
      <c r="NH155" s="53"/>
      <c r="NI155" s="53"/>
      <c r="NJ155" s="53"/>
      <c r="NK155" s="53"/>
      <c r="NL155" s="53"/>
      <c r="NM155" s="53"/>
      <c r="NN155" s="53"/>
      <c r="NO155" s="53"/>
      <c r="NP155" s="53"/>
      <c r="NQ155" s="53"/>
      <c r="NR155" s="53"/>
      <c r="NS155" s="53"/>
      <c r="NT155" s="53"/>
      <c r="NU155" s="53"/>
      <c r="NV155" s="53"/>
      <c r="NW155" s="53"/>
      <c r="NX155" s="53"/>
      <c r="NY155" s="53"/>
      <c r="NZ155" s="53"/>
      <c r="OA155" s="53"/>
      <c r="OB155" s="53"/>
      <c r="OC155" s="53"/>
      <c r="OD155" s="53"/>
      <c r="OE155" s="53"/>
      <c r="OF155" s="53"/>
      <c r="OG155" s="53"/>
      <c r="OH155" s="53"/>
      <c r="OI155" s="53"/>
      <c r="OJ155" s="53"/>
      <c r="OK155" s="53"/>
      <c r="OL155" s="53"/>
      <c r="OM155" s="53"/>
      <c r="ON155" s="53"/>
      <c r="OO155" s="53"/>
      <c r="OP155" s="53"/>
      <c r="OQ155" s="53"/>
      <c r="OR155" s="53"/>
      <c r="OS155" s="53"/>
      <c r="OT155" s="53"/>
      <c r="OU155" s="53"/>
      <c r="OV155" s="53"/>
      <c r="OW155" s="53"/>
      <c r="OX155" s="53"/>
      <c r="OY155" s="53"/>
      <c r="OZ155" s="53"/>
      <c r="PA155" s="53"/>
      <c r="PB155" s="53"/>
      <c r="PC155" s="53"/>
      <c r="PD155" s="53"/>
      <c r="PE155" s="53"/>
      <c r="PF155" s="53"/>
      <c r="PG155" s="53"/>
      <c r="PH155" s="53"/>
      <c r="PI155" s="53"/>
      <c r="PJ155" s="53"/>
      <c r="PK155" s="53"/>
      <c r="PL155" s="53"/>
      <c r="PM155" s="53"/>
      <c r="PN155" s="53"/>
      <c r="PO155" s="53"/>
      <c r="PP155" s="53"/>
      <c r="PQ155" s="53"/>
      <c r="PR155" s="53"/>
      <c r="PS155" s="53"/>
      <c r="PT155" s="53"/>
      <c r="PU155" s="53"/>
      <c r="PV155" s="53"/>
      <c r="PW155" s="53"/>
      <c r="PX155" s="53"/>
      <c r="PY155" s="53"/>
      <c r="PZ155" s="53"/>
      <c r="QA155" s="53"/>
      <c r="QB155" s="53"/>
      <c r="QC155" s="53"/>
      <c r="QD155" s="53"/>
      <c r="QE155" s="53"/>
      <c r="QF155" s="53"/>
      <c r="QG155" s="53"/>
      <c r="QH155" s="53"/>
      <c r="QI155" s="53"/>
      <c r="QJ155" s="53"/>
      <c r="QK155" s="53"/>
      <c r="QL155" s="53"/>
      <c r="QM155" s="53"/>
      <c r="QN155" s="53"/>
      <c r="QO155" s="53"/>
      <c r="QP155" s="53"/>
      <c r="QQ155" s="53"/>
      <c r="QR155" s="53"/>
      <c r="QS155" s="53"/>
      <c r="QT155" s="53"/>
      <c r="QU155" s="53"/>
      <c r="QV155" s="53"/>
      <c r="QW155" s="53"/>
      <c r="QX155" s="53"/>
      <c r="QY155" s="53"/>
      <c r="QZ155" s="53"/>
      <c r="RA155" s="53"/>
      <c r="RB155" s="53"/>
      <c r="RC155" s="53"/>
      <c r="RD155" s="53"/>
      <c r="RE155" s="53"/>
      <c r="RF155" s="53"/>
      <c r="RG155" s="53"/>
      <c r="RH155" s="53"/>
      <c r="RI155" s="53"/>
      <c r="RJ155" s="53"/>
      <c r="RK155" s="53"/>
      <c r="RL155" s="53"/>
      <c r="RM155" s="53"/>
      <c r="RN155" s="53"/>
      <c r="RO155" s="53"/>
      <c r="RP155" s="53"/>
      <c r="RQ155" s="53"/>
      <c r="RR155" s="53"/>
      <c r="RS155" s="53"/>
      <c r="RT155" s="53"/>
      <c r="RU155" s="53"/>
      <c r="RV155" s="53"/>
      <c r="RW155" s="53"/>
      <c r="RX155" s="53"/>
      <c r="RY155" s="53"/>
      <c r="RZ155" s="53"/>
      <c r="SA155" s="53"/>
      <c r="SB155" s="53"/>
      <c r="SC155" s="53"/>
      <c r="SD155" s="53"/>
      <c r="SE155" s="53"/>
      <c r="SF155" s="53"/>
      <c r="SG155" s="53"/>
      <c r="SH155" s="53"/>
      <c r="SI155" s="53"/>
      <c r="SJ155" s="53"/>
      <c r="SK155" s="53"/>
      <c r="SL155" s="53"/>
      <c r="SM155" s="53"/>
      <c r="SN155" s="53"/>
      <c r="SO155" s="53"/>
      <c r="SP155" s="53"/>
      <c r="SQ155" s="53"/>
      <c r="SR155" s="53"/>
      <c r="SS155" s="53"/>
      <c r="ST155" s="53"/>
      <c r="SU155" s="53"/>
      <c r="SV155" s="53"/>
      <c r="SW155" s="53"/>
      <c r="SX155" s="53"/>
      <c r="SY155" s="53"/>
      <c r="SZ155" s="53"/>
      <c r="TA155" s="53"/>
      <c r="TB155" s="53"/>
      <c r="TC155" s="53"/>
      <c r="TD155" s="53"/>
      <c r="TE155" s="53"/>
      <c r="TF155" s="53"/>
      <c r="TG155" s="53"/>
      <c r="TH155" s="53"/>
      <c r="TI155" s="53"/>
      <c r="TJ155" s="53"/>
      <c r="TK155" s="53"/>
      <c r="TL155" s="53"/>
      <c r="TM155" s="53"/>
      <c r="TN155" s="53"/>
      <c r="TO155" s="53"/>
      <c r="TP155" s="53"/>
      <c r="TQ155" s="53"/>
      <c r="TR155" s="53"/>
      <c r="TS155" s="53"/>
      <c r="TT155" s="53"/>
      <c r="TU155" s="53"/>
      <c r="TV155" s="53"/>
      <c r="TW155" s="53"/>
      <c r="TX155" s="53"/>
      <c r="TY155" s="53"/>
      <c r="TZ155" s="53"/>
      <c r="UA155" s="53"/>
      <c r="UB155" s="53"/>
      <c r="UC155" s="53"/>
      <c r="UD155" s="53"/>
      <c r="UE155" s="53"/>
      <c r="UF155" s="53"/>
      <c r="UG155" s="53"/>
      <c r="UH155" s="53"/>
      <c r="UI155" s="53"/>
      <c r="UJ155" s="53"/>
      <c r="UK155" s="53"/>
      <c r="UL155" s="53"/>
      <c r="UM155" s="53"/>
      <c r="UN155" s="53"/>
      <c r="UO155" s="53"/>
      <c r="UP155" s="53"/>
      <c r="UQ155" s="53"/>
      <c r="UR155" s="53"/>
      <c r="US155" s="53"/>
      <c r="UT155" s="53"/>
      <c r="UU155" s="53"/>
      <c r="UV155" s="53"/>
      <c r="UW155" s="53"/>
      <c r="UX155" s="53"/>
      <c r="UY155" s="53"/>
      <c r="UZ155" s="53"/>
      <c r="VA155" s="53"/>
      <c r="VB155" s="53"/>
      <c r="VC155" s="53"/>
      <c r="VD155" s="53"/>
      <c r="VE155" s="53"/>
      <c r="VF155" s="53"/>
      <c r="VG155" s="53"/>
      <c r="VH155" s="53"/>
      <c r="VI155" s="53"/>
      <c r="VJ155" s="53"/>
      <c r="VK155" s="53"/>
      <c r="VL155" s="53"/>
    </row>
    <row r="156" spans="1:584" s="47" customFormat="1" ht="17.25" customHeight="1" x14ac:dyDescent="0.25">
      <c r="A156" s="45"/>
      <c r="B156" s="91"/>
      <c r="C156" s="91"/>
      <c r="D156" s="48" t="str">
        <f>'дод 3'!C96</f>
        <v>у т.ч. за рахунок субвенцій з держбюджету</v>
      </c>
      <c r="E156" s="115">
        <v>1859870</v>
      </c>
      <c r="F156" s="115"/>
      <c r="G156" s="115"/>
      <c r="H156" s="115">
        <v>1105748.68</v>
      </c>
      <c r="I156" s="115"/>
      <c r="J156" s="115"/>
      <c r="K156" s="164">
        <f t="shared" si="38"/>
        <v>59.453009081279873</v>
      </c>
      <c r="L156" s="115">
        <f t="shared" si="37"/>
        <v>0</v>
      </c>
      <c r="M156" s="115"/>
      <c r="N156" s="115"/>
      <c r="O156" s="115"/>
      <c r="P156" s="115"/>
      <c r="Q156" s="115"/>
      <c r="R156" s="115">
        <f t="shared" si="39"/>
        <v>0</v>
      </c>
      <c r="S156" s="115"/>
      <c r="T156" s="115"/>
      <c r="U156" s="115"/>
      <c r="V156" s="115"/>
      <c r="W156" s="115"/>
      <c r="X156" s="149"/>
      <c r="Y156" s="115">
        <f t="shared" si="36"/>
        <v>1105748.68</v>
      </c>
      <c r="Z156" s="187"/>
      <c r="AA156" s="53"/>
      <c r="AB156" s="53"/>
      <c r="AC156" s="53"/>
      <c r="AD156" s="53"/>
      <c r="AE156" s="79"/>
      <c r="AF156" s="79"/>
      <c r="AG156" s="79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  <c r="IQ156" s="53"/>
      <c r="IR156" s="53"/>
      <c r="IS156" s="53"/>
      <c r="IT156" s="53"/>
      <c r="IU156" s="53"/>
      <c r="IV156" s="53"/>
      <c r="IW156" s="53"/>
      <c r="IX156" s="53"/>
      <c r="IY156" s="53"/>
      <c r="IZ156" s="53"/>
      <c r="JA156" s="53"/>
      <c r="JB156" s="53"/>
      <c r="JC156" s="53"/>
      <c r="JD156" s="53"/>
      <c r="JE156" s="53"/>
      <c r="JF156" s="53"/>
      <c r="JG156" s="53"/>
      <c r="JH156" s="53"/>
      <c r="JI156" s="53"/>
      <c r="JJ156" s="53"/>
      <c r="JK156" s="53"/>
      <c r="JL156" s="53"/>
      <c r="JM156" s="53"/>
      <c r="JN156" s="53"/>
      <c r="JO156" s="53"/>
      <c r="JP156" s="53"/>
      <c r="JQ156" s="53"/>
      <c r="JR156" s="53"/>
      <c r="JS156" s="53"/>
      <c r="JT156" s="53"/>
      <c r="JU156" s="53"/>
      <c r="JV156" s="53"/>
      <c r="JW156" s="53"/>
      <c r="JX156" s="53"/>
      <c r="JY156" s="53"/>
      <c r="JZ156" s="53"/>
      <c r="KA156" s="53"/>
      <c r="KB156" s="53"/>
      <c r="KC156" s="53"/>
      <c r="KD156" s="53"/>
      <c r="KE156" s="53"/>
      <c r="KF156" s="53"/>
      <c r="KG156" s="53"/>
      <c r="KH156" s="53"/>
      <c r="KI156" s="53"/>
      <c r="KJ156" s="53"/>
      <c r="KK156" s="53"/>
      <c r="KL156" s="53"/>
      <c r="KM156" s="53"/>
      <c r="KN156" s="53"/>
      <c r="KO156" s="53"/>
      <c r="KP156" s="53"/>
      <c r="KQ156" s="53"/>
      <c r="KR156" s="53"/>
      <c r="KS156" s="53"/>
      <c r="KT156" s="53"/>
      <c r="KU156" s="53"/>
      <c r="KV156" s="53"/>
      <c r="KW156" s="53"/>
      <c r="KX156" s="53"/>
      <c r="KY156" s="53"/>
      <c r="KZ156" s="53"/>
      <c r="LA156" s="53"/>
      <c r="LB156" s="53"/>
      <c r="LC156" s="53"/>
      <c r="LD156" s="53"/>
      <c r="LE156" s="53"/>
      <c r="LF156" s="53"/>
      <c r="LG156" s="53"/>
      <c r="LH156" s="53"/>
      <c r="LI156" s="53"/>
      <c r="LJ156" s="53"/>
      <c r="LK156" s="53"/>
      <c r="LL156" s="53"/>
      <c r="LM156" s="53"/>
      <c r="LN156" s="53"/>
      <c r="LO156" s="53"/>
      <c r="LP156" s="53"/>
      <c r="LQ156" s="53"/>
      <c r="LR156" s="53"/>
      <c r="LS156" s="53"/>
      <c r="LT156" s="53"/>
      <c r="LU156" s="53"/>
      <c r="LV156" s="53"/>
      <c r="LW156" s="53"/>
      <c r="LX156" s="53"/>
      <c r="LY156" s="53"/>
      <c r="LZ156" s="53"/>
      <c r="MA156" s="53"/>
      <c r="MB156" s="53"/>
      <c r="MC156" s="53"/>
      <c r="MD156" s="53"/>
      <c r="ME156" s="53"/>
      <c r="MF156" s="53"/>
      <c r="MG156" s="53"/>
      <c r="MH156" s="53"/>
      <c r="MI156" s="53"/>
      <c r="MJ156" s="53"/>
      <c r="MK156" s="53"/>
      <c r="ML156" s="53"/>
      <c r="MM156" s="53"/>
      <c r="MN156" s="53"/>
      <c r="MO156" s="53"/>
      <c r="MP156" s="53"/>
      <c r="MQ156" s="53"/>
      <c r="MR156" s="53"/>
      <c r="MS156" s="53"/>
      <c r="MT156" s="53"/>
      <c r="MU156" s="53"/>
      <c r="MV156" s="53"/>
      <c r="MW156" s="53"/>
      <c r="MX156" s="53"/>
      <c r="MY156" s="53"/>
      <c r="MZ156" s="53"/>
      <c r="NA156" s="53"/>
      <c r="NB156" s="53"/>
      <c r="NC156" s="53"/>
      <c r="ND156" s="53"/>
      <c r="NE156" s="53"/>
      <c r="NF156" s="53"/>
      <c r="NG156" s="53"/>
      <c r="NH156" s="53"/>
      <c r="NI156" s="53"/>
      <c r="NJ156" s="53"/>
      <c r="NK156" s="53"/>
      <c r="NL156" s="53"/>
      <c r="NM156" s="53"/>
      <c r="NN156" s="53"/>
      <c r="NO156" s="53"/>
      <c r="NP156" s="53"/>
      <c r="NQ156" s="53"/>
      <c r="NR156" s="53"/>
      <c r="NS156" s="53"/>
      <c r="NT156" s="53"/>
      <c r="NU156" s="53"/>
      <c r="NV156" s="53"/>
      <c r="NW156" s="53"/>
      <c r="NX156" s="53"/>
      <c r="NY156" s="53"/>
      <c r="NZ156" s="53"/>
      <c r="OA156" s="53"/>
      <c r="OB156" s="53"/>
      <c r="OC156" s="53"/>
      <c r="OD156" s="53"/>
      <c r="OE156" s="53"/>
      <c r="OF156" s="53"/>
      <c r="OG156" s="53"/>
      <c r="OH156" s="53"/>
      <c r="OI156" s="53"/>
      <c r="OJ156" s="53"/>
      <c r="OK156" s="53"/>
      <c r="OL156" s="53"/>
      <c r="OM156" s="53"/>
      <c r="ON156" s="53"/>
      <c r="OO156" s="53"/>
      <c r="OP156" s="53"/>
      <c r="OQ156" s="53"/>
      <c r="OR156" s="53"/>
      <c r="OS156" s="53"/>
      <c r="OT156" s="53"/>
      <c r="OU156" s="53"/>
      <c r="OV156" s="53"/>
      <c r="OW156" s="53"/>
      <c r="OX156" s="53"/>
      <c r="OY156" s="53"/>
      <c r="OZ156" s="53"/>
      <c r="PA156" s="53"/>
      <c r="PB156" s="53"/>
      <c r="PC156" s="53"/>
      <c r="PD156" s="53"/>
      <c r="PE156" s="53"/>
      <c r="PF156" s="53"/>
      <c r="PG156" s="53"/>
      <c r="PH156" s="53"/>
      <c r="PI156" s="53"/>
      <c r="PJ156" s="53"/>
      <c r="PK156" s="53"/>
      <c r="PL156" s="53"/>
      <c r="PM156" s="53"/>
      <c r="PN156" s="53"/>
      <c r="PO156" s="53"/>
      <c r="PP156" s="53"/>
      <c r="PQ156" s="53"/>
      <c r="PR156" s="53"/>
      <c r="PS156" s="53"/>
      <c r="PT156" s="53"/>
      <c r="PU156" s="53"/>
      <c r="PV156" s="53"/>
      <c r="PW156" s="53"/>
      <c r="PX156" s="53"/>
      <c r="PY156" s="53"/>
      <c r="PZ156" s="53"/>
      <c r="QA156" s="53"/>
      <c r="QB156" s="53"/>
      <c r="QC156" s="53"/>
      <c r="QD156" s="53"/>
      <c r="QE156" s="53"/>
      <c r="QF156" s="53"/>
      <c r="QG156" s="53"/>
      <c r="QH156" s="53"/>
      <c r="QI156" s="53"/>
      <c r="QJ156" s="53"/>
      <c r="QK156" s="53"/>
      <c r="QL156" s="53"/>
      <c r="QM156" s="53"/>
      <c r="QN156" s="53"/>
      <c r="QO156" s="53"/>
      <c r="QP156" s="53"/>
      <c r="QQ156" s="53"/>
      <c r="QR156" s="53"/>
      <c r="QS156" s="53"/>
      <c r="QT156" s="53"/>
      <c r="QU156" s="53"/>
      <c r="QV156" s="53"/>
      <c r="QW156" s="53"/>
      <c r="QX156" s="53"/>
      <c r="QY156" s="53"/>
      <c r="QZ156" s="53"/>
      <c r="RA156" s="53"/>
      <c r="RB156" s="53"/>
      <c r="RC156" s="53"/>
      <c r="RD156" s="53"/>
      <c r="RE156" s="53"/>
      <c r="RF156" s="53"/>
      <c r="RG156" s="53"/>
      <c r="RH156" s="53"/>
      <c r="RI156" s="53"/>
      <c r="RJ156" s="53"/>
      <c r="RK156" s="53"/>
      <c r="RL156" s="53"/>
      <c r="RM156" s="53"/>
      <c r="RN156" s="53"/>
      <c r="RO156" s="53"/>
      <c r="RP156" s="53"/>
      <c r="RQ156" s="53"/>
      <c r="RR156" s="53"/>
      <c r="RS156" s="53"/>
      <c r="RT156" s="53"/>
      <c r="RU156" s="53"/>
      <c r="RV156" s="53"/>
      <c r="RW156" s="53"/>
      <c r="RX156" s="53"/>
      <c r="RY156" s="53"/>
      <c r="RZ156" s="53"/>
      <c r="SA156" s="53"/>
      <c r="SB156" s="53"/>
      <c r="SC156" s="53"/>
      <c r="SD156" s="53"/>
      <c r="SE156" s="53"/>
      <c r="SF156" s="53"/>
      <c r="SG156" s="53"/>
      <c r="SH156" s="53"/>
      <c r="SI156" s="53"/>
      <c r="SJ156" s="53"/>
      <c r="SK156" s="53"/>
      <c r="SL156" s="53"/>
      <c r="SM156" s="53"/>
      <c r="SN156" s="53"/>
      <c r="SO156" s="53"/>
      <c r="SP156" s="53"/>
      <c r="SQ156" s="53"/>
      <c r="SR156" s="53"/>
      <c r="SS156" s="53"/>
      <c r="ST156" s="53"/>
      <c r="SU156" s="53"/>
      <c r="SV156" s="53"/>
      <c r="SW156" s="53"/>
      <c r="SX156" s="53"/>
      <c r="SY156" s="53"/>
      <c r="SZ156" s="53"/>
      <c r="TA156" s="53"/>
      <c r="TB156" s="53"/>
      <c r="TC156" s="53"/>
      <c r="TD156" s="53"/>
      <c r="TE156" s="53"/>
      <c r="TF156" s="53"/>
      <c r="TG156" s="53"/>
      <c r="TH156" s="53"/>
      <c r="TI156" s="53"/>
      <c r="TJ156" s="53"/>
      <c r="TK156" s="53"/>
      <c r="TL156" s="53"/>
      <c r="TM156" s="53"/>
      <c r="TN156" s="53"/>
      <c r="TO156" s="53"/>
      <c r="TP156" s="53"/>
      <c r="TQ156" s="53"/>
      <c r="TR156" s="53"/>
      <c r="TS156" s="53"/>
      <c r="TT156" s="53"/>
      <c r="TU156" s="53"/>
      <c r="TV156" s="53"/>
      <c r="TW156" s="53"/>
      <c r="TX156" s="53"/>
      <c r="TY156" s="53"/>
      <c r="TZ156" s="53"/>
      <c r="UA156" s="53"/>
      <c r="UB156" s="53"/>
      <c r="UC156" s="53"/>
      <c r="UD156" s="53"/>
      <c r="UE156" s="53"/>
      <c r="UF156" s="53"/>
      <c r="UG156" s="53"/>
      <c r="UH156" s="53"/>
      <c r="UI156" s="53"/>
      <c r="UJ156" s="53"/>
      <c r="UK156" s="53"/>
      <c r="UL156" s="53"/>
      <c r="UM156" s="53"/>
      <c r="UN156" s="53"/>
      <c r="UO156" s="53"/>
      <c r="UP156" s="53"/>
      <c r="UQ156" s="53"/>
      <c r="UR156" s="53"/>
      <c r="US156" s="53"/>
      <c r="UT156" s="53"/>
      <c r="UU156" s="53"/>
      <c r="UV156" s="53"/>
      <c r="UW156" s="53"/>
      <c r="UX156" s="53"/>
      <c r="UY156" s="53"/>
      <c r="UZ156" s="53"/>
      <c r="VA156" s="53"/>
      <c r="VB156" s="53"/>
      <c r="VC156" s="53"/>
      <c r="VD156" s="53"/>
      <c r="VE156" s="53"/>
      <c r="VF156" s="53"/>
      <c r="VG156" s="53"/>
      <c r="VH156" s="53"/>
      <c r="VI156" s="53"/>
      <c r="VJ156" s="53"/>
      <c r="VK156" s="53"/>
      <c r="VL156" s="53"/>
    </row>
    <row r="157" spans="1:584" s="47" customFormat="1" ht="44.25" customHeight="1" x14ac:dyDescent="0.25">
      <c r="A157" s="45" t="s">
        <v>474</v>
      </c>
      <c r="B157" s="91" t="str">
        <f>'дод 3'!A97</f>
        <v>3085</v>
      </c>
      <c r="C157" s="91" t="str">
        <f>'дод 3'!B97</f>
        <v>1010</v>
      </c>
      <c r="D157" s="48" t="str">
        <f>'дод 3'!C97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7" s="115">
        <v>190380</v>
      </c>
      <c r="F157" s="115"/>
      <c r="G157" s="115"/>
      <c r="H157" s="115">
        <v>187879.44</v>
      </c>
      <c r="I157" s="115"/>
      <c r="J157" s="115"/>
      <c r="K157" s="164">
        <f t="shared" si="38"/>
        <v>98.686542704065545</v>
      </c>
      <c r="L157" s="115">
        <f t="shared" si="37"/>
        <v>0</v>
      </c>
      <c r="M157" s="115"/>
      <c r="N157" s="115"/>
      <c r="O157" s="115"/>
      <c r="P157" s="115"/>
      <c r="Q157" s="115"/>
      <c r="R157" s="115">
        <f t="shared" si="39"/>
        <v>0</v>
      </c>
      <c r="S157" s="115"/>
      <c r="T157" s="115"/>
      <c r="U157" s="115"/>
      <c r="V157" s="115"/>
      <c r="W157" s="115"/>
      <c r="X157" s="149"/>
      <c r="Y157" s="115">
        <f t="shared" si="36"/>
        <v>187879.44</v>
      </c>
      <c r="Z157" s="187"/>
      <c r="AA157" s="53"/>
      <c r="AB157" s="53"/>
      <c r="AC157" s="53"/>
      <c r="AD157" s="53"/>
      <c r="AE157" s="79"/>
      <c r="AF157" s="79"/>
      <c r="AG157" s="79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  <c r="IH157" s="53"/>
      <c r="II157" s="53"/>
      <c r="IJ157" s="53"/>
      <c r="IK157" s="53"/>
      <c r="IL157" s="53"/>
      <c r="IM157" s="53"/>
      <c r="IN157" s="53"/>
      <c r="IO157" s="53"/>
      <c r="IP157" s="53"/>
      <c r="IQ157" s="53"/>
      <c r="IR157" s="53"/>
      <c r="IS157" s="53"/>
      <c r="IT157" s="53"/>
      <c r="IU157" s="53"/>
      <c r="IV157" s="53"/>
      <c r="IW157" s="53"/>
      <c r="IX157" s="53"/>
      <c r="IY157" s="53"/>
      <c r="IZ157" s="53"/>
      <c r="JA157" s="53"/>
      <c r="JB157" s="53"/>
      <c r="JC157" s="53"/>
      <c r="JD157" s="53"/>
      <c r="JE157" s="53"/>
      <c r="JF157" s="53"/>
      <c r="JG157" s="53"/>
      <c r="JH157" s="53"/>
      <c r="JI157" s="53"/>
      <c r="JJ157" s="53"/>
      <c r="JK157" s="53"/>
      <c r="JL157" s="53"/>
      <c r="JM157" s="53"/>
      <c r="JN157" s="53"/>
      <c r="JO157" s="53"/>
      <c r="JP157" s="53"/>
      <c r="JQ157" s="53"/>
      <c r="JR157" s="53"/>
      <c r="JS157" s="53"/>
      <c r="JT157" s="53"/>
      <c r="JU157" s="53"/>
      <c r="JV157" s="53"/>
      <c r="JW157" s="53"/>
      <c r="JX157" s="53"/>
      <c r="JY157" s="53"/>
      <c r="JZ157" s="53"/>
      <c r="KA157" s="53"/>
      <c r="KB157" s="53"/>
      <c r="KC157" s="53"/>
      <c r="KD157" s="53"/>
      <c r="KE157" s="53"/>
      <c r="KF157" s="53"/>
      <c r="KG157" s="53"/>
      <c r="KH157" s="53"/>
      <c r="KI157" s="53"/>
      <c r="KJ157" s="53"/>
      <c r="KK157" s="53"/>
      <c r="KL157" s="53"/>
      <c r="KM157" s="53"/>
      <c r="KN157" s="53"/>
      <c r="KO157" s="53"/>
      <c r="KP157" s="53"/>
      <c r="KQ157" s="53"/>
      <c r="KR157" s="53"/>
      <c r="KS157" s="53"/>
      <c r="KT157" s="53"/>
      <c r="KU157" s="53"/>
      <c r="KV157" s="53"/>
      <c r="KW157" s="53"/>
      <c r="KX157" s="53"/>
      <c r="KY157" s="53"/>
      <c r="KZ157" s="53"/>
      <c r="LA157" s="53"/>
      <c r="LB157" s="53"/>
      <c r="LC157" s="53"/>
      <c r="LD157" s="53"/>
      <c r="LE157" s="53"/>
      <c r="LF157" s="53"/>
      <c r="LG157" s="53"/>
      <c r="LH157" s="53"/>
      <c r="LI157" s="53"/>
      <c r="LJ157" s="53"/>
      <c r="LK157" s="53"/>
      <c r="LL157" s="53"/>
      <c r="LM157" s="53"/>
      <c r="LN157" s="53"/>
      <c r="LO157" s="53"/>
      <c r="LP157" s="53"/>
      <c r="LQ157" s="53"/>
      <c r="LR157" s="53"/>
      <c r="LS157" s="53"/>
      <c r="LT157" s="53"/>
      <c r="LU157" s="53"/>
      <c r="LV157" s="53"/>
      <c r="LW157" s="53"/>
      <c r="LX157" s="53"/>
      <c r="LY157" s="53"/>
      <c r="LZ157" s="53"/>
      <c r="MA157" s="53"/>
      <c r="MB157" s="53"/>
      <c r="MC157" s="53"/>
      <c r="MD157" s="53"/>
      <c r="ME157" s="53"/>
      <c r="MF157" s="53"/>
      <c r="MG157" s="53"/>
      <c r="MH157" s="53"/>
      <c r="MI157" s="53"/>
      <c r="MJ157" s="53"/>
      <c r="MK157" s="53"/>
      <c r="ML157" s="53"/>
      <c r="MM157" s="53"/>
      <c r="MN157" s="53"/>
      <c r="MO157" s="53"/>
      <c r="MP157" s="53"/>
      <c r="MQ157" s="53"/>
      <c r="MR157" s="53"/>
      <c r="MS157" s="53"/>
      <c r="MT157" s="53"/>
      <c r="MU157" s="53"/>
      <c r="MV157" s="53"/>
      <c r="MW157" s="53"/>
      <c r="MX157" s="53"/>
      <c r="MY157" s="53"/>
      <c r="MZ157" s="53"/>
      <c r="NA157" s="53"/>
      <c r="NB157" s="53"/>
      <c r="NC157" s="53"/>
      <c r="ND157" s="53"/>
      <c r="NE157" s="53"/>
      <c r="NF157" s="53"/>
      <c r="NG157" s="53"/>
      <c r="NH157" s="53"/>
      <c r="NI157" s="53"/>
      <c r="NJ157" s="53"/>
      <c r="NK157" s="53"/>
      <c r="NL157" s="53"/>
      <c r="NM157" s="53"/>
      <c r="NN157" s="53"/>
      <c r="NO157" s="53"/>
      <c r="NP157" s="53"/>
      <c r="NQ157" s="53"/>
      <c r="NR157" s="53"/>
      <c r="NS157" s="53"/>
      <c r="NT157" s="53"/>
      <c r="NU157" s="53"/>
      <c r="NV157" s="53"/>
      <c r="NW157" s="53"/>
      <c r="NX157" s="53"/>
      <c r="NY157" s="53"/>
      <c r="NZ157" s="53"/>
      <c r="OA157" s="53"/>
      <c r="OB157" s="53"/>
      <c r="OC157" s="53"/>
      <c r="OD157" s="53"/>
      <c r="OE157" s="53"/>
      <c r="OF157" s="53"/>
      <c r="OG157" s="53"/>
      <c r="OH157" s="53"/>
      <c r="OI157" s="53"/>
      <c r="OJ157" s="53"/>
      <c r="OK157" s="53"/>
      <c r="OL157" s="53"/>
      <c r="OM157" s="53"/>
      <c r="ON157" s="53"/>
      <c r="OO157" s="53"/>
      <c r="OP157" s="53"/>
      <c r="OQ157" s="53"/>
      <c r="OR157" s="53"/>
      <c r="OS157" s="53"/>
      <c r="OT157" s="53"/>
      <c r="OU157" s="53"/>
      <c r="OV157" s="53"/>
      <c r="OW157" s="53"/>
      <c r="OX157" s="53"/>
      <c r="OY157" s="53"/>
      <c r="OZ157" s="53"/>
      <c r="PA157" s="53"/>
      <c r="PB157" s="53"/>
      <c r="PC157" s="53"/>
      <c r="PD157" s="53"/>
      <c r="PE157" s="53"/>
      <c r="PF157" s="53"/>
      <c r="PG157" s="53"/>
      <c r="PH157" s="53"/>
      <c r="PI157" s="53"/>
      <c r="PJ157" s="53"/>
      <c r="PK157" s="53"/>
      <c r="PL157" s="53"/>
      <c r="PM157" s="53"/>
      <c r="PN157" s="53"/>
      <c r="PO157" s="53"/>
      <c r="PP157" s="53"/>
      <c r="PQ157" s="53"/>
      <c r="PR157" s="53"/>
      <c r="PS157" s="53"/>
      <c r="PT157" s="53"/>
      <c r="PU157" s="53"/>
      <c r="PV157" s="53"/>
      <c r="PW157" s="53"/>
      <c r="PX157" s="53"/>
      <c r="PY157" s="53"/>
      <c r="PZ157" s="53"/>
      <c r="QA157" s="53"/>
      <c r="QB157" s="53"/>
      <c r="QC157" s="53"/>
      <c r="QD157" s="53"/>
      <c r="QE157" s="53"/>
      <c r="QF157" s="53"/>
      <c r="QG157" s="53"/>
      <c r="QH157" s="53"/>
      <c r="QI157" s="53"/>
      <c r="QJ157" s="53"/>
      <c r="QK157" s="53"/>
      <c r="QL157" s="53"/>
      <c r="QM157" s="53"/>
      <c r="QN157" s="53"/>
      <c r="QO157" s="53"/>
      <c r="QP157" s="53"/>
      <c r="QQ157" s="53"/>
      <c r="QR157" s="53"/>
      <c r="QS157" s="53"/>
      <c r="QT157" s="53"/>
      <c r="QU157" s="53"/>
      <c r="QV157" s="53"/>
      <c r="QW157" s="53"/>
      <c r="QX157" s="53"/>
      <c r="QY157" s="53"/>
      <c r="QZ157" s="53"/>
      <c r="RA157" s="53"/>
      <c r="RB157" s="53"/>
      <c r="RC157" s="53"/>
      <c r="RD157" s="53"/>
      <c r="RE157" s="53"/>
      <c r="RF157" s="53"/>
      <c r="RG157" s="53"/>
      <c r="RH157" s="53"/>
      <c r="RI157" s="53"/>
      <c r="RJ157" s="53"/>
      <c r="RK157" s="53"/>
      <c r="RL157" s="53"/>
      <c r="RM157" s="53"/>
      <c r="RN157" s="53"/>
      <c r="RO157" s="53"/>
      <c r="RP157" s="53"/>
      <c r="RQ157" s="53"/>
      <c r="RR157" s="53"/>
      <c r="RS157" s="53"/>
      <c r="RT157" s="53"/>
      <c r="RU157" s="53"/>
      <c r="RV157" s="53"/>
      <c r="RW157" s="53"/>
      <c r="RX157" s="53"/>
      <c r="RY157" s="53"/>
      <c r="RZ157" s="53"/>
      <c r="SA157" s="53"/>
      <c r="SB157" s="53"/>
      <c r="SC157" s="53"/>
      <c r="SD157" s="53"/>
      <c r="SE157" s="53"/>
      <c r="SF157" s="53"/>
      <c r="SG157" s="53"/>
      <c r="SH157" s="53"/>
      <c r="SI157" s="53"/>
      <c r="SJ157" s="53"/>
      <c r="SK157" s="53"/>
      <c r="SL157" s="53"/>
      <c r="SM157" s="53"/>
      <c r="SN157" s="53"/>
      <c r="SO157" s="53"/>
      <c r="SP157" s="53"/>
      <c r="SQ157" s="53"/>
      <c r="SR157" s="53"/>
      <c r="SS157" s="53"/>
      <c r="ST157" s="53"/>
      <c r="SU157" s="53"/>
      <c r="SV157" s="53"/>
      <c r="SW157" s="53"/>
      <c r="SX157" s="53"/>
      <c r="SY157" s="53"/>
      <c r="SZ157" s="53"/>
      <c r="TA157" s="53"/>
      <c r="TB157" s="53"/>
      <c r="TC157" s="53"/>
      <c r="TD157" s="53"/>
      <c r="TE157" s="53"/>
      <c r="TF157" s="53"/>
      <c r="TG157" s="53"/>
      <c r="TH157" s="53"/>
      <c r="TI157" s="53"/>
      <c r="TJ157" s="53"/>
      <c r="TK157" s="53"/>
      <c r="TL157" s="53"/>
      <c r="TM157" s="53"/>
      <c r="TN157" s="53"/>
      <c r="TO157" s="53"/>
      <c r="TP157" s="53"/>
      <c r="TQ157" s="53"/>
      <c r="TR157" s="53"/>
      <c r="TS157" s="53"/>
      <c r="TT157" s="53"/>
      <c r="TU157" s="53"/>
      <c r="TV157" s="53"/>
      <c r="TW157" s="53"/>
      <c r="TX157" s="53"/>
      <c r="TY157" s="53"/>
      <c r="TZ157" s="53"/>
      <c r="UA157" s="53"/>
      <c r="UB157" s="53"/>
      <c r="UC157" s="53"/>
      <c r="UD157" s="53"/>
      <c r="UE157" s="53"/>
      <c r="UF157" s="53"/>
      <c r="UG157" s="53"/>
      <c r="UH157" s="53"/>
      <c r="UI157" s="53"/>
      <c r="UJ157" s="53"/>
      <c r="UK157" s="53"/>
      <c r="UL157" s="53"/>
      <c r="UM157" s="53"/>
      <c r="UN157" s="53"/>
      <c r="UO157" s="53"/>
      <c r="UP157" s="53"/>
      <c r="UQ157" s="53"/>
      <c r="UR157" s="53"/>
      <c r="US157" s="53"/>
      <c r="UT157" s="53"/>
      <c r="UU157" s="53"/>
      <c r="UV157" s="53"/>
      <c r="UW157" s="53"/>
      <c r="UX157" s="53"/>
      <c r="UY157" s="53"/>
      <c r="UZ157" s="53"/>
      <c r="VA157" s="53"/>
      <c r="VB157" s="53"/>
      <c r="VC157" s="53"/>
      <c r="VD157" s="53"/>
      <c r="VE157" s="53"/>
      <c r="VF157" s="53"/>
      <c r="VG157" s="53"/>
      <c r="VH157" s="53"/>
      <c r="VI157" s="53"/>
      <c r="VJ157" s="53"/>
      <c r="VK157" s="53"/>
      <c r="VL157" s="53"/>
    </row>
    <row r="158" spans="1:584" s="47" customFormat="1" ht="19.5" customHeight="1" x14ac:dyDescent="0.25">
      <c r="A158" s="45"/>
      <c r="B158" s="91"/>
      <c r="C158" s="91"/>
      <c r="D158" s="48" t="str">
        <f>'дод 3'!C98</f>
        <v>у т.ч. за рахунок субвенцій з держбюджету</v>
      </c>
      <c r="E158" s="115">
        <v>190380</v>
      </c>
      <c r="F158" s="115"/>
      <c r="G158" s="115"/>
      <c r="H158" s="115">
        <v>187879.44</v>
      </c>
      <c r="I158" s="115"/>
      <c r="J158" s="115"/>
      <c r="K158" s="164">
        <f t="shared" si="38"/>
        <v>98.686542704065545</v>
      </c>
      <c r="L158" s="115">
        <f t="shared" si="37"/>
        <v>0</v>
      </c>
      <c r="M158" s="115"/>
      <c r="N158" s="115"/>
      <c r="O158" s="115"/>
      <c r="P158" s="115"/>
      <c r="Q158" s="115"/>
      <c r="R158" s="115">
        <f t="shared" si="39"/>
        <v>0</v>
      </c>
      <c r="S158" s="115"/>
      <c r="T158" s="115"/>
      <c r="U158" s="115"/>
      <c r="V158" s="115"/>
      <c r="W158" s="115"/>
      <c r="X158" s="149"/>
      <c r="Y158" s="115">
        <f t="shared" si="36"/>
        <v>187879.44</v>
      </c>
      <c r="Z158" s="187"/>
      <c r="AA158" s="53"/>
      <c r="AB158" s="53"/>
      <c r="AC158" s="53"/>
      <c r="AD158" s="53"/>
      <c r="AE158" s="79"/>
      <c r="AF158" s="79"/>
      <c r="AG158" s="79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  <c r="IE158" s="53"/>
      <c r="IF158" s="53"/>
      <c r="IG158" s="53"/>
      <c r="IH158" s="53"/>
      <c r="II158" s="53"/>
      <c r="IJ158" s="53"/>
      <c r="IK158" s="53"/>
      <c r="IL158" s="53"/>
      <c r="IM158" s="53"/>
      <c r="IN158" s="53"/>
      <c r="IO158" s="53"/>
      <c r="IP158" s="53"/>
      <c r="IQ158" s="53"/>
      <c r="IR158" s="53"/>
      <c r="IS158" s="53"/>
      <c r="IT158" s="53"/>
      <c r="IU158" s="53"/>
      <c r="IV158" s="53"/>
      <c r="IW158" s="53"/>
      <c r="IX158" s="53"/>
      <c r="IY158" s="53"/>
      <c r="IZ158" s="53"/>
      <c r="JA158" s="53"/>
      <c r="JB158" s="53"/>
      <c r="JC158" s="53"/>
      <c r="JD158" s="53"/>
      <c r="JE158" s="53"/>
      <c r="JF158" s="53"/>
      <c r="JG158" s="53"/>
      <c r="JH158" s="53"/>
      <c r="JI158" s="53"/>
      <c r="JJ158" s="53"/>
      <c r="JK158" s="53"/>
      <c r="JL158" s="53"/>
      <c r="JM158" s="53"/>
      <c r="JN158" s="53"/>
      <c r="JO158" s="53"/>
      <c r="JP158" s="53"/>
      <c r="JQ158" s="53"/>
      <c r="JR158" s="53"/>
      <c r="JS158" s="53"/>
      <c r="JT158" s="53"/>
      <c r="JU158" s="53"/>
      <c r="JV158" s="53"/>
      <c r="JW158" s="53"/>
      <c r="JX158" s="53"/>
      <c r="JY158" s="53"/>
      <c r="JZ158" s="53"/>
      <c r="KA158" s="53"/>
      <c r="KB158" s="53"/>
      <c r="KC158" s="53"/>
      <c r="KD158" s="53"/>
      <c r="KE158" s="53"/>
      <c r="KF158" s="53"/>
      <c r="KG158" s="53"/>
      <c r="KH158" s="53"/>
      <c r="KI158" s="53"/>
      <c r="KJ158" s="53"/>
      <c r="KK158" s="53"/>
      <c r="KL158" s="53"/>
      <c r="KM158" s="53"/>
      <c r="KN158" s="53"/>
      <c r="KO158" s="53"/>
      <c r="KP158" s="53"/>
      <c r="KQ158" s="53"/>
      <c r="KR158" s="53"/>
      <c r="KS158" s="53"/>
      <c r="KT158" s="53"/>
      <c r="KU158" s="53"/>
      <c r="KV158" s="53"/>
      <c r="KW158" s="53"/>
      <c r="KX158" s="53"/>
      <c r="KY158" s="53"/>
      <c r="KZ158" s="53"/>
      <c r="LA158" s="53"/>
      <c r="LB158" s="53"/>
      <c r="LC158" s="53"/>
      <c r="LD158" s="53"/>
      <c r="LE158" s="53"/>
      <c r="LF158" s="53"/>
      <c r="LG158" s="53"/>
      <c r="LH158" s="53"/>
      <c r="LI158" s="53"/>
      <c r="LJ158" s="53"/>
      <c r="LK158" s="53"/>
      <c r="LL158" s="53"/>
      <c r="LM158" s="53"/>
      <c r="LN158" s="53"/>
      <c r="LO158" s="53"/>
      <c r="LP158" s="53"/>
      <c r="LQ158" s="53"/>
      <c r="LR158" s="53"/>
      <c r="LS158" s="53"/>
      <c r="LT158" s="53"/>
      <c r="LU158" s="53"/>
      <c r="LV158" s="53"/>
      <c r="LW158" s="53"/>
      <c r="LX158" s="53"/>
      <c r="LY158" s="53"/>
      <c r="LZ158" s="53"/>
      <c r="MA158" s="53"/>
      <c r="MB158" s="53"/>
      <c r="MC158" s="53"/>
      <c r="MD158" s="53"/>
      <c r="ME158" s="53"/>
      <c r="MF158" s="53"/>
      <c r="MG158" s="53"/>
      <c r="MH158" s="53"/>
      <c r="MI158" s="53"/>
      <c r="MJ158" s="53"/>
      <c r="MK158" s="53"/>
      <c r="ML158" s="53"/>
      <c r="MM158" s="53"/>
      <c r="MN158" s="53"/>
      <c r="MO158" s="53"/>
      <c r="MP158" s="53"/>
      <c r="MQ158" s="53"/>
      <c r="MR158" s="53"/>
      <c r="MS158" s="53"/>
      <c r="MT158" s="53"/>
      <c r="MU158" s="53"/>
      <c r="MV158" s="53"/>
      <c r="MW158" s="53"/>
      <c r="MX158" s="53"/>
      <c r="MY158" s="53"/>
      <c r="MZ158" s="53"/>
      <c r="NA158" s="53"/>
      <c r="NB158" s="53"/>
      <c r="NC158" s="53"/>
      <c r="ND158" s="53"/>
      <c r="NE158" s="53"/>
      <c r="NF158" s="53"/>
      <c r="NG158" s="53"/>
      <c r="NH158" s="53"/>
      <c r="NI158" s="53"/>
      <c r="NJ158" s="53"/>
      <c r="NK158" s="53"/>
      <c r="NL158" s="53"/>
      <c r="NM158" s="53"/>
      <c r="NN158" s="53"/>
      <c r="NO158" s="53"/>
      <c r="NP158" s="53"/>
      <c r="NQ158" s="53"/>
      <c r="NR158" s="53"/>
      <c r="NS158" s="53"/>
      <c r="NT158" s="53"/>
      <c r="NU158" s="53"/>
      <c r="NV158" s="53"/>
      <c r="NW158" s="53"/>
      <c r="NX158" s="53"/>
      <c r="NY158" s="53"/>
      <c r="NZ158" s="53"/>
      <c r="OA158" s="53"/>
      <c r="OB158" s="53"/>
      <c r="OC158" s="53"/>
      <c r="OD158" s="53"/>
      <c r="OE158" s="53"/>
      <c r="OF158" s="53"/>
      <c r="OG158" s="53"/>
      <c r="OH158" s="53"/>
      <c r="OI158" s="53"/>
      <c r="OJ158" s="53"/>
      <c r="OK158" s="53"/>
      <c r="OL158" s="53"/>
      <c r="OM158" s="53"/>
      <c r="ON158" s="53"/>
      <c r="OO158" s="53"/>
      <c r="OP158" s="53"/>
      <c r="OQ158" s="53"/>
      <c r="OR158" s="53"/>
      <c r="OS158" s="53"/>
      <c r="OT158" s="53"/>
      <c r="OU158" s="53"/>
      <c r="OV158" s="53"/>
      <c r="OW158" s="53"/>
      <c r="OX158" s="53"/>
      <c r="OY158" s="53"/>
      <c r="OZ158" s="53"/>
      <c r="PA158" s="53"/>
      <c r="PB158" s="53"/>
      <c r="PC158" s="53"/>
      <c r="PD158" s="53"/>
      <c r="PE158" s="53"/>
      <c r="PF158" s="53"/>
      <c r="PG158" s="53"/>
      <c r="PH158" s="53"/>
      <c r="PI158" s="53"/>
      <c r="PJ158" s="53"/>
      <c r="PK158" s="53"/>
      <c r="PL158" s="53"/>
      <c r="PM158" s="53"/>
      <c r="PN158" s="53"/>
      <c r="PO158" s="53"/>
      <c r="PP158" s="53"/>
      <c r="PQ158" s="53"/>
      <c r="PR158" s="53"/>
      <c r="PS158" s="53"/>
      <c r="PT158" s="53"/>
      <c r="PU158" s="53"/>
      <c r="PV158" s="53"/>
      <c r="PW158" s="53"/>
      <c r="PX158" s="53"/>
      <c r="PY158" s="53"/>
      <c r="PZ158" s="53"/>
      <c r="QA158" s="53"/>
      <c r="QB158" s="53"/>
      <c r="QC158" s="53"/>
      <c r="QD158" s="53"/>
      <c r="QE158" s="53"/>
      <c r="QF158" s="53"/>
      <c r="QG158" s="53"/>
      <c r="QH158" s="53"/>
      <c r="QI158" s="53"/>
      <c r="QJ158" s="53"/>
      <c r="QK158" s="53"/>
      <c r="QL158" s="53"/>
      <c r="QM158" s="53"/>
      <c r="QN158" s="53"/>
      <c r="QO158" s="53"/>
      <c r="QP158" s="53"/>
      <c r="QQ158" s="53"/>
      <c r="QR158" s="53"/>
      <c r="QS158" s="53"/>
      <c r="QT158" s="53"/>
      <c r="QU158" s="53"/>
      <c r="QV158" s="53"/>
      <c r="QW158" s="53"/>
      <c r="QX158" s="53"/>
      <c r="QY158" s="53"/>
      <c r="QZ158" s="53"/>
      <c r="RA158" s="53"/>
      <c r="RB158" s="53"/>
      <c r="RC158" s="53"/>
      <c r="RD158" s="53"/>
      <c r="RE158" s="53"/>
      <c r="RF158" s="53"/>
      <c r="RG158" s="53"/>
      <c r="RH158" s="53"/>
      <c r="RI158" s="53"/>
      <c r="RJ158" s="53"/>
      <c r="RK158" s="53"/>
      <c r="RL158" s="53"/>
      <c r="RM158" s="53"/>
      <c r="RN158" s="53"/>
      <c r="RO158" s="53"/>
      <c r="RP158" s="53"/>
      <c r="RQ158" s="53"/>
      <c r="RR158" s="53"/>
      <c r="RS158" s="53"/>
      <c r="RT158" s="53"/>
      <c r="RU158" s="53"/>
      <c r="RV158" s="53"/>
      <c r="RW158" s="53"/>
      <c r="RX158" s="53"/>
      <c r="RY158" s="53"/>
      <c r="RZ158" s="53"/>
      <c r="SA158" s="53"/>
      <c r="SB158" s="53"/>
      <c r="SC158" s="53"/>
      <c r="SD158" s="53"/>
      <c r="SE158" s="53"/>
      <c r="SF158" s="53"/>
      <c r="SG158" s="53"/>
      <c r="SH158" s="53"/>
      <c r="SI158" s="53"/>
      <c r="SJ158" s="53"/>
      <c r="SK158" s="53"/>
      <c r="SL158" s="53"/>
      <c r="SM158" s="53"/>
      <c r="SN158" s="53"/>
      <c r="SO158" s="53"/>
      <c r="SP158" s="53"/>
      <c r="SQ158" s="53"/>
      <c r="SR158" s="53"/>
      <c r="SS158" s="53"/>
      <c r="ST158" s="53"/>
      <c r="SU158" s="53"/>
      <c r="SV158" s="53"/>
      <c r="SW158" s="53"/>
      <c r="SX158" s="53"/>
      <c r="SY158" s="53"/>
      <c r="SZ158" s="53"/>
      <c r="TA158" s="53"/>
      <c r="TB158" s="53"/>
      <c r="TC158" s="53"/>
      <c r="TD158" s="53"/>
      <c r="TE158" s="53"/>
      <c r="TF158" s="53"/>
      <c r="TG158" s="53"/>
      <c r="TH158" s="53"/>
      <c r="TI158" s="53"/>
      <c r="TJ158" s="53"/>
      <c r="TK158" s="53"/>
      <c r="TL158" s="53"/>
      <c r="TM158" s="53"/>
      <c r="TN158" s="53"/>
      <c r="TO158" s="53"/>
      <c r="TP158" s="53"/>
      <c r="TQ158" s="53"/>
      <c r="TR158" s="53"/>
      <c r="TS158" s="53"/>
      <c r="TT158" s="53"/>
      <c r="TU158" s="53"/>
      <c r="TV158" s="53"/>
      <c r="TW158" s="53"/>
      <c r="TX158" s="53"/>
      <c r="TY158" s="53"/>
      <c r="TZ158" s="53"/>
      <c r="UA158" s="53"/>
      <c r="UB158" s="53"/>
      <c r="UC158" s="53"/>
      <c r="UD158" s="53"/>
      <c r="UE158" s="53"/>
      <c r="UF158" s="53"/>
      <c r="UG158" s="53"/>
      <c r="UH158" s="53"/>
      <c r="UI158" s="53"/>
      <c r="UJ158" s="53"/>
      <c r="UK158" s="53"/>
      <c r="UL158" s="53"/>
      <c r="UM158" s="53"/>
      <c r="UN158" s="53"/>
      <c r="UO158" s="53"/>
      <c r="UP158" s="53"/>
      <c r="UQ158" s="53"/>
      <c r="UR158" s="53"/>
      <c r="US158" s="53"/>
      <c r="UT158" s="53"/>
      <c r="UU158" s="53"/>
      <c r="UV158" s="53"/>
      <c r="UW158" s="53"/>
      <c r="UX158" s="53"/>
      <c r="UY158" s="53"/>
      <c r="UZ158" s="53"/>
      <c r="VA158" s="53"/>
      <c r="VB158" s="53"/>
      <c r="VC158" s="53"/>
      <c r="VD158" s="53"/>
      <c r="VE158" s="53"/>
      <c r="VF158" s="53"/>
      <c r="VG158" s="53"/>
      <c r="VH158" s="53"/>
      <c r="VI158" s="53"/>
      <c r="VJ158" s="53"/>
      <c r="VK158" s="53"/>
      <c r="VL158" s="53"/>
    </row>
    <row r="159" spans="1:584" s="47" customFormat="1" ht="135" x14ac:dyDescent="0.25">
      <c r="A159" s="71" t="s">
        <v>578</v>
      </c>
      <c r="B159" s="91">
        <v>3086</v>
      </c>
      <c r="C159" s="91">
        <v>1040</v>
      </c>
      <c r="D159" s="48" t="s">
        <v>584</v>
      </c>
      <c r="E159" s="115">
        <v>253550</v>
      </c>
      <c r="F159" s="115"/>
      <c r="G159" s="115"/>
      <c r="H159" s="115">
        <v>63006.5</v>
      </c>
      <c r="I159" s="115"/>
      <c r="J159" s="115"/>
      <c r="K159" s="164">
        <f t="shared" si="38"/>
        <v>24.849733780319465</v>
      </c>
      <c r="L159" s="115">
        <f t="shared" si="37"/>
        <v>0</v>
      </c>
      <c r="M159" s="115"/>
      <c r="N159" s="115"/>
      <c r="O159" s="115"/>
      <c r="P159" s="115"/>
      <c r="Q159" s="115"/>
      <c r="R159" s="115">
        <f t="shared" si="39"/>
        <v>0</v>
      </c>
      <c r="S159" s="115"/>
      <c r="T159" s="115"/>
      <c r="U159" s="115"/>
      <c r="V159" s="115"/>
      <c r="W159" s="115"/>
      <c r="X159" s="149"/>
      <c r="Y159" s="115">
        <f t="shared" si="36"/>
        <v>63006.5</v>
      </c>
      <c r="Z159" s="187"/>
      <c r="AA159" s="53"/>
      <c r="AB159" s="53"/>
      <c r="AC159" s="53"/>
      <c r="AD159" s="53"/>
      <c r="AE159" s="79"/>
      <c r="AF159" s="79"/>
      <c r="AG159" s="79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  <c r="IK159" s="53"/>
      <c r="IL159" s="53"/>
      <c r="IM159" s="53"/>
      <c r="IN159" s="53"/>
      <c r="IO159" s="53"/>
      <c r="IP159" s="53"/>
      <c r="IQ159" s="53"/>
      <c r="IR159" s="53"/>
      <c r="IS159" s="53"/>
      <c r="IT159" s="53"/>
      <c r="IU159" s="53"/>
      <c r="IV159" s="53"/>
      <c r="IW159" s="53"/>
      <c r="IX159" s="53"/>
      <c r="IY159" s="53"/>
      <c r="IZ159" s="53"/>
      <c r="JA159" s="53"/>
      <c r="JB159" s="53"/>
      <c r="JC159" s="53"/>
      <c r="JD159" s="53"/>
      <c r="JE159" s="53"/>
      <c r="JF159" s="53"/>
      <c r="JG159" s="53"/>
      <c r="JH159" s="53"/>
      <c r="JI159" s="53"/>
      <c r="JJ159" s="53"/>
      <c r="JK159" s="53"/>
      <c r="JL159" s="53"/>
      <c r="JM159" s="53"/>
      <c r="JN159" s="53"/>
      <c r="JO159" s="53"/>
      <c r="JP159" s="53"/>
      <c r="JQ159" s="53"/>
      <c r="JR159" s="53"/>
      <c r="JS159" s="53"/>
      <c r="JT159" s="53"/>
      <c r="JU159" s="53"/>
      <c r="JV159" s="53"/>
      <c r="JW159" s="53"/>
      <c r="JX159" s="53"/>
      <c r="JY159" s="53"/>
      <c r="JZ159" s="53"/>
      <c r="KA159" s="53"/>
      <c r="KB159" s="53"/>
      <c r="KC159" s="53"/>
      <c r="KD159" s="53"/>
      <c r="KE159" s="53"/>
      <c r="KF159" s="53"/>
      <c r="KG159" s="53"/>
      <c r="KH159" s="53"/>
      <c r="KI159" s="53"/>
      <c r="KJ159" s="53"/>
      <c r="KK159" s="53"/>
      <c r="KL159" s="53"/>
      <c r="KM159" s="53"/>
      <c r="KN159" s="53"/>
      <c r="KO159" s="53"/>
      <c r="KP159" s="53"/>
      <c r="KQ159" s="53"/>
      <c r="KR159" s="53"/>
      <c r="KS159" s="53"/>
      <c r="KT159" s="53"/>
      <c r="KU159" s="53"/>
      <c r="KV159" s="53"/>
      <c r="KW159" s="53"/>
      <c r="KX159" s="53"/>
      <c r="KY159" s="53"/>
      <c r="KZ159" s="53"/>
      <c r="LA159" s="53"/>
      <c r="LB159" s="53"/>
      <c r="LC159" s="53"/>
      <c r="LD159" s="53"/>
      <c r="LE159" s="53"/>
      <c r="LF159" s="53"/>
      <c r="LG159" s="53"/>
      <c r="LH159" s="53"/>
      <c r="LI159" s="53"/>
      <c r="LJ159" s="53"/>
      <c r="LK159" s="53"/>
      <c r="LL159" s="53"/>
      <c r="LM159" s="53"/>
      <c r="LN159" s="53"/>
      <c r="LO159" s="53"/>
      <c r="LP159" s="53"/>
      <c r="LQ159" s="53"/>
      <c r="LR159" s="53"/>
      <c r="LS159" s="53"/>
      <c r="LT159" s="53"/>
      <c r="LU159" s="53"/>
      <c r="LV159" s="53"/>
      <c r="LW159" s="53"/>
      <c r="LX159" s="53"/>
      <c r="LY159" s="53"/>
      <c r="LZ159" s="53"/>
      <c r="MA159" s="53"/>
      <c r="MB159" s="53"/>
      <c r="MC159" s="53"/>
      <c r="MD159" s="53"/>
      <c r="ME159" s="53"/>
      <c r="MF159" s="53"/>
      <c r="MG159" s="53"/>
      <c r="MH159" s="53"/>
      <c r="MI159" s="53"/>
      <c r="MJ159" s="53"/>
      <c r="MK159" s="53"/>
      <c r="ML159" s="53"/>
      <c r="MM159" s="53"/>
      <c r="MN159" s="53"/>
      <c r="MO159" s="53"/>
      <c r="MP159" s="53"/>
      <c r="MQ159" s="53"/>
      <c r="MR159" s="53"/>
      <c r="MS159" s="53"/>
      <c r="MT159" s="53"/>
      <c r="MU159" s="53"/>
      <c r="MV159" s="53"/>
      <c r="MW159" s="53"/>
      <c r="MX159" s="53"/>
      <c r="MY159" s="53"/>
      <c r="MZ159" s="53"/>
      <c r="NA159" s="53"/>
      <c r="NB159" s="53"/>
      <c r="NC159" s="53"/>
      <c r="ND159" s="53"/>
      <c r="NE159" s="53"/>
      <c r="NF159" s="53"/>
      <c r="NG159" s="53"/>
      <c r="NH159" s="53"/>
      <c r="NI159" s="53"/>
      <c r="NJ159" s="53"/>
      <c r="NK159" s="53"/>
      <c r="NL159" s="53"/>
      <c r="NM159" s="53"/>
      <c r="NN159" s="53"/>
      <c r="NO159" s="53"/>
      <c r="NP159" s="53"/>
      <c r="NQ159" s="53"/>
      <c r="NR159" s="53"/>
      <c r="NS159" s="53"/>
      <c r="NT159" s="53"/>
      <c r="NU159" s="53"/>
      <c r="NV159" s="53"/>
      <c r="NW159" s="53"/>
      <c r="NX159" s="53"/>
      <c r="NY159" s="53"/>
      <c r="NZ159" s="53"/>
      <c r="OA159" s="53"/>
      <c r="OB159" s="53"/>
      <c r="OC159" s="53"/>
      <c r="OD159" s="53"/>
      <c r="OE159" s="53"/>
      <c r="OF159" s="53"/>
      <c r="OG159" s="53"/>
      <c r="OH159" s="53"/>
      <c r="OI159" s="53"/>
      <c r="OJ159" s="53"/>
      <c r="OK159" s="53"/>
      <c r="OL159" s="53"/>
      <c r="OM159" s="53"/>
      <c r="ON159" s="53"/>
      <c r="OO159" s="53"/>
      <c r="OP159" s="53"/>
      <c r="OQ159" s="53"/>
      <c r="OR159" s="53"/>
      <c r="OS159" s="53"/>
      <c r="OT159" s="53"/>
      <c r="OU159" s="53"/>
      <c r="OV159" s="53"/>
      <c r="OW159" s="53"/>
      <c r="OX159" s="53"/>
      <c r="OY159" s="53"/>
      <c r="OZ159" s="53"/>
      <c r="PA159" s="53"/>
      <c r="PB159" s="53"/>
      <c r="PC159" s="53"/>
      <c r="PD159" s="53"/>
      <c r="PE159" s="53"/>
      <c r="PF159" s="53"/>
      <c r="PG159" s="53"/>
      <c r="PH159" s="53"/>
      <c r="PI159" s="53"/>
      <c r="PJ159" s="53"/>
      <c r="PK159" s="53"/>
      <c r="PL159" s="53"/>
      <c r="PM159" s="53"/>
      <c r="PN159" s="53"/>
      <c r="PO159" s="53"/>
      <c r="PP159" s="53"/>
      <c r="PQ159" s="53"/>
      <c r="PR159" s="53"/>
      <c r="PS159" s="53"/>
      <c r="PT159" s="53"/>
      <c r="PU159" s="53"/>
      <c r="PV159" s="53"/>
      <c r="PW159" s="53"/>
      <c r="PX159" s="53"/>
      <c r="PY159" s="53"/>
      <c r="PZ159" s="53"/>
      <c r="QA159" s="53"/>
      <c r="QB159" s="53"/>
      <c r="QC159" s="53"/>
      <c r="QD159" s="53"/>
      <c r="QE159" s="53"/>
      <c r="QF159" s="53"/>
      <c r="QG159" s="53"/>
      <c r="QH159" s="53"/>
      <c r="QI159" s="53"/>
      <c r="QJ159" s="53"/>
      <c r="QK159" s="53"/>
      <c r="QL159" s="53"/>
      <c r="QM159" s="53"/>
      <c r="QN159" s="53"/>
      <c r="QO159" s="53"/>
      <c r="QP159" s="53"/>
      <c r="QQ159" s="53"/>
      <c r="QR159" s="53"/>
      <c r="QS159" s="53"/>
      <c r="QT159" s="53"/>
      <c r="QU159" s="53"/>
      <c r="QV159" s="53"/>
      <c r="QW159" s="53"/>
      <c r="QX159" s="53"/>
      <c r="QY159" s="53"/>
      <c r="QZ159" s="53"/>
      <c r="RA159" s="53"/>
      <c r="RB159" s="53"/>
      <c r="RC159" s="53"/>
      <c r="RD159" s="53"/>
      <c r="RE159" s="53"/>
      <c r="RF159" s="53"/>
      <c r="RG159" s="53"/>
      <c r="RH159" s="53"/>
      <c r="RI159" s="53"/>
      <c r="RJ159" s="53"/>
      <c r="RK159" s="53"/>
      <c r="RL159" s="53"/>
      <c r="RM159" s="53"/>
      <c r="RN159" s="53"/>
      <c r="RO159" s="53"/>
      <c r="RP159" s="53"/>
      <c r="RQ159" s="53"/>
      <c r="RR159" s="53"/>
      <c r="RS159" s="53"/>
      <c r="RT159" s="53"/>
      <c r="RU159" s="53"/>
      <c r="RV159" s="53"/>
      <c r="RW159" s="53"/>
      <c r="RX159" s="53"/>
      <c r="RY159" s="53"/>
      <c r="RZ159" s="53"/>
      <c r="SA159" s="53"/>
      <c r="SB159" s="53"/>
      <c r="SC159" s="53"/>
      <c r="SD159" s="53"/>
      <c r="SE159" s="53"/>
      <c r="SF159" s="53"/>
      <c r="SG159" s="53"/>
      <c r="SH159" s="53"/>
      <c r="SI159" s="53"/>
      <c r="SJ159" s="53"/>
      <c r="SK159" s="53"/>
      <c r="SL159" s="53"/>
      <c r="SM159" s="53"/>
      <c r="SN159" s="53"/>
      <c r="SO159" s="53"/>
      <c r="SP159" s="53"/>
      <c r="SQ159" s="53"/>
      <c r="SR159" s="53"/>
      <c r="SS159" s="53"/>
      <c r="ST159" s="53"/>
      <c r="SU159" s="53"/>
      <c r="SV159" s="53"/>
      <c r="SW159" s="53"/>
      <c r="SX159" s="53"/>
      <c r="SY159" s="53"/>
      <c r="SZ159" s="53"/>
      <c r="TA159" s="53"/>
      <c r="TB159" s="53"/>
      <c r="TC159" s="53"/>
      <c r="TD159" s="53"/>
      <c r="TE159" s="53"/>
      <c r="TF159" s="53"/>
      <c r="TG159" s="53"/>
      <c r="TH159" s="53"/>
      <c r="TI159" s="53"/>
      <c r="TJ159" s="53"/>
      <c r="TK159" s="53"/>
      <c r="TL159" s="53"/>
      <c r="TM159" s="53"/>
      <c r="TN159" s="53"/>
      <c r="TO159" s="53"/>
      <c r="TP159" s="53"/>
      <c r="TQ159" s="53"/>
      <c r="TR159" s="53"/>
      <c r="TS159" s="53"/>
      <c r="TT159" s="53"/>
      <c r="TU159" s="53"/>
      <c r="TV159" s="53"/>
      <c r="TW159" s="53"/>
      <c r="TX159" s="53"/>
      <c r="TY159" s="53"/>
      <c r="TZ159" s="53"/>
      <c r="UA159" s="53"/>
      <c r="UB159" s="53"/>
      <c r="UC159" s="53"/>
      <c r="UD159" s="53"/>
      <c r="UE159" s="53"/>
      <c r="UF159" s="53"/>
      <c r="UG159" s="53"/>
      <c r="UH159" s="53"/>
      <c r="UI159" s="53"/>
      <c r="UJ159" s="53"/>
      <c r="UK159" s="53"/>
      <c r="UL159" s="53"/>
      <c r="UM159" s="53"/>
      <c r="UN159" s="53"/>
      <c r="UO159" s="53"/>
      <c r="UP159" s="53"/>
      <c r="UQ159" s="53"/>
      <c r="UR159" s="53"/>
      <c r="US159" s="53"/>
      <c r="UT159" s="53"/>
      <c r="UU159" s="53"/>
      <c r="UV159" s="53"/>
      <c r="UW159" s="53"/>
      <c r="UX159" s="53"/>
      <c r="UY159" s="53"/>
      <c r="UZ159" s="53"/>
      <c r="VA159" s="53"/>
      <c r="VB159" s="53"/>
      <c r="VC159" s="53"/>
      <c r="VD159" s="53"/>
      <c r="VE159" s="53"/>
      <c r="VF159" s="53"/>
      <c r="VG159" s="53"/>
      <c r="VH159" s="53"/>
      <c r="VI159" s="53"/>
      <c r="VJ159" s="53"/>
      <c r="VK159" s="53"/>
      <c r="VL159" s="53"/>
    </row>
    <row r="160" spans="1:584" s="47" customFormat="1" ht="19.5" customHeight="1" x14ac:dyDescent="0.25">
      <c r="A160" s="45"/>
      <c r="B160" s="91"/>
      <c r="C160" s="91"/>
      <c r="D160" s="48" t="s">
        <v>342</v>
      </c>
      <c r="E160" s="115">
        <v>253550</v>
      </c>
      <c r="F160" s="115"/>
      <c r="G160" s="115"/>
      <c r="H160" s="115">
        <v>63006.5</v>
      </c>
      <c r="I160" s="115"/>
      <c r="J160" s="115"/>
      <c r="K160" s="164">
        <f t="shared" si="38"/>
        <v>24.849733780319465</v>
      </c>
      <c r="L160" s="115">
        <f t="shared" si="37"/>
        <v>0</v>
      </c>
      <c r="M160" s="115"/>
      <c r="N160" s="115"/>
      <c r="O160" s="115"/>
      <c r="P160" s="115"/>
      <c r="Q160" s="115"/>
      <c r="R160" s="115">
        <f t="shared" si="39"/>
        <v>0</v>
      </c>
      <c r="S160" s="115"/>
      <c r="T160" s="115"/>
      <c r="U160" s="115"/>
      <c r="V160" s="115"/>
      <c r="W160" s="115"/>
      <c r="X160" s="149"/>
      <c r="Y160" s="115">
        <f t="shared" si="36"/>
        <v>63006.5</v>
      </c>
      <c r="Z160" s="187"/>
      <c r="AA160" s="53"/>
      <c r="AB160" s="53"/>
      <c r="AC160" s="53"/>
      <c r="AD160" s="53"/>
      <c r="AE160" s="79"/>
      <c r="AF160" s="79"/>
      <c r="AG160" s="79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  <c r="IK160" s="53"/>
      <c r="IL160" s="53"/>
      <c r="IM160" s="53"/>
      <c r="IN160" s="53"/>
      <c r="IO160" s="53"/>
      <c r="IP160" s="53"/>
      <c r="IQ160" s="53"/>
      <c r="IR160" s="53"/>
      <c r="IS160" s="53"/>
      <c r="IT160" s="53"/>
      <c r="IU160" s="53"/>
      <c r="IV160" s="53"/>
      <c r="IW160" s="53"/>
      <c r="IX160" s="53"/>
      <c r="IY160" s="53"/>
      <c r="IZ160" s="53"/>
      <c r="JA160" s="53"/>
      <c r="JB160" s="53"/>
      <c r="JC160" s="53"/>
      <c r="JD160" s="53"/>
      <c r="JE160" s="53"/>
      <c r="JF160" s="53"/>
      <c r="JG160" s="53"/>
      <c r="JH160" s="53"/>
      <c r="JI160" s="53"/>
      <c r="JJ160" s="53"/>
      <c r="JK160" s="53"/>
      <c r="JL160" s="53"/>
      <c r="JM160" s="53"/>
      <c r="JN160" s="53"/>
      <c r="JO160" s="53"/>
      <c r="JP160" s="53"/>
      <c r="JQ160" s="53"/>
      <c r="JR160" s="53"/>
      <c r="JS160" s="53"/>
      <c r="JT160" s="53"/>
      <c r="JU160" s="53"/>
      <c r="JV160" s="53"/>
      <c r="JW160" s="53"/>
      <c r="JX160" s="53"/>
      <c r="JY160" s="53"/>
      <c r="JZ160" s="53"/>
      <c r="KA160" s="53"/>
      <c r="KB160" s="53"/>
      <c r="KC160" s="53"/>
      <c r="KD160" s="53"/>
      <c r="KE160" s="53"/>
      <c r="KF160" s="53"/>
      <c r="KG160" s="53"/>
      <c r="KH160" s="53"/>
      <c r="KI160" s="53"/>
      <c r="KJ160" s="53"/>
      <c r="KK160" s="53"/>
      <c r="KL160" s="53"/>
      <c r="KM160" s="53"/>
      <c r="KN160" s="53"/>
      <c r="KO160" s="53"/>
      <c r="KP160" s="53"/>
      <c r="KQ160" s="53"/>
      <c r="KR160" s="53"/>
      <c r="KS160" s="53"/>
      <c r="KT160" s="53"/>
      <c r="KU160" s="53"/>
      <c r="KV160" s="53"/>
      <c r="KW160" s="53"/>
      <c r="KX160" s="53"/>
      <c r="KY160" s="53"/>
      <c r="KZ160" s="53"/>
      <c r="LA160" s="53"/>
      <c r="LB160" s="53"/>
      <c r="LC160" s="53"/>
      <c r="LD160" s="53"/>
      <c r="LE160" s="53"/>
      <c r="LF160" s="53"/>
      <c r="LG160" s="53"/>
      <c r="LH160" s="53"/>
      <c r="LI160" s="53"/>
      <c r="LJ160" s="53"/>
      <c r="LK160" s="53"/>
      <c r="LL160" s="53"/>
      <c r="LM160" s="53"/>
      <c r="LN160" s="53"/>
      <c r="LO160" s="53"/>
      <c r="LP160" s="53"/>
      <c r="LQ160" s="53"/>
      <c r="LR160" s="53"/>
      <c r="LS160" s="53"/>
      <c r="LT160" s="53"/>
      <c r="LU160" s="53"/>
      <c r="LV160" s="53"/>
      <c r="LW160" s="53"/>
      <c r="LX160" s="53"/>
      <c r="LY160" s="53"/>
      <c r="LZ160" s="53"/>
      <c r="MA160" s="53"/>
      <c r="MB160" s="53"/>
      <c r="MC160" s="53"/>
      <c r="MD160" s="53"/>
      <c r="ME160" s="53"/>
      <c r="MF160" s="53"/>
      <c r="MG160" s="53"/>
      <c r="MH160" s="53"/>
      <c r="MI160" s="53"/>
      <c r="MJ160" s="53"/>
      <c r="MK160" s="53"/>
      <c r="ML160" s="53"/>
      <c r="MM160" s="53"/>
      <c r="MN160" s="53"/>
      <c r="MO160" s="53"/>
      <c r="MP160" s="53"/>
      <c r="MQ160" s="53"/>
      <c r="MR160" s="53"/>
      <c r="MS160" s="53"/>
      <c r="MT160" s="53"/>
      <c r="MU160" s="53"/>
      <c r="MV160" s="53"/>
      <c r="MW160" s="53"/>
      <c r="MX160" s="53"/>
      <c r="MY160" s="53"/>
      <c r="MZ160" s="53"/>
      <c r="NA160" s="53"/>
      <c r="NB160" s="53"/>
      <c r="NC160" s="53"/>
      <c r="ND160" s="53"/>
      <c r="NE160" s="53"/>
      <c r="NF160" s="53"/>
      <c r="NG160" s="53"/>
      <c r="NH160" s="53"/>
      <c r="NI160" s="53"/>
      <c r="NJ160" s="53"/>
      <c r="NK160" s="53"/>
      <c r="NL160" s="53"/>
      <c r="NM160" s="53"/>
      <c r="NN160" s="53"/>
      <c r="NO160" s="53"/>
      <c r="NP160" s="53"/>
      <c r="NQ160" s="53"/>
      <c r="NR160" s="53"/>
      <c r="NS160" s="53"/>
      <c r="NT160" s="53"/>
      <c r="NU160" s="53"/>
      <c r="NV160" s="53"/>
      <c r="NW160" s="53"/>
      <c r="NX160" s="53"/>
      <c r="NY160" s="53"/>
      <c r="NZ160" s="53"/>
      <c r="OA160" s="53"/>
      <c r="OB160" s="53"/>
      <c r="OC160" s="53"/>
      <c r="OD160" s="53"/>
      <c r="OE160" s="53"/>
      <c r="OF160" s="53"/>
      <c r="OG160" s="53"/>
      <c r="OH160" s="53"/>
      <c r="OI160" s="53"/>
      <c r="OJ160" s="53"/>
      <c r="OK160" s="53"/>
      <c r="OL160" s="53"/>
      <c r="OM160" s="53"/>
      <c r="ON160" s="53"/>
      <c r="OO160" s="53"/>
      <c r="OP160" s="53"/>
      <c r="OQ160" s="53"/>
      <c r="OR160" s="53"/>
      <c r="OS160" s="53"/>
      <c r="OT160" s="53"/>
      <c r="OU160" s="53"/>
      <c r="OV160" s="53"/>
      <c r="OW160" s="53"/>
      <c r="OX160" s="53"/>
      <c r="OY160" s="53"/>
      <c r="OZ160" s="53"/>
      <c r="PA160" s="53"/>
      <c r="PB160" s="53"/>
      <c r="PC160" s="53"/>
      <c r="PD160" s="53"/>
      <c r="PE160" s="53"/>
      <c r="PF160" s="53"/>
      <c r="PG160" s="53"/>
      <c r="PH160" s="53"/>
      <c r="PI160" s="53"/>
      <c r="PJ160" s="53"/>
      <c r="PK160" s="53"/>
      <c r="PL160" s="53"/>
      <c r="PM160" s="53"/>
      <c r="PN160" s="53"/>
      <c r="PO160" s="53"/>
      <c r="PP160" s="53"/>
      <c r="PQ160" s="53"/>
      <c r="PR160" s="53"/>
      <c r="PS160" s="53"/>
      <c r="PT160" s="53"/>
      <c r="PU160" s="53"/>
      <c r="PV160" s="53"/>
      <c r="PW160" s="53"/>
      <c r="PX160" s="53"/>
      <c r="PY160" s="53"/>
      <c r="PZ160" s="53"/>
      <c r="QA160" s="53"/>
      <c r="QB160" s="53"/>
      <c r="QC160" s="53"/>
      <c r="QD160" s="53"/>
      <c r="QE160" s="53"/>
      <c r="QF160" s="53"/>
      <c r="QG160" s="53"/>
      <c r="QH160" s="53"/>
      <c r="QI160" s="53"/>
      <c r="QJ160" s="53"/>
      <c r="QK160" s="53"/>
      <c r="QL160" s="53"/>
      <c r="QM160" s="53"/>
      <c r="QN160" s="53"/>
      <c r="QO160" s="53"/>
      <c r="QP160" s="53"/>
      <c r="QQ160" s="53"/>
      <c r="QR160" s="53"/>
      <c r="QS160" s="53"/>
      <c r="QT160" s="53"/>
      <c r="QU160" s="53"/>
      <c r="QV160" s="53"/>
      <c r="QW160" s="53"/>
      <c r="QX160" s="53"/>
      <c r="QY160" s="53"/>
      <c r="QZ160" s="53"/>
      <c r="RA160" s="53"/>
      <c r="RB160" s="53"/>
      <c r="RC160" s="53"/>
      <c r="RD160" s="53"/>
      <c r="RE160" s="53"/>
      <c r="RF160" s="53"/>
      <c r="RG160" s="53"/>
      <c r="RH160" s="53"/>
      <c r="RI160" s="53"/>
      <c r="RJ160" s="53"/>
      <c r="RK160" s="53"/>
      <c r="RL160" s="53"/>
      <c r="RM160" s="53"/>
      <c r="RN160" s="53"/>
      <c r="RO160" s="53"/>
      <c r="RP160" s="53"/>
      <c r="RQ160" s="53"/>
      <c r="RR160" s="53"/>
      <c r="RS160" s="53"/>
      <c r="RT160" s="53"/>
      <c r="RU160" s="53"/>
      <c r="RV160" s="53"/>
      <c r="RW160" s="53"/>
      <c r="RX160" s="53"/>
      <c r="RY160" s="53"/>
      <c r="RZ160" s="53"/>
      <c r="SA160" s="53"/>
      <c r="SB160" s="53"/>
      <c r="SC160" s="53"/>
      <c r="SD160" s="53"/>
      <c r="SE160" s="53"/>
      <c r="SF160" s="53"/>
      <c r="SG160" s="53"/>
      <c r="SH160" s="53"/>
      <c r="SI160" s="53"/>
      <c r="SJ160" s="53"/>
      <c r="SK160" s="53"/>
      <c r="SL160" s="53"/>
      <c r="SM160" s="53"/>
      <c r="SN160" s="53"/>
      <c r="SO160" s="53"/>
      <c r="SP160" s="53"/>
      <c r="SQ160" s="53"/>
      <c r="SR160" s="53"/>
      <c r="SS160" s="53"/>
      <c r="ST160" s="53"/>
      <c r="SU160" s="53"/>
      <c r="SV160" s="53"/>
      <c r="SW160" s="53"/>
      <c r="SX160" s="53"/>
      <c r="SY160" s="53"/>
      <c r="SZ160" s="53"/>
      <c r="TA160" s="53"/>
      <c r="TB160" s="53"/>
      <c r="TC160" s="53"/>
      <c r="TD160" s="53"/>
      <c r="TE160" s="53"/>
      <c r="TF160" s="53"/>
      <c r="TG160" s="53"/>
      <c r="TH160" s="53"/>
      <c r="TI160" s="53"/>
      <c r="TJ160" s="53"/>
      <c r="TK160" s="53"/>
      <c r="TL160" s="53"/>
      <c r="TM160" s="53"/>
      <c r="TN160" s="53"/>
      <c r="TO160" s="53"/>
      <c r="TP160" s="53"/>
      <c r="TQ160" s="53"/>
      <c r="TR160" s="53"/>
      <c r="TS160" s="53"/>
      <c r="TT160" s="53"/>
      <c r="TU160" s="53"/>
      <c r="TV160" s="53"/>
      <c r="TW160" s="53"/>
      <c r="TX160" s="53"/>
      <c r="TY160" s="53"/>
      <c r="TZ160" s="53"/>
      <c r="UA160" s="53"/>
      <c r="UB160" s="53"/>
      <c r="UC160" s="53"/>
      <c r="UD160" s="53"/>
      <c r="UE160" s="53"/>
      <c r="UF160" s="53"/>
      <c r="UG160" s="53"/>
      <c r="UH160" s="53"/>
      <c r="UI160" s="53"/>
      <c r="UJ160" s="53"/>
      <c r="UK160" s="53"/>
      <c r="UL160" s="53"/>
      <c r="UM160" s="53"/>
      <c r="UN160" s="53"/>
      <c r="UO160" s="53"/>
      <c r="UP160" s="53"/>
      <c r="UQ160" s="53"/>
      <c r="UR160" s="53"/>
      <c r="US160" s="53"/>
      <c r="UT160" s="53"/>
      <c r="UU160" s="53"/>
      <c r="UV160" s="53"/>
      <c r="UW160" s="53"/>
      <c r="UX160" s="53"/>
      <c r="UY160" s="53"/>
      <c r="UZ160" s="53"/>
      <c r="VA160" s="53"/>
      <c r="VB160" s="53"/>
      <c r="VC160" s="53"/>
      <c r="VD160" s="53"/>
      <c r="VE160" s="53"/>
      <c r="VF160" s="53"/>
      <c r="VG160" s="53"/>
      <c r="VH160" s="53"/>
      <c r="VI160" s="53"/>
      <c r="VJ160" s="53"/>
      <c r="VK160" s="53"/>
      <c r="VL160" s="53"/>
    </row>
    <row r="161" spans="1:584" s="47" customFormat="1" ht="34.5" customHeight="1" x14ac:dyDescent="0.25">
      <c r="A161" s="71" t="s">
        <v>595</v>
      </c>
      <c r="B161" s="71">
        <v>3087</v>
      </c>
      <c r="C161" s="91">
        <v>1040</v>
      </c>
      <c r="D161" s="48" t="s">
        <v>594</v>
      </c>
      <c r="E161" s="115">
        <v>15300000</v>
      </c>
      <c r="F161" s="115"/>
      <c r="G161" s="115"/>
      <c r="H161" s="115">
        <v>13037300</v>
      </c>
      <c r="I161" s="115"/>
      <c r="J161" s="115"/>
      <c r="K161" s="164">
        <f t="shared" si="38"/>
        <v>85.211111111111109</v>
      </c>
      <c r="L161" s="115">
        <f t="shared" si="37"/>
        <v>0</v>
      </c>
      <c r="M161" s="115"/>
      <c r="N161" s="115"/>
      <c r="O161" s="115"/>
      <c r="P161" s="115"/>
      <c r="Q161" s="115"/>
      <c r="R161" s="115">
        <f t="shared" si="39"/>
        <v>0</v>
      </c>
      <c r="S161" s="115"/>
      <c r="T161" s="115"/>
      <c r="U161" s="115"/>
      <c r="V161" s="115"/>
      <c r="W161" s="115"/>
      <c r="X161" s="149"/>
      <c r="Y161" s="115">
        <f t="shared" si="36"/>
        <v>13037300</v>
      </c>
      <c r="Z161" s="187"/>
      <c r="AA161" s="53"/>
      <c r="AB161" s="53"/>
      <c r="AC161" s="53"/>
      <c r="AD161" s="53"/>
      <c r="AE161" s="79"/>
      <c r="AF161" s="79"/>
      <c r="AG161" s="79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  <c r="IK161" s="53"/>
      <c r="IL161" s="53"/>
      <c r="IM161" s="53"/>
      <c r="IN161" s="53"/>
      <c r="IO161" s="53"/>
      <c r="IP161" s="53"/>
      <c r="IQ161" s="53"/>
      <c r="IR161" s="53"/>
      <c r="IS161" s="53"/>
      <c r="IT161" s="53"/>
      <c r="IU161" s="53"/>
      <c r="IV161" s="53"/>
      <c r="IW161" s="53"/>
      <c r="IX161" s="53"/>
      <c r="IY161" s="53"/>
      <c r="IZ161" s="53"/>
      <c r="JA161" s="53"/>
      <c r="JB161" s="53"/>
      <c r="JC161" s="53"/>
      <c r="JD161" s="53"/>
      <c r="JE161" s="53"/>
      <c r="JF161" s="53"/>
      <c r="JG161" s="53"/>
      <c r="JH161" s="53"/>
      <c r="JI161" s="53"/>
      <c r="JJ161" s="53"/>
      <c r="JK161" s="53"/>
      <c r="JL161" s="53"/>
      <c r="JM161" s="53"/>
      <c r="JN161" s="53"/>
      <c r="JO161" s="53"/>
      <c r="JP161" s="53"/>
      <c r="JQ161" s="53"/>
      <c r="JR161" s="53"/>
      <c r="JS161" s="53"/>
      <c r="JT161" s="53"/>
      <c r="JU161" s="53"/>
      <c r="JV161" s="53"/>
      <c r="JW161" s="53"/>
      <c r="JX161" s="53"/>
      <c r="JY161" s="53"/>
      <c r="JZ161" s="53"/>
      <c r="KA161" s="53"/>
      <c r="KB161" s="53"/>
      <c r="KC161" s="53"/>
      <c r="KD161" s="53"/>
      <c r="KE161" s="53"/>
      <c r="KF161" s="53"/>
      <c r="KG161" s="53"/>
      <c r="KH161" s="53"/>
      <c r="KI161" s="53"/>
      <c r="KJ161" s="53"/>
      <c r="KK161" s="53"/>
      <c r="KL161" s="53"/>
      <c r="KM161" s="53"/>
      <c r="KN161" s="53"/>
      <c r="KO161" s="53"/>
      <c r="KP161" s="53"/>
      <c r="KQ161" s="53"/>
      <c r="KR161" s="53"/>
      <c r="KS161" s="53"/>
      <c r="KT161" s="53"/>
      <c r="KU161" s="53"/>
      <c r="KV161" s="53"/>
      <c r="KW161" s="53"/>
      <c r="KX161" s="53"/>
      <c r="KY161" s="53"/>
      <c r="KZ161" s="53"/>
      <c r="LA161" s="53"/>
      <c r="LB161" s="53"/>
      <c r="LC161" s="53"/>
      <c r="LD161" s="53"/>
      <c r="LE161" s="53"/>
      <c r="LF161" s="53"/>
      <c r="LG161" s="53"/>
      <c r="LH161" s="53"/>
      <c r="LI161" s="53"/>
      <c r="LJ161" s="53"/>
      <c r="LK161" s="53"/>
      <c r="LL161" s="53"/>
      <c r="LM161" s="53"/>
      <c r="LN161" s="53"/>
      <c r="LO161" s="53"/>
      <c r="LP161" s="53"/>
      <c r="LQ161" s="53"/>
      <c r="LR161" s="53"/>
      <c r="LS161" s="53"/>
      <c r="LT161" s="53"/>
      <c r="LU161" s="53"/>
      <c r="LV161" s="53"/>
      <c r="LW161" s="53"/>
      <c r="LX161" s="53"/>
      <c r="LY161" s="53"/>
      <c r="LZ161" s="53"/>
      <c r="MA161" s="53"/>
      <c r="MB161" s="53"/>
      <c r="MC161" s="53"/>
      <c r="MD161" s="53"/>
      <c r="ME161" s="53"/>
      <c r="MF161" s="53"/>
      <c r="MG161" s="53"/>
      <c r="MH161" s="53"/>
      <c r="MI161" s="53"/>
      <c r="MJ161" s="53"/>
      <c r="MK161" s="53"/>
      <c r="ML161" s="53"/>
      <c r="MM161" s="53"/>
      <c r="MN161" s="53"/>
      <c r="MO161" s="53"/>
      <c r="MP161" s="53"/>
      <c r="MQ161" s="53"/>
      <c r="MR161" s="53"/>
      <c r="MS161" s="53"/>
      <c r="MT161" s="53"/>
      <c r="MU161" s="53"/>
      <c r="MV161" s="53"/>
      <c r="MW161" s="53"/>
      <c r="MX161" s="53"/>
      <c r="MY161" s="53"/>
      <c r="MZ161" s="53"/>
      <c r="NA161" s="53"/>
      <c r="NB161" s="53"/>
      <c r="NC161" s="53"/>
      <c r="ND161" s="53"/>
      <c r="NE161" s="53"/>
      <c r="NF161" s="53"/>
      <c r="NG161" s="53"/>
      <c r="NH161" s="53"/>
      <c r="NI161" s="53"/>
      <c r="NJ161" s="53"/>
      <c r="NK161" s="53"/>
      <c r="NL161" s="53"/>
      <c r="NM161" s="53"/>
      <c r="NN161" s="53"/>
      <c r="NO161" s="53"/>
      <c r="NP161" s="53"/>
      <c r="NQ161" s="53"/>
      <c r="NR161" s="53"/>
      <c r="NS161" s="53"/>
      <c r="NT161" s="53"/>
      <c r="NU161" s="53"/>
      <c r="NV161" s="53"/>
      <c r="NW161" s="53"/>
      <c r="NX161" s="53"/>
      <c r="NY161" s="53"/>
      <c r="NZ161" s="53"/>
      <c r="OA161" s="53"/>
      <c r="OB161" s="53"/>
      <c r="OC161" s="53"/>
      <c r="OD161" s="53"/>
      <c r="OE161" s="53"/>
      <c r="OF161" s="53"/>
      <c r="OG161" s="53"/>
      <c r="OH161" s="53"/>
      <c r="OI161" s="53"/>
      <c r="OJ161" s="53"/>
      <c r="OK161" s="53"/>
      <c r="OL161" s="53"/>
      <c r="OM161" s="53"/>
      <c r="ON161" s="53"/>
      <c r="OO161" s="53"/>
      <c r="OP161" s="53"/>
      <c r="OQ161" s="53"/>
      <c r="OR161" s="53"/>
      <c r="OS161" s="53"/>
      <c r="OT161" s="53"/>
      <c r="OU161" s="53"/>
      <c r="OV161" s="53"/>
      <c r="OW161" s="53"/>
      <c r="OX161" s="53"/>
      <c r="OY161" s="53"/>
      <c r="OZ161" s="53"/>
      <c r="PA161" s="53"/>
      <c r="PB161" s="53"/>
      <c r="PC161" s="53"/>
      <c r="PD161" s="53"/>
      <c r="PE161" s="53"/>
      <c r="PF161" s="53"/>
      <c r="PG161" s="53"/>
      <c r="PH161" s="53"/>
      <c r="PI161" s="53"/>
      <c r="PJ161" s="53"/>
      <c r="PK161" s="53"/>
      <c r="PL161" s="53"/>
      <c r="PM161" s="53"/>
      <c r="PN161" s="53"/>
      <c r="PO161" s="53"/>
      <c r="PP161" s="53"/>
      <c r="PQ161" s="53"/>
      <c r="PR161" s="53"/>
      <c r="PS161" s="53"/>
      <c r="PT161" s="53"/>
      <c r="PU161" s="53"/>
      <c r="PV161" s="53"/>
      <c r="PW161" s="53"/>
      <c r="PX161" s="53"/>
      <c r="PY161" s="53"/>
      <c r="PZ161" s="53"/>
      <c r="QA161" s="53"/>
      <c r="QB161" s="53"/>
      <c r="QC161" s="53"/>
      <c r="QD161" s="53"/>
      <c r="QE161" s="53"/>
      <c r="QF161" s="53"/>
      <c r="QG161" s="53"/>
      <c r="QH161" s="53"/>
      <c r="QI161" s="53"/>
      <c r="QJ161" s="53"/>
      <c r="QK161" s="53"/>
      <c r="QL161" s="53"/>
      <c r="QM161" s="53"/>
      <c r="QN161" s="53"/>
      <c r="QO161" s="53"/>
      <c r="QP161" s="53"/>
      <c r="QQ161" s="53"/>
      <c r="QR161" s="53"/>
      <c r="QS161" s="53"/>
      <c r="QT161" s="53"/>
      <c r="QU161" s="53"/>
      <c r="QV161" s="53"/>
      <c r="QW161" s="53"/>
      <c r="QX161" s="53"/>
      <c r="QY161" s="53"/>
      <c r="QZ161" s="53"/>
      <c r="RA161" s="53"/>
      <c r="RB161" s="53"/>
      <c r="RC161" s="53"/>
      <c r="RD161" s="53"/>
      <c r="RE161" s="53"/>
      <c r="RF161" s="53"/>
      <c r="RG161" s="53"/>
      <c r="RH161" s="53"/>
      <c r="RI161" s="53"/>
      <c r="RJ161" s="53"/>
      <c r="RK161" s="53"/>
      <c r="RL161" s="53"/>
      <c r="RM161" s="53"/>
      <c r="RN161" s="53"/>
      <c r="RO161" s="53"/>
      <c r="RP161" s="53"/>
      <c r="RQ161" s="53"/>
      <c r="RR161" s="53"/>
      <c r="RS161" s="53"/>
      <c r="RT161" s="53"/>
      <c r="RU161" s="53"/>
      <c r="RV161" s="53"/>
      <c r="RW161" s="53"/>
      <c r="RX161" s="53"/>
      <c r="RY161" s="53"/>
      <c r="RZ161" s="53"/>
      <c r="SA161" s="53"/>
      <c r="SB161" s="53"/>
      <c r="SC161" s="53"/>
      <c r="SD161" s="53"/>
      <c r="SE161" s="53"/>
      <c r="SF161" s="53"/>
      <c r="SG161" s="53"/>
      <c r="SH161" s="53"/>
      <c r="SI161" s="53"/>
      <c r="SJ161" s="53"/>
      <c r="SK161" s="53"/>
      <c r="SL161" s="53"/>
      <c r="SM161" s="53"/>
      <c r="SN161" s="53"/>
      <c r="SO161" s="53"/>
      <c r="SP161" s="53"/>
      <c r="SQ161" s="53"/>
      <c r="SR161" s="53"/>
      <c r="SS161" s="53"/>
      <c r="ST161" s="53"/>
      <c r="SU161" s="53"/>
      <c r="SV161" s="53"/>
      <c r="SW161" s="53"/>
      <c r="SX161" s="53"/>
      <c r="SY161" s="53"/>
      <c r="SZ161" s="53"/>
      <c r="TA161" s="53"/>
      <c r="TB161" s="53"/>
      <c r="TC161" s="53"/>
      <c r="TD161" s="53"/>
      <c r="TE161" s="53"/>
      <c r="TF161" s="53"/>
      <c r="TG161" s="53"/>
      <c r="TH161" s="53"/>
      <c r="TI161" s="53"/>
      <c r="TJ161" s="53"/>
      <c r="TK161" s="53"/>
      <c r="TL161" s="53"/>
      <c r="TM161" s="53"/>
      <c r="TN161" s="53"/>
      <c r="TO161" s="53"/>
      <c r="TP161" s="53"/>
      <c r="TQ161" s="53"/>
      <c r="TR161" s="53"/>
      <c r="TS161" s="53"/>
      <c r="TT161" s="53"/>
      <c r="TU161" s="53"/>
      <c r="TV161" s="53"/>
      <c r="TW161" s="53"/>
      <c r="TX161" s="53"/>
      <c r="TY161" s="53"/>
      <c r="TZ161" s="53"/>
      <c r="UA161" s="53"/>
      <c r="UB161" s="53"/>
      <c r="UC161" s="53"/>
      <c r="UD161" s="53"/>
      <c r="UE161" s="53"/>
      <c r="UF161" s="53"/>
      <c r="UG161" s="53"/>
      <c r="UH161" s="53"/>
      <c r="UI161" s="53"/>
      <c r="UJ161" s="53"/>
      <c r="UK161" s="53"/>
      <c r="UL161" s="53"/>
      <c r="UM161" s="53"/>
      <c r="UN161" s="53"/>
      <c r="UO161" s="53"/>
      <c r="UP161" s="53"/>
      <c r="UQ161" s="53"/>
      <c r="UR161" s="53"/>
      <c r="US161" s="53"/>
      <c r="UT161" s="53"/>
      <c r="UU161" s="53"/>
      <c r="UV161" s="53"/>
      <c r="UW161" s="53"/>
      <c r="UX161" s="53"/>
      <c r="UY161" s="53"/>
      <c r="UZ161" s="53"/>
      <c r="VA161" s="53"/>
      <c r="VB161" s="53"/>
      <c r="VC161" s="53"/>
      <c r="VD161" s="53"/>
      <c r="VE161" s="53"/>
      <c r="VF161" s="53"/>
      <c r="VG161" s="53"/>
      <c r="VH161" s="53"/>
      <c r="VI161" s="53"/>
      <c r="VJ161" s="53"/>
      <c r="VK161" s="53"/>
      <c r="VL161" s="53"/>
    </row>
    <row r="162" spans="1:584" s="47" customFormat="1" ht="19.5" customHeight="1" x14ac:dyDescent="0.25">
      <c r="A162" s="45"/>
      <c r="B162" s="91"/>
      <c r="C162" s="91"/>
      <c r="D162" s="48" t="s">
        <v>342</v>
      </c>
      <c r="E162" s="115">
        <v>15300000</v>
      </c>
      <c r="F162" s="115"/>
      <c r="G162" s="115"/>
      <c r="H162" s="115">
        <v>13037300</v>
      </c>
      <c r="I162" s="115"/>
      <c r="J162" s="115"/>
      <c r="K162" s="164">
        <f t="shared" si="38"/>
        <v>85.211111111111109</v>
      </c>
      <c r="L162" s="115">
        <f t="shared" si="37"/>
        <v>0</v>
      </c>
      <c r="M162" s="115"/>
      <c r="N162" s="115"/>
      <c r="O162" s="115"/>
      <c r="P162" s="115"/>
      <c r="Q162" s="115"/>
      <c r="R162" s="115">
        <f t="shared" si="39"/>
        <v>0</v>
      </c>
      <c r="S162" s="115"/>
      <c r="T162" s="115"/>
      <c r="U162" s="115"/>
      <c r="V162" s="115"/>
      <c r="W162" s="115"/>
      <c r="X162" s="149"/>
      <c r="Y162" s="115">
        <f t="shared" si="36"/>
        <v>13037300</v>
      </c>
      <c r="Z162" s="187"/>
      <c r="AA162" s="53"/>
      <c r="AB162" s="53"/>
      <c r="AC162" s="53"/>
      <c r="AD162" s="53"/>
      <c r="AE162" s="79"/>
      <c r="AF162" s="79"/>
      <c r="AG162" s="79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  <c r="IH162" s="53"/>
      <c r="II162" s="53"/>
      <c r="IJ162" s="53"/>
      <c r="IK162" s="53"/>
      <c r="IL162" s="53"/>
      <c r="IM162" s="53"/>
      <c r="IN162" s="53"/>
      <c r="IO162" s="53"/>
      <c r="IP162" s="53"/>
      <c r="IQ162" s="53"/>
      <c r="IR162" s="53"/>
      <c r="IS162" s="53"/>
      <c r="IT162" s="53"/>
      <c r="IU162" s="53"/>
      <c r="IV162" s="53"/>
      <c r="IW162" s="53"/>
      <c r="IX162" s="53"/>
      <c r="IY162" s="53"/>
      <c r="IZ162" s="53"/>
      <c r="JA162" s="53"/>
      <c r="JB162" s="53"/>
      <c r="JC162" s="53"/>
      <c r="JD162" s="53"/>
      <c r="JE162" s="53"/>
      <c r="JF162" s="53"/>
      <c r="JG162" s="53"/>
      <c r="JH162" s="53"/>
      <c r="JI162" s="53"/>
      <c r="JJ162" s="53"/>
      <c r="JK162" s="53"/>
      <c r="JL162" s="53"/>
      <c r="JM162" s="53"/>
      <c r="JN162" s="53"/>
      <c r="JO162" s="53"/>
      <c r="JP162" s="53"/>
      <c r="JQ162" s="53"/>
      <c r="JR162" s="53"/>
      <c r="JS162" s="53"/>
      <c r="JT162" s="53"/>
      <c r="JU162" s="53"/>
      <c r="JV162" s="53"/>
      <c r="JW162" s="53"/>
      <c r="JX162" s="53"/>
      <c r="JY162" s="53"/>
      <c r="JZ162" s="53"/>
      <c r="KA162" s="53"/>
      <c r="KB162" s="53"/>
      <c r="KC162" s="53"/>
      <c r="KD162" s="53"/>
      <c r="KE162" s="53"/>
      <c r="KF162" s="53"/>
      <c r="KG162" s="53"/>
      <c r="KH162" s="53"/>
      <c r="KI162" s="53"/>
      <c r="KJ162" s="53"/>
      <c r="KK162" s="53"/>
      <c r="KL162" s="53"/>
      <c r="KM162" s="53"/>
      <c r="KN162" s="53"/>
      <c r="KO162" s="53"/>
      <c r="KP162" s="53"/>
      <c r="KQ162" s="53"/>
      <c r="KR162" s="53"/>
      <c r="KS162" s="53"/>
      <c r="KT162" s="53"/>
      <c r="KU162" s="53"/>
      <c r="KV162" s="53"/>
      <c r="KW162" s="53"/>
      <c r="KX162" s="53"/>
      <c r="KY162" s="53"/>
      <c r="KZ162" s="53"/>
      <c r="LA162" s="53"/>
      <c r="LB162" s="53"/>
      <c r="LC162" s="53"/>
      <c r="LD162" s="53"/>
      <c r="LE162" s="53"/>
      <c r="LF162" s="53"/>
      <c r="LG162" s="53"/>
      <c r="LH162" s="53"/>
      <c r="LI162" s="53"/>
      <c r="LJ162" s="53"/>
      <c r="LK162" s="53"/>
      <c r="LL162" s="53"/>
      <c r="LM162" s="53"/>
      <c r="LN162" s="53"/>
      <c r="LO162" s="53"/>
      <c r="LP162" s="53"/>
      <c r="LQ162" s="53"/>
      <c r="LR162" s="53"/>
      <c r="LS162" s="53"/>
      <c r="LT162" s="53"/>
      <c r="LU162" s="53"/>
      <c r="LV162" s="53"/>
      <c r="LW162" s="53"/>
      <c r="LX162" s="53"/>
      <c r="LY162" s="53"/>
      <c r="LZ162" s="53"/>
      <c r="MA162" s="53"/>
      <c r="MB162" s="53"/>
      <c r="MC162" s="53"/>
      <c r="MD162" s="53"/>
      <c r="ME162" s="53"/>
      <c r="MF162" s="53"/>
      <c r="MG162" s="53"/>
      <c r="MH162" s="53"/>
      <c r="MI162" s="53"/>
      <c r="MJ162" s="53"/>
      <c r="MK162" s="53"/>
      <c r="ML162" s="53"/>
      <c r="MM162" s="53"/>
      <c r="MN162" s="53"/>
      <c r="MO162" s="53"/>
      <c r="MP162" s="53"/>
      <c r="MQ162" s="53"/>
      <c r="MR162" s="53"/>
      <c r="MS162" s="53"/>
      <c r="MT162" s="53"/>
      <c r="MU162" s="53"/>
      <c r="MV162" s="53"/>
      <c r="MW162" s="53"/>
      <c r="MX162" s="53"/>
      <c r="MY162" s="53"/>
      <c r="MZ162" s="53"/>
      <c r="NA162" s="53"/>
      <c r="NB162" s="53"/>
      <c r="NC162" s="53"/>
      <c r="ND162" s="53"/>
      <c r="NE162" s="53"/>
      <c r="NF162" s="53"/>
      <c r="NG162" s="53"/>
      <c r="NH162" s="53"/>
      <c r="NI162" s="53"/>
      <c r="NJ162" s="53"/>
      <c r="NK162" s="53"/>
      <c r="NL162" s="53"/>
      <c r="NM162" s="53"/>
      <c r="NN162" s="53"/>
      <c r="NO162" s="53"/>
      <c r="NP162" s="53"/>
      <c r="NQ162" s="53"/>
      <c r="NR162" s="53"/>
      <c r="NS162" s="53"/>
      <c r="NT162" s="53"/>
      <c r="NU162" s="53"/>
      <c r="NV162" s="53"/>
      <c r="NW162" s="53"/>
      <c r="NX162" s="53"/>
      <c r="NY162" s="53"/>
      <c r="NZ162" s="53"/>
      <c r="OA162" s="53"/>
      <c r="OB162" s="53"/>
      <c r="OC162" s="53"/>
      <c r="OD162" s="53"/>
      <c r="OE162" s="53"/>
      <c r="OF162" s="53"/>
      <c r="OG162" s="53"/>
      <c r="OH162" s="53"/>
      <c r="OI162" s="53"/>
      <c r="OJ162" s="53"/>
      <c r="OK162" s="53"/>
      <c r="OL162" s="53"/>
      <c r="OM162" s="53"/>
      <c r="ON162" s="53"/>
      <c r="OO162" s="53"/>
      <c r="OP162" s="53"/>
      <c r="OQ162" s="53"/>
      <c r="OR162" s="53"/>
      <c r="OS162" s="53"/>
      <c r="OT162" s="53"/>
      <c r="OU162" s="53"/>
      <c r="OV162" s="53"/>
      <c r="OW162" s="53"/>
      <c r="OX162" s="53"/>
      <c r="OY162" s="53"/>
      <c r="OZ162" s="53"/>
      <c r="PA162" s="53"/>
      <c r="PB162" s="53"/>
      <c r="PC162" s="53"/>
      <c r="PD162" s="53"/>
      <c r="PE162" s="53"/>
      <c r="PF162" s="53"/>
      <c r="PG162" s="53"/>
      <c r="PH162" s="53"/>
      <c r="PI162" s="53"/>
      <c r="PJ162" s="53"/>
      <c r="PK162" s="53"/>
      <c r="PL162" s="53"/>
      <c r="PM162" s="53"/>
      <c r="PN162" s="53"/>
      <c r="PO162" s="53"/>
      <c r="PP162" s="53"/>
      <c r="PQ162" s="53"/>
      <c r="PR162" s="53"/>
      <c r="PS162" s="53"/>
      <c r="PT162" s="53"/>
      <c r="PU162" s="53"/>
      <c r="PV162" s="53"/>
      <c r="PW162" s="53"/>
      <c r="PX162" s="53"/>
      <c r="PY162" s="53"/>
      <c r="PZ162" s="53"/>
      <c r="QA162" s="53"/>
      <c r="QB162" s="53"/>
      <c r="QC162" s="53"/>
      <c r="QD162" s="53"/>
      <c r="QE162" s="53"/>
      <c r="QF162" s="53"/>
      <c r="QG162" s="53"/>
      <c r="QH162" s="53"/>
      <c r="QI162" s="53"/>
      <c r="QJ162" s="53"/>
      <c r="QK162" s="53"/>
      <c r="QL162" s="53"/>
      <c r="QM162" s="53"/>
      <c r="QN162" s="53"/>
      <c r="QO162" s="53"/>
      <c r="QP162" s="53"/>
      <c r="QQ162" s="53"/>
      <c r="QR162" s="53"/>
      <c r="QS162" s="53"/>
      <c r="QT162" s="53"/>
      <c r="QU162" s="53"/>
      <c r="QV162" s="53"/>
      <c r="QW162" s="53"/>
      <c r="QX162" s="53"/>
      <c r="QY162" s="53"/>
      <c r="QZ162" s="53"/>
      <c r="RA162" s="53"/>
      <c r="RB162" s="53"/>
      <c r="RC162" s="53"/>
      <c r="RD162" s="53"/>
      <c r="RE162" s="53"/>
      <c r="RF162" s="53"/>
      <c r="RG162" s="53"/>
      <c r="RH162" s="53"/>
      <c r="RI162" s="53"/>
      <c r="RJ162" s="53"/>
      <c r="RK162" s="53"/>
      <c r="RL162" s="53"/>
      <c r="RM162" s="53"/>
      <c r="RN162" s="53"/>
      <c r="RO162" s="53"/>
      <c r="RP162" s="53"/>
      <c r="RQ162" s="53"/>
      <c r="RR162" s="53"/>
      <c r="RS162" s="53"/>
      <c r="RT162" s="53"/>
      <c r="RU162" s="53"/>
      <c r="RV162" s="53"/>
      <c r="RW162" s="53"/>
      <c r="RX162" s="53"/>
      <c r="RY162" s="53"/>
      <c r="RZ162" s="53"/>
      <c r="SA162" s="53"/>
      <c r="SB162" s="53"/>
      <c r="SC162" s="53"/>
      <c r="SD162" s="53"/>
      <c r="SE162" s="53"/>
      <c r="SF162" s="53"/>
      <c r="SG162" s="53"/>
      <c r="SH162" s="53"/>
      <c r="SI162" s="53"/>
      <c r="SJ162" s="53"/>
      <c r="SK162" s="53"/>
      <c r="SL162" s="53"/>
      <c r="SM162" s="53"/>
      <c r="SN162" s="53"/>
      <c r="SO162" s="53"/>
      <c r="SP162" s="53"/>
      <c r="SQ162" s="53"/>
      <c r="SR162" s="53"/>
      <c r="SS162" s="53"/>
      <c r="ST162" s="53"/>
      <c r="SU162" s="53"/>
      <c r="SV162" s="53"/>
      <c r="SW162" s="53"/>
      <c r="SX162" s="53"/>
      <c r="SY162" s="53"/>
      <c r="SZ162" s="53"/>
      <c r="TA162" s="53"/>
      <c r="TB162" s="53"/>
      <c r="TC162" s="53"/>
      <c r="TD162" s="53"/>
      <c r="TE162" s="53"/>
      <c r="TF162" s="53"/>
      <c r="TG162" s="53"/>
      <c r="TH162" s="53"/>
      <c r="TI162" s="53"/>
      <c r="TJ162" s="53"/>
      <c r="TK162" s="53"/>
      <c r="TL162" s="53"/>
      <c r="TM162" s="53"/>
      <c r="TN162" s="53"/>
      <c r="TO162" s="53"/>
      <c r="TP162" s="53"/>
      <c r="TQ162" s="53"/>
      <c r="TR162" s="53"/>
      <c r="TS162" s="53"/>
      <c r="TT162" s="53"/>
      <c r="TU162" s="53"/>
      <c r="TV162" s="53"/>
      <c r="TW162" s="53"/>
      <c r="TX162" s="53"/>
      <c r="TY162" s="53"/>
      <c r="TZ162" s="53"/>
      <c r="UA162" s="53"/>
      <c r="UB162" s="53"/>
      <c r="UC162" s="53"/>
      <c r="UD162" s="53"/>
      <c r="UE162" s="53"/>
      <c r="UF162" s="53"/>
      <c r="UG162" s="53"/>
      <c r="UH162" s="53"/>
      <c r="UI162" s="53"/>
      <c r="UJ162" s="53"/>
      <c r="UK162" s="53"/>
      <c r="UL162" s="53"/>
      <c r="UM162" s="53"/>
      <c r="UN162" s="53"/>
      <c r="UO162" s="53"/>
      <c r="UP162" s="53"/>
      <c r="UQ162" s="53"/>
      <c r="UR162" s="53"/>
      <c r="US162" s="53"/>
      <c r="UT162" s="53"/>
      <c r="UU162" s="53"/>
      <c r="UV162" s="53"/>
      <c r="UW162" s="53"/>
      <c r="UX162" s="53"/>
      <c r="UY162" s="53"/>
      <c r="UZ162" s="53"/>
      <c r="VA162" s="53"/>
      <c r="VB162" s="53"/>
      <c r="VC162" s="53"/>
      <c r="VD162" s="53"/>
      <c r="VE162" s="53"/>
      <c r="VF162" s="53"/>
      <c r="VG162" s="53"/>
      <c r="VH162" s="53"/>
      <c r="VI162" s="53"/>
      <c r="VJ162" s="53"/>
      <c r="VK162" s="53"/>
      <c r="VL162" s="53"/>
    </row>
    <row r="163" spans="1:584" s="47" customFormat="1" ht="30.75" customHeight="1" x14ac:dyDescent="0.25">
      <c r="A163" s="45" t="s">
        <v>415</v>
      </c>
      <c r="B163" s="91" t="str">
        <f>'дод 3'!A103</f>
        <v>3090</v>
      </c>
      <c r="C163" s="91" t="str">
        <f>'дод 3'!B103</f>
        <v>1030</v>
      </c>
      <c r="D163" s="48" t="str">
        <f>'дод 3'!C103</f>
        <v>Видатки на поховання учасників бойових дій та осіб з інвалідністю внаслідок війни</v>
      </c>
      <c r="E163" s="115">
        <v>215500</v>
      </c>
      <c r="F163" s="115"/>
      <c r="G163" s="115"/>
      <c r="H163" s="115">
        <v>130537.16</v>
      </c>
      <c r="I163" s="115"/>
      <c r="J163" s="115"/>
      <c r="K163" s="164">
        <f t="shared" si="38"/>
        <v>60.574088167053361</v>
      </c>
      <c r="L163" s="115">
        <f t="shared" si="37"/>
        <v>0</v>
      </c>
      <c r="M163" s="115"/>
      <c r="N163" s="115"/>
      <c r="O163" s="115"/>
      <c r="P163" s="115"/>
      <c r="Q163" s="115"/>
      <c r="R163" s="115">
        <f t="shared" si="39"/>
        <v>0</v>
      </c>
      <c r="S163" s="115"/>
      <c r="T163" s="115"/>
      <c r="U163" s="115"/>
      <c r="V163" s="115"/>
      <c r="W163" s="115"/>
      <c r="X163" s="149"/>
      <c r="Y163" s="115">
        <f t="shared" si="36"/>
        <v>130537.16</v>
      </c>
      <c r="Z163" s="187"/>
      <c r="AA163" s="53"/>
      <c r="AB163" s="53"/>
      <c r="AC163" s="53"/>
      <c r="AD163" s="53"/>
      <c r="AE163" s="79"/>
      <c r="AF163" s="79"/>
      <c r="AG163" s="79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  <c r="IK163" s="53"/>
      <c r="IL163" s="53"/>
      <c r="IM163" s="53"/>
      <c r="IN163" s="53"/>
      <c r="IO163" s="53"/>
      <c r="IP163" s="53"/>
      <c r="IQ163" s="53"/>
      <c r="IR163" s="53"/>
      <c r="IS163" s="53"/>
      <c r="IT163" s="53"/>
      <c r="IU163" s="53"/>
      <c r="IV163" s="53"/>
      <c r="IW163" s="53"/>
      <c r="IX163" s="53"/>
      <c r="IY163" s="53"/>
      <c r="IZ163" s="53"/>
      <c r="JA163" s="53"/>
      <c r="JB163" s="53"/>
      <c r="JC163" s="53"/>
      <c r="JD163" s="53"/>
      <c r="JE163" s="53"/>
      <c r="JF163" s="53"/>
      <c r="JG163" s="53"/>
      <c r="JH163" s="53"/>
      <c r="JI163" s="53"/>
      <c r="JJ163" s="53"/>
      <c r="JK163" s="53"/>
      <c r="JL163" s="53"/>
      <c r="JM163" s="53"/>
      <c r="JN163" s="53"/>
      <c r="JO163" s="53"/>
      <c r="JP163" s="53"/>
      <c r="JQ163" s="53"/>
      <c r="JR163" s="53"/>
      <c r="JS163" s="53"/>
      <c r="JT163" s="53"/>
      <c r="JU163" s="53"/>
      <c r="JV163" s="53"/>
      <c r="JW163" s="53"/>
      <c r="JX163" s="53"/>
      <c r="JY163" s="53"/>
      <c r="JZ163" s="53"/>
      <c r="KA163" s="53"/>
      <c r="KB163" s="53"/>
      <c r="KC163" s="53"/>
      <c r="KD163" s="53"/>
      <c r="KE163" s="53"/>
      <c r="KF163" s="53"/>
      <c r="KG163" s="53"/>
      <c r="KH163" s="53"/>
      <c r="KI163" s="53"/>
      <c r="KJ163" s="53"/>
      <c r="KK163" s="53"/>
      <c r="KL163" s="53"/>
      <c r="KM163" s="53"/>
      <c r="KN163" s="53"/>
      <c r="KO163" s="53"/>
      <c r="KP163" s="53"/>
      <c r="KQ163" s="53"/>
      <c r="KR163" s="53"/>
      <c r="KS163" s="53"/>
      <c r="KT163" s="53"/>
      <c r="KU163" s="53"/>
      <c r="KV163" s="53"/>
      <c r="KW163" s="53"/>
      <c r="KX163" s="53"/>
      <c r="KY163" s="53"/>
      <c r="KZ163" s="53"/>
      <c r="LA163" s="53"/>
      <c r="LB163" s="53"/>
      <c r="LC163" s="53"/>
      <c r="LD163" s="53"/>
      <c r="LE163" s="53"/>
      <c r="LF163" s="53"/>
      <c r="LG163" s="53"/>
      <c r="LH163" s="53"/>
      <c r="LI163" s="53"/>
      <c r="LJ163" s="53"/>
      <c r="LK163" s="53"/>
      <c r="LL163" s="53"/>
      <c r="LM163" s="53"/>
      <c r="LN163" s="53"/>
      <c r="LO163" s="53"/>
      <c r="LP163" s="53"/>
      <c r="LQ163" s="53"/>
      <c r="LR163" s="53"/>
      <c r="LS163" s="53"/>
      <c r="LT163" s="53"/>
      <c r="LU163" s="53"/>
      <c r="LV163" s="53"/>
      <c r="LW163" s="53"/>
      <c r="LX163" s="53"/>
      <c r="LY163" s="53"/>
      <c r="LZ163" s="53"/>
      <c r="MA163" s="53"/>
      <c r="MB163" s="53"/>
      <c r="MC163" s="53"/>
      <c r="MD163" s="53"/>
      <c r="ME163" s="53"/>
      <c r="MF163" s="53"/>
      <c r="MG163" s="53"/>
      <c r="MH163" s="53"/>
      <c r="MI163" s="53"/>
      <c r="MJ163" s="53"/>
      <c r="MK163" s="53"/>
      <c r="ML163" s="53"/>
      <c r="MM163" s="53"/>
      <c r="MN163" s="53"/>
      <c r="MO163" s="53"/>
      <c r="MP163" s="53"/>
      <c r="MQ163" s="53"/>
      <c r="MR163" s="53"/>
      <c r="MS163" s="53"/>
      <c r="MT163" s="53"/>
      <c r="MU163" s="53"/>
      <c r="MV163" s="53"/>
      <c r="MW163" s="53"/>
      <c r="MX163" s="53"/>
      <c r="MY163" s="53"/>
      <c r="MZ163" s="53"/>
      <c r="NA163" s="53"/>
      <c r="NB163" s="53"/>
      <c r="NC163" s="53"/>
      <c r="ND163" s="53"/>
      <c r="NE163" s="53"/>
      <c r="NF163" s="53"/>
      <c r="NG163" s="53"/>
      <c r="NH163" s="53"/>
      <c r="NI163" s="53"/>
      <c r="NJ163" s="53"/>
      <c r="NK163" s="53"/>
      <c r="NL163" s="53"/>
      <c r="NM163" s="53"/>
      <c r="NN163" s="53"/>
      <c r="NO163" s="53"/>
      <c r="NP163" s="53"/>
      <c r="NQ163" s="53"/>
      <c r="NR163" s="53"/>
      <c r="NS163" s="53"/>
      <c r="NT163" s="53"/>
      <c r="NU163" s="53"/>
      <c r="NV163" s="53"/>
      <c r="NW163" s="53"/>
      <c r="NX163" s="53"/>
      <c r="NY163" s="53"/>
      <c r="NZ163" s="53"/>
      <c r="OA163" s="53"/>
      <c r="OB163" s="53"/>
      <c r="OC163" s="53"/>
      <c r="OD163" s="53"/>
      <c r="OE163" s="53"/>
      <c r="OF163" s="53"/>
      <c r="OG163" s="53"/>
      <c r="OH163" s="53"/>
      <c r="OI163" s="53"/>
      <c r="OJ163" s="53"/>
      <c r="OK163" s="53"/>
      <c r="OL163" s="53"/>
      <c r="OM163" s="53"/>
      <c r="ON163" s="53"/>
      <c r="OO163" s="53"/>
      <c r="OP163" s="53"/>
      <c r="OQ163" s="53"/>
      <c r="OR163" s="53"/>
      <c r="OS163" s="53"/>
      <c r="OT163" s="53"/>
      <c r="OU163" s="53"/>
      <c r="OV163" s="53"/>
      <c r="OW163" s="53"/>
      <c r="OX163" s="53"/>
      <c r="OY163" s="53"/>
      <c r="OZ163" s="53"/>
      <c r="PA163" s="53"/>
      <c r="PB163" s="53"/>
      <c r="PC163" s="53"/>
      <c r="PD163" s="53"/>
      <c r="PE163" s="53"/>
      <c r="PF163" s="53"/>
      <c r="PG163" s="53"/>
      <c r="PH163" s="53"/>
      <c r="PI163" s="53"/>
      <c r="PJ163" s="53"/>
      <c r="PK163" s="53"/>
      <c r="PL163" s="53"/>
      <c r="PM163" s="53"/>
      <c r="PN163" s="53"/>
      <c r="PO163" s="53"/>
      <c r="PP163" s="53"/>
      <c r="PQ163" s="53"/>
      <c r="PR163" s="53"/>
      <c r="PS163" s="53"/>
      <c r="PT163" s="53"/>
      <c r="PU163" s="53"/>
      <c r="PV163" s="53"/>
      <c r="PW163" s="53"/>
      <c r="PX163" s="53"/>
      <c r="PY163" s="53"/>
      <c r="PZ163" s="53"/>
      <c r="QA163" s="53"/>
      <c r="QB163" s="53"/>
      <c r="QC163" s="53"/>
      <c r="QD163" s="53"/>
      <c r="QE163" s="53"/>
      <c r="QF163" s="53"/>
      <c r="QG163" s="53"/>
      <c r="QH163" s="53"/>
      <c r="QI163" s="53"/>
      <c r="QJ163" s="53"/>
      <c r="QK163" s="53"/>
      <c r="QL163" s="53"/>
      <c r="QM163" s="53"/>
      <c r="QN163" s="53"/>
      <c r="QO163" s="53"/>
      <c r="QP163" s="53"/>
      <c r="QQ163" s="53"/>
      <c r="QR163" s="53"/>
      <c r="QS163" s="53"/>
      <c r="QT163" s="53"/>
      <c r="QU163" s="53"/>
      <c r="QV163" s="53"/>
      <c r="QW163" s="53"/>
      <c r="QX163" s="53"/>
      <c r="QY163" s="53"/>
      <c r="QZ163" s="53"/>
      <c r="RA163" s="53"/>
      <c r="RB163" s="53"/>
      <c r="RC163" s="53"/>
      <c r="RD163" s="53"/>
      <c r="RE163" s="53"/>
      <c r="RF163" s="53"/>
      <c r="RG163" s="53"/>
      <c r="RH163" s="53"/>
      <c r="RI163" s="53"/>
      <c r="RJ163" s="53"/>
      <c r="RK163" s="53"/>
      <c r="RL163" s="53"/>
      <c r="RM163" s="53"/>
      <c r="RN163" s="53"/>
      <c r="RO163" s="53"/>
      <c r="RP163" s="53"/>
      <c r="RQ163" s="53"/>
      <c r="RR163" s="53"/>
      <c r="RS163" s="53"/>
      <c r="RT163" s="53"/>
      <c r="RU163" s="53"/>
      <c r="RV163" s="53"/>
      <c r="RW163" s="53"/>
      <c r="RX163" s="53"/>
      <c r="RY163" s="53"/>
      <c r="RZ163" s="53"/>
      <c r="SA163" s="53"/>
      <c r="SB163" s="53"/>
      <c r="SC163" s="53"/>
      <c r="SD163" s="53"/>
      <c r="SE163" s="53"/>
      <c r="SF163" s="53"/>
      <c r="SG163" s="53"/>
      <c r="SH163" s="53"/>
      <c r="SI163" s="53"/>
      <c r="SJ163" s="53"/>
      <c r="SK163" s="53"/>
      <c r="SL163" s="53"/>
      <c r="SM163" s="53"/>
      <c r="SN163" s="53"/>
      <c r="SO163" s="53"/>
      <c r="SP163" s="53"/>
      <c r="SQ163" s="53"/>
      <c r="SR163" s="53"/>
      <c r="SS163" s="53"/>
      <c r="ST163" s="53"/>
      <c r="SU163" s="53"/>
      <c r="SV163" s="53"/>
      <c r="SW163" s="53"/>
      <c r="SX163" s="53"/>
      <c r="SY163" s="53"/>
      <c r="SZ163" s="53"/>
      <c r="TA163" s="53"/>
      <c r="TB163" s="53"/>
      <c r="TC163" s="53"/>
      <c r="TD163" s="53"/>
      <c r="TE163" s="53"/>
      <c r="TF163" s="53"/>
      <c r="TG163" s="53"/>
      <c r="TH163" s="53"/>
      <c r="TI163" s="53"/>
      <c r="TJ163" s="53"/>
      <c r="TK163" s="53"/>
      <c r="TL163" s="53"/>
      <c r="TM163" s="53"/>
      <c r="TN163" s="53"/>
      <c r="TO163" s="53"/>
      <c r="TP163" s="53"/>
      <c r="TQ163" s="53"/>
      <c r="TR163" s="53"/>
      <c r="TS163" s="53"/>
      <c r="TT163" s="53"/>
      <c r="TU163" s="53"/>
      <c r="TV163" s="53"/>
      <c r="TW163" s="53"/>
      <c r="TX163" s="53"/>
      <c r="TY163" s="53"/>
      <c r="TZ163" s="53"/>
      <c r="UA163" s="53"/>
      <c r="UB163" s="53"/>
      <c r="UC163" s="53"/>
      <c r="UD163" s="53"/>
      <c r="UE163" s="53"/>
      <c r="UF163" s="53"/>
      <c r="UG163" s="53"/>
      <c r="UH163" s="53"/>
      <c r="UI163" s="53"/>
      <c r="UJ163" s="53"/>
      <c r="UK163" s="53"/>
      <c r="UL163" s="53"/>
      <c r="UM163" s="53"/>
      <c r="UN163" s="53"/>
      <c r="UO163" s="53"/>
      <c r="UP163" s="53"/>
      <c r="UQ163" s="53"/>
      <c r="UR163" s="53"/>
      <c r="US163" s="53"/>
      <c r="UT163" s="53"/>
      <c r="UU163" s="53"/>
      <c r="UV163" s="53"/>
      <c r="UW163" s="53"/>
      <c r="UX163" s="53"/>
      <c r="UY163" s="53"/>
      <c r="UZ163" s="53"/>
      <c r="VA163" s="53"/>
      <c r="VB163" s="53"/>
      <c r="VC163" s="53"/>
      <c r="VD163" s="53"/>
      <c r="VE163" s="53"/>
      <c r="VF163" s="53"/>
      <c r="VG163" s="53"/>
      <c r="VH163" s="53"/>
      <c r="VI163" s="53"/>
      <c r="VJ163" s="53"/>
      <c r="VK163" s="53"/>
      <c r="VL163" s="53"/>
    </row>
    <row r="164" spans="1:584" s="47" customFormat="1" ht="50.25" customHeight="1" x14ac:dyDescent="0.25">
      <c r="A164" s="45" t="s">
        <v>248</v>
      </c>
      <c r="B164" s="91" t="str">
        <f>'дод 3'!A104</f>
        <v>3104</v>
      </c>
      <c r="C164" s="91" t="str">
        <f>'дод 3'!B104</f>
        <v>1020</v>
      </c>
      <c r="D164" s="48" t="str">
        <f>'дод 3'!C104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4" s="115">
        <v>11565600</v>
      </c>
      <c r="F164" s="115">
        <v>8737044</v>
      </c>
      <c r="G164" s="115">
        <f>251038+3576</f>
        <v>254614</v>
      </c>
      <c r="H164" s="115">
        <v>11491903.460000001</v>
      </c>
      <c r="I164" s="115">
        <v>8737031.1999999993</v>
      </c>
      <c r="J164" s="115">
        <v>218600.2</v>
      </c>
      <c r="K164" s="164">
        <f t="shared" si="38"/>
        <v>99.362795358649791</v>
      </c>
      <c r="L164" s="115">
        <f t="shared" si="37"/>
        <v>105530</v>
      </c>
      <c r="M164" s="115">
        <v>10000</v>
      </c>
      <c r="N164" s="115">
        <v>95530</v>
      </c>
      <c r="O164" s="115">
        <v>75100</v>
      </c>
      <c r="P164" s="115"/>
      <c r="Q164" s="115">
        <f>10000</f>
        <v>10000</v>
      </c>
      <c r="R164" s="115">
        <f t="shared" si="39"/>
        <v>120592.9</v>
      </c>
      <c r="S164" s="115"/>
      <c r="T164" s="115">
        <v>120592.9</v>
      </c>
      <c r="U164" s="115">
        <v>58743.81</v>
      </c>
      <c r="V164" s="115"/>
      <c r="W164" s="115"/>
      <c r="X164" s="166">
        <f t="shared" ref="X164:X204" si="40">R164/L164*100</f>
        <v>114.27357149625699</v>
      </c>
      <c r="Y164" s="115">
        <f t="shared" si="36"/>
        <v>11612496.360000001</v>
      </c>
      <c r="Z164" s="187"/>
      <c r="AA164" s="53"/>
      <c r="AB164" s="53"/>
      <c r="AC164" s="53"/>
      <c r="AD164" s="53"/>
      <c r="AE164" s="79"/>
      <c r="AF164" s="79"/>
      <c r="AG164" s="79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  <c r="IK164" s="53"/>
      <c r="IL164" s="53"/>
      <c r="IM164" s="53"/>
      <c r="IN164" s="53"/>
      <c r="IO164" s="53"/>
      <c r="IP164" s="53"/>
      <c r="IQ164" s="53"/>
      <c r="IR164" s="53"/>
      <c r="IS164" s="53"/>
      <c r="IT164" s="53"/>
      <c r="IU164" s="53"/>
      <c r="IV164" s="53"/>
      <c r="IW164" s="53"/>
      <c r="IX164" s="53"/>
      <c r="IY164" s="53"/>
      <c r="IZ164" s="53"/>
      <c r="JA164" s="53"/>
      <c r="JB164" s="53"/>
      <c r="JC164" s="53"/>
      <c r="JD164" s="53"/>
      <c r="JE164" s="53"/>
      <c r="JF164" s="53"/>
      <c r="JG164" s="53"/>
      <c r="JH164" s="53"/>
      <c r="JI164" s="53"/>
      <c r="JJ164" s="53"/>
      <c r="JK164" s="53"/>
      <c r="JL164" s="53"/>
      <c r="JM164" s="53"/>
      <c r="JN164" s="53"/>
      <c r="JO164" s="53"/>
      <c r="JP164" s="53"/>
      <c r="JQ164" s="53"/>
      <c r="JR164" s="53"/>
      <c r="JS164" s="53"/>
      <c r="JT164" s="53"/>
      <c r="JU164" s="53"/>
      <c r="JV164" s="53"/>
      <c r="JW164" s="53"/>
      <c r="JX164" s="53"/>
      <c r="JY164" s="53"/>
      <c r="JZ164" s="53"/>
      <c r="KA164" s="53"/>
      <c r="KB164" s="53"/>
      <c r="KC164" s="53"/>
      <c r="KD164" s="53"/>
      <c r="KE164" s="53"/>
      <c r="KF164" s="53"/>
      <c r="KG164" s="53"/>
      <c r="KH164" s="53"/>
      <c r="KI164" s="53"/>
      <c r="KJ164" s="53"/>
      <c r="KK164" s="53"/>
      <c r="KL164" s="53"/>
      <c r="KM164" s="53"/>
      <c r="KN164" s="53"/>
      <c r="KO164" s="53"/>
      <c r="KP164" s="53"/>
      <c r="KQ164" s="53"/>
      <c r="KR164" s="53"/>
      <c r="KS164" s="53"/>
      <c r="KT164" s="53"/>
      <c r="KU164" s="53"/>
      <c r="KV164" s="53"/>
      <c r="KW164" s="53"/>
      <c r="KX164" s="53"/>
      <c r="KY164" s="53"/>
      <c r="KZ164" s="53"/>
      <c r="LA164" s="53"/>
      <c r="LB164" s="53"/>
      <c r="LC164" s="53"/>
      <c r="LD164" s="53"/>
      <c r="LE164" s="53"/>
      <c r="LF164" s="53"/>
      <c r="LG164" s="53"/>
      <c r="LH164" s="53"/>
      <c r="LI164" s="53"/>
      <c r="LJ164" s="53"/>
      <c r="LK164" s="53"/>
      <c r="LL164" s="53"/>
      <c r="LM164" s="53"/>
      <c r="LN164" s="53"/>
      <c r="LO164" s="53"/>
      <c r="LP164" s="53"/>
      <c r="LQ164" s="53"/>
      <c r="LR164" s="53"/>
      <c r="LS164" s="53"/>
      <c r="LT164" s="53"/>
      <c r="LU164" s="53"/>
      <c r="LV164" s="53"/>
      <c r="LW164" s="53"/>
      <c r="LX164" s="53"/>
      <c r="LY164" s="53"/>
      <c r="LZ164" s="53"/>
      <c r="MA164" s="53"/>
      <c r="MB164" s="53"/>
      <c r="MC164" s="53"/>
      <c r="MD164" s="53"/>
      <c r="ME164" s="53"/>
      <c r="MF164" s="53"/>
      <c r="MG164" s="53"/>
      <c r="MH164" s="53"/>
      <c r="MI164" s="53"/>
      <c r="MJ164" s="53"/>
      <c r="MK164" s="53"/>
      <c r="ML164" s="53"/>
      <c r="MM164" s="53"/>
      <c r="MN164" s="53"/>
      <c r="MO164" s="53"/>
      <c r="MP164" s="53"/>
      <c r="MQ164" s="53"/>
      <c r="MR164" s="53"/>
      <c r="MS164" s="53"/>
      <c r="MT164" s="53"/>
      <c r="MU164" s="53"/>
      <c r="MV164" s="53"/>
      <c r="MW164" s="53"/>
      <c r="MX164" s="53"/>
      <c r="MY164" s="53"/>
      <c r="MZ164" s="53"/>
      <c r="NA164" s="53"/>
      <c r="NB164" s="53"/>
      <c r="NC164" s="53"/>
      <c r="ND164" s="53"/>
      <c r="NE164" s="53"/>
      <c r="NF164" s="53"/>
      <c r="NG164" s="53"/>
      <c r="NH164" s="53"/>
      <c r="NI164" s="53"/>
      <c r="NJ164" s="53"/>
      <c r="NK164" s="53"/>
      <c r="NL164" s="53"/>
      <c r="NM164" s="53"/>
      <c r="NN164" s="53"/>
      <c r="NO164" s="53"/>
      <c r="NP164" s="53"/>
      <c r="NQ164" s="53"/>
      <c r="NR164" s="53"/>
      <c r="NS164" s="53"/>
      <c r="NT164" s="53"/>
      <c r="NU164" s="53"/>
      <c r="NV164" s="53"/>
      <c r="NW164" s="53"/>
      <c r="NX164" s="53"/>
      <c r="NY164" s="53"/>
      <c r="NZ164" s="53"/>
      <c r="OA164" s="53"/>
      <c r="OB164" s="53"/>
      <c r="OC164" s="53"/>
      <c r="OD164" s="53"/>
      <c r="OE164" s="53"/>
      <c r="OF164" s="53"/>
      <c r="OG164" s="53"/>
      <c r="OH164" s="53"/>
      <c r="OI164" s="53"/>
      <c r="OJ164" s="53"/>
      <c r="OK164" s="53"/>
      <c r="OL164" s="53"/>
      <c r="OM164" s="53"/>
      <c r="ON164" s="53"/>
      <c r="OO164" s="53"/>
      <c r="OP164" s="53"/>
      <c r="OQ164" s="53"/>
      <c r="OR164" s="53"/>
      <c r="OS164" s="53"/>
      <c r="OT164" s="53"/>
      <c r="OU164" s="53"/>
      <c r="OV164" s="53"/>
      <c r="OW164" s="53"/>
      <c r="OX164" s="53"/>
      <c r="OY164" s="53"/>
      <c r="OZ164" s="53"/>
      <c r="PA164" s="53"/>
      <c r="PB164" s="53"/>
      <c r="PC164" s="53"/>
      <c r="PD164" s="53"/>
      <c r="PE164" s="53"/>
      <c r="PF164" s="53"/>
      <c r="PG164" s="53"/>
      <c r="PH164" s="53"/>
      <c r="PI164" s="53"/>
      <c r="PJ164" s="53"/>
      <c r="PK164" s="53"/>
      <c r="PL164" s="53"/>
      <c r="PM164" s="53"/>
      <c r="PN164" s="53"/>
      <c r="PO164" s="53"/>
      <c r="PP164" s="53"/>
      <c r="PQ164" s="53"/>
      <c r="PR164" s="53"/>
      <c r="PS164" s="53"/>
      <c r="PT164" s="53"/>
      <c r="PU164" s="53"/>
      <c r="PV164" s="53"/>
      <c r="PW164" s="53"/>
      <c r="PX164" s="53"/>
      <c r="PY164" s="53"/>
      <c r="PZ164" s="53"/>
      <c r="QA164" s="53"/>
      <c r="QB164" s="53"/>
      <c r="QC164" s="53"/>
      <c r="QD164" s="53"/>
      <c r="QE164" s="53"/>
      <c r="QF164" s="53"/>
      <c r="QG164" s="53"/>
      <c r="QH164" s="53"/>
      <c r="QI164" s="53"/>
      <c r="QJ164" s="53"/>
      <c r="QK164" s="53"/>
      <c r="QL164" s="53"/>
      <c r="QM164" s="53"/>
      <c r="QN164" s="53"/>
      <c r="QO164" s="53"/>
      <c r="QP164" s="53"/>
      <c r="QQ164" s="53"/>
      <c r="QR164" s="53"/>
      <c r="QS164" s="53"/>
      <c r="QT164" s="53"/>
      <c r="QU164" s="53"/>
      <c r="QV164" s="53"/>
      <c r="QW164" s="53"/>
      <c r="QX164" s="53"/>
      <c r="QY164" s="53"/>
      <c r="QZ164" s="53"/>
      <c r="RA164" s="53"/>
      <c r="RB164" s="53"/>
      <c r="RC164" s="53"/>
      <c r="RD164" s="53"/>
      <c r="RE164" s="53"/>
      <c r="RF164" s="53"/>
      <c r="RG164" s="53"/>
      <c r="RH164" s="53"/>
      <c r="RI164" s="53"/>
      <c r="RJ164" s="53"/>
      <c r="RK164" s="53"/>
      <c r="RL164" s="53"/>
      <c r="RM164" s="53"/>
      <c r="RN164" s="53"/>
      <c r="RO164" s="53"/>
      <c r="RP164" s="53"/>
      <c r="RQ164" s="53"/>
      <c r="RR164" s="53"/>
      <c r="RS164" s="53"/>
      <c r="RT164" s="53"/>
      <c r="RU164" s="53"/>
      <c r="RV164" s="53"/>
      <c r="RW164" s="53"/>
      <c r="RX164" s="53"/>
      <c r="RY164" s="53"/>
      <c r="RZ164" s="53"/>
      <c r="SA164" s="53"/>
      <c r="SB164" s="53"/>
      <c r="SC164" s="53"/>
      <c r="SD164" s="53"/>
      <c r="SE164" s="53"/>
      <c r="SF164" s="53"/>
      <c r="SG164" s="53"/>
      <c r="SH164" s="53"/>
      <c r="SI164" s="53"/>
      <c r="SJ164" s="53"/>
      <c r="SK164" s="53"/>
      <c r="SL164" s="53"/>
      <c r="SM164" s="53"/>
      <c r="SN164" s="53"/>
      <c r="SO164" s="53"/>
      <c r="SP164" s="53"/>
      <c r="SQ164" s="53"/>
      <c r="SR164" s="53"/>
      <c r="SS164" s="53"/>
      <c r="ST164" s="53"/>
      <c r="SU164" s="53"/>
      <c r="SV164" s="53"/>
      <c r="SW164" s="53"/>
      <c r="SX164" s="53"/>
      <c r="SY164" s="53"/>
      <c r="SZ164" s="53"/>
      <c r="TA164" s="53"/>
      <c r="TB164" s="53"/>
      <c r="TC164" s="53"/>
      <c r="TD164" s="53"/>
      <c r="TE164" s="53"/>
      <c r="TF164" s="53"/>
      <c r="TG164" s="53"/>
      <c r="TH164" s="53"/>
      <c r="TI164" s="53"/>
      <c r="TJ164" s="53"/>
      <c r="TK164" s="53"/>
      <c r="TL164" s="53"/>
      <c r="TM164" s="53"/>
      <c r="TN164" s="53"/>
      <c r="TO164" s="53"/>
      <c r="TP164" s="53"/>
      <c r="TQ164" s="53"/>
      <c r="TR164" s="53"/>
      <c r="TS164" s="53"/>
      <c r="TT164" s="53"/>
      <c r="TU164" s="53"/>
      <c r="TV164" s="53"/>
      <c r="TW164" s="53"/>
      <c r="TX164" s="53"/>
      <c r="TY164" s="53"/>
      <c r="TZ164" s="53"/>
      <c r="UA164" s="53"/>
      <c r="UB164" s="53"/>
      <c r="UC164" s="53"/>
      <c r="UD164" s="53"/>
      <c r="UE164" s="53"/>
      <c r="UF164" s="53"/>
      <c r="UG164" s="53"/>
      <c r="UH164" s="53"/>
      <c r="UI164" s="53"/>
      <c r="UJ164" s="53"/>
      <c r="UK164" s="53"/>
      <c r="UL164" s="53"/>
      <c r="UM164" s="53"/>
      <c r="UN164" s="53"/>
      <c r="UO164" s="53"/>
      <c r="UP164" s="53"/>
      <c r="UQ164" s="53"/>
      <c r="UR164" s="53"/>
      <c r="US164" s="53"/>
      <c r="UT164" s="53"/>
      <c r="UU164" s="53"/>
      <c r="UV164" s="53"/>
      <c r="UW164" s="53"/>
      <c r="UX164" s="53"/>
      <c r="UY164" s="53"/>
      <c r="UZ164" s="53"/>
      <c r="VA164" s="53"/>
      <c r="VB164" s="53"/>
      <c r="VC164" s="53"/>
      <c r="VD164" s="53"/>
      <c r="VE164" s="53"/>
      <c r="VF164" s="53"/>
      <c r="VG164" s="53"/>
      <c r="VH164" s="53"/>
      <c r="VI164" s="53"/>
      <c r="VJ164" s="53"/>
      <c r="VK164" s="53"/>
      <c r="VL164" s="53"/>
    </row>
    <row r="165" spans="1:584" s="47" customFormat="1" ht="69.75" customHeight="1" x14ac:dyDescent="0.25">
      <c r="A165" s="45" t="s">
        <v>249</v>
      </c>
      <c r="B165" s="91" t="str">
        <f>'дод 3'!A110</f>
        <v>3160</v>
      </c>
      <c r="C165" s="91">
        <f>'дод 3'!B110</f>
        <v>1010</v>
      </c>
      <c r="D165" s="48" t="str">
        <f>'дод 3'!C110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5" s="115">
        <v>1743118</v>
      </c>
      <c r="F165" s="115"/>
      <c r="G165" s="115"/>
      <c r="H165" s="115">
        <v>1727284.27</v>
      </c>
      <c r="I165" s="115"/>
      <c r="J165" s="115"/>
      <c r="K165" s="164">
        <f t="shared" si="38"/>
        <v>99.091643250772464</v>
      </c>
      <c r="L165" s="115">
        <f t="shared" si="37"/>
        <v>0</v>
      </c>
      <c r="M165" s="115"/>
      <c r="N165" s="115"/>
      <c r="O165" s="115"/>
      <c r="P165" s="115"/>
      <c r="Q165" s="115"/>
      <c r="R165" s="115">
        <f t="shared" si="39"/>
        <v>0</v>
      </c>
      <c r="S165" s="115"/>
      <c r="T165" s="115"/>
      <c r="U165" s="115"/>
      <c r="V165" s="115"/>
      <c r="W165" s="115"/>
      <c r="X165" s="149"/>
      <c r="Y165" s="115">
        <f t="shared" si="36"/>
        <v>1727284.27</v>
      </c>
      <c r="Z165" s="187"/>
      <c r="AA165" s="53"/>
      <c r="AB165" s="53"/>
      <c r="AC165" s="53"/>
      <c r="AD165" s="53"/>
      <c r="AE165" s="79"/>
      <c r="AF165" s="79"/>
      <c r="AG165" s="79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  <c r="IQ165" s="53"/>
      <c r="IR165" s="53"/>
      <c r="IS165" s="53"/>
      <c r="IT165" s="53"/>
      <c r="IU165" s="53"/>
      <c r="IV165" s="53"/>
      <c r="IW165" s="53"/>
      <c r="IX165" s="53"/>
      <c r="IY165" s="53"/>
      <c r="IZ165" s="53"/>
      <c r="JA165" s="53"/>
      <c r="JB165" s="53"/>
      <c r="JC165" s="53"/>
      <c r="JD165" s="53"/>
      <c r="JE165" s="53"/>
      <c r="JF165" s="53"/>
      <c r="JG165" s="53"/>
      <c r="JH165" s="53"/>
      <c r="JI165" s="53"/>
      <c r="JJ165" s="53"/>
      <c r="JK165" s="53"/>
      <c r="JL165" s="53"/>
      <c r="JM165" s="53"/>
      <c r="JN165" s="53"/>
      <c r="JO165" s="53"/>
      <c r="JP165" s="53"/>
      <c r="JQ165" s="53"/>
      <c r="JR165" s="53"/>
      <c r="JS165" s="53"/>
      <c r="JT165" s="53"/>
      <c r="JU165" s="53"/>
      <c r="JV165" s="53"/>
      <c r="JW165" s="53"/>
      <c r="JX165" s="53"/>
      <c r="JY165" s="53"/>
      <c r="JZ165" s="53"/>
      <c r="KA165" s="53"/>
      <c r="KB165" s="53"/>
      <c r="KC165" s="53"/>
      <c r="KD165" s="53"/>
      <c r="KE165" s="53"/>
      <c r="KF165" s="53"/>
      <c r="KG165" s="53"/>
      <c r="KH165" s="53"/>
      <c r="KI165" s="53"/>
      <c r="KJ165" s="53"/>
      <c r="KK165" s="53"/>
      <c r="KL165" s="53"/>
      <c r="KM165" s="53"/>
      <c r="KN165" s="53"/>
      <c r="KO165" s="53"/>
      <c r="KP165" s="53"/>
      <c r="KQ165" s="53"/>
      <c r="KR165" s="53"/>
      <c r="KS165" s="53"/>
      <c r="KT165" s="53"/>
      <c r="KU165" s="53"/>
      <c r="KV165" s="53"/>
      <c r="KW165" s="53"/>
      <c r="KX165" s="53"/>
      <c r="KY165" s="53"/>
      <c r="KZ165" s="53"/>
      <c r="LA165" s="53"/>
      <c r="LB165" s="53"/>
      <c r="LC165" s="53"/>
      <c r="LD165" s="53"/>
      <c r="LE165" s="53"/>
      <c r="LF165" s="53"/>
      <c r="LG165" s="53"/>
      <c r="LH165" s="53"/>
      <c r="LI165" s="53"/>
      <c r="LJ165" s="53"/>
      <c r="LK165" s="53"/>
      <c r="LL165" s="53"/>
      <c r="LM165" s="53"/>
      <c r="LN165" s="53"/>
      <c r="LO165" s="53"/>
      <c r="LP165" s="53"/>
      <c r="LQ165" s="53"/>
      <c r="LR165" s="53"/>
      <c r="LS165" s="53"/>
      <c r="LT165" s="53"/>
      <c r="LU165" s="53"/>
      <c r="LV165" s="53"/>
      <c r="LW165" s="53"/>
      <c r="LX165" s="53"/>
      <c r="LY165" s="53"/>
      <c r="LZ165" s="53"/>
      <c r="MA165" s="53"/>
      <c r="MB165" s="53"/>
      <c r="MC165" s="53"/>
      <c r="MD165" s="53"/>
      <c r="ME165" s="53"/>
      <c r="MF165" s="53"/>
      <c r="MG165" s="53"/>
      <c r="MH165" s="53"/>
      <c r="MI165" s="53"/>
      <c r="MJ165" s="53"/>
      <c r="MK165" s="53"/>
      <c r="ML165" s="53"/>
      <c r="MM165" s="53"/>
      <c r="MN165" s="53"/>
      <c r="MO165" s="53"/>
      <c r="MP165" s="53"/>
      <c r="MQ165" s="53"/>
      <c r="MR165" s="53"/>
      <c r="MS165" s="53"/>
      <c r="MT165" s="53"/>
      <c r="MU165" s="53"/>
      <c r="MV165" s="53"/>
      <c r="MW165" s="53"/>
      <c r="MX165" s="53"/>
      <c r="MY165" s="53"/>
      <c r="MZ165" s="53"/>
      <c r="NA165" s="53"/>
      <c r="NB165" s="53"/>
      <c r="NC165" s="53"/>
      <c r="ND165" s="53"/>
      <c r="NE165" s="53"/>
      <c r="NF165" s="53"/>
      <c r="NG165" s="53"/>
      <c r="NH165" s="53"/>
      <c r="NI165" s="53"/>
      <c r="NJ165" s="53"/>
      <c r="NK165" s="53"/>
      <c r="NL165" s="53"/>
      <c r="NM165" s="53"/>
      <c r="NN165" s="53"/>
      <c r="NO165" s="53"/>
      <c r="NP165" s="53"/>
      <c r="NQ165" s="53"/>
      <c r="NR165" s="53"/>
      <c r="NS165" s="53"/>
      <c r="NT165" s="53"/>
      <c r="NU165" s="53"/>
      <c r="NV165" s="53"/>
      <c r="NW165" s="53"/>
      <c r="NX165" s="53"/>
      <c r="NY165" s="53"/>
      <c r="NZ165" s="53"/>
      <c r="OA165" s="53"/>
      <c r="OB165" s="53"/>
      <c r="OC165" s="53"/>
      <c r="OD165" s="53"/>
      <c r="OE165" s="53"/>
      <c r="OF165" s="53"/>
      <c r="OG165" s="53"/>
      <c r="OH165" s="53"/>
      <c r="OI165" s="53"/>
      <c r="OJ165" s="53"/>
      <c r="OK165" s="53"/>
      <c r="OL165" s="53"/>
      <c r="OM165" s="53"/>
      <c r="ON165" s="53"/>
      <c r="OO165" s="53"/>
      <c r="OP165" s="53"/>
      <c r="OQ165" s="53"/>
      <c r="OR165" s="53"/>
      <c r="OS165" s="53"/>
      <c r="OT165" s="53"/>
      <c r="OU165" s="53"/>
      <c r="OV165" s="53"/>
      <c r="OW165" s="53"/>
      <c r="OX165" s="53"/>
      <c r="OY165" s="53"/>
      <c r="OZ165" s="53"/>
      <c r="PA165" s="53"/>
      <c r="PB165" s="53"/>
      <c r="PC165" s="53"/>
      <c r="PD165" s="53"/>
      <c r="PE165" s="53"/>
      <c r="PF165" s="53"/>
      <c r="PG165" s="53"/>
      <c r="PH165" s="53"/>
      <c r="PI165" s="53"/>
      <c r="PJ165" s="53"/>
      <c r="PK165" s="53"/>
      <c r="PL165" s="53"/>
      <c r="PM165" s="53"/>
      <c r="PN165" s="53"/>
      <c r="PO165" s="53"/>
      <c r="PP165" s="53"/>
      <c r="PQ165" s="53"/>
      <c r="PR165" s="53"/>
      <c r="PS165" s="53"/>
      <c r="PT165" s="53"/>
      <c r="PU165" s="53"/>
      <c r="PV165" s="53"/>
      <c r="PW165" s="53"/>
      <c r="PX165" s="53"/>
      <c r="PY165" s="53"/>
      <c r="PZ165" s="53"/>
      <c r="QA165" s="53"/>
      <c r="QB165" s="53"/>
      <c r="QC165" s="53"/>
      <c r="QD165" s="53"/>
      <c r="QE165" s="53"/>
      <c r="QF165" s="53"/>
      <c r="QG165" s="53"/>
      <c r="QH165" s="53"/>
      <c r="QI165" s="53"/>
      <c r="QJ165" s="53"/>
      <c r="QK165" s="53"/>
      <c r="QL165" s="53"/>
      <c r="QM165" s="53"/>
      <c r="QN165" s="53"/>
      <c r="QO165" s="53"/>
      <c r="QP165" s="53"/>
      <c r="QQ165" s="53"/>
      <c r="QR165" s="53"/>
      <c r="QS165" s="53"/>
      <c r="QT165" s="53"/>
      <c r="QU165" s="53"/>
      <c r="QV165" s="53"/>
      <c r="QW165" s="53"/>
      <c r="QX165" s="53"/>
      <c r="QY165" s="53"/>
      <c r="QZ165" s="53"/>
      <c r="RA165" s="53"/>
      <c r="RB165" s="53"/>
      <c r="RC165" s="53"/>
      <c r="RD165" s="53"/>
      <c r="RE165" s="53"/>
      <c r="RF165" s="53"/>
      <c r="RG165" s="53"/>
      <c r="RH165" s="53"/>
      <c r="RI165" s="53"/>
      <c r="RJ165" s="53"/>
      <c r="RK165" s="53"/>
      <c r="RL165" s="53"/>
      <c r="RM165" s="53"/>
      <c r="RN165" s="53"/>
      <c r="RO165" s="53"/>
      <c r="RP165" s="53"/>
      <c r="RQ165" s="53"/>
      <c r="RR165" s="53"/>
      <c r="RS165" s="53"/>
      <c r="RT165" s="53"/>
      <c r="RU165" s="53"/>
      <c r="RV165" s="53"/>
      <c r="RW165" s="53"/>
      <c r="RX165" s="53"/>
      <c r="RY165" s="53"/>
      <c r="RZ165" s="53"/>
      <c r="SA165" s="53"/>
      <c r="SB165" s="53"/>
      <c r="SC165" s="53"/>
      <c r="SD165" s="53"/>
      <c r="SE165" s="53"/>
      <c r="SF165" s="53"/>
      <c r="SG165" s="53"/>
      <c r="SH165" s="53"/>
      <c r="SI165" s="53"/>
      <c r="SJ165" s="53"/>
      <c r="SK165" s="53"/>
      <c r="SL165" s="53"/>
      <c r="SM165" s="53"/>
      <c r="SN165" s="53"/>
      <c r="SO165" s="53"/>
      <c r="SP165" s="53"/>
      <c r="SQ165" s="53"/>
      <c r="SR165" s="53"/>
      <c r="SS165" s="53"/>
      <c r="ST165" s="53"/>
      <c r="SU165" s="53"/>
      <c r="SV165" s="53"/>
      <c r="SW165" s="53"/>
      <c r="SX165" s="53"/>
      <c r="SY165" s="53"/>
      <c r="SZ165" s="53"/>
      <c r="TA165" s="53"/>
      <c r="TB165" s="53"/>
      <c r="TC165" s="53"/>
      <c r="TD165" s="53"/>
      <c r="TE165" s="53"/>
      <c r="TF165" s="53"/>
      <c r="TG165" s="53"/>
      <c r="TH165" s="53"/>
      <c r="TI165" s="53"/>
      <c r="TJ165" s="53"/>
      <c r="TK165" s="53"/>
      <c r="TL165" s="53"/>
      <c r="TM165" s="53"/>
      <c r="TN165" s="53"/>
      <c r="TO165" s="53"/>
      <c r="TP165" s="53"/>
      <c r="TQ165" s="53"/>
      <c r="TR165" s="53"/>
      <c r="TS165" s="53"/>
      <c r="TT165" s="53"/>
      <c r="TU165" s="53"/>
      <c r="TV165" s="53"/>
      <c r="TW165" s="53"/>
      <c r="TX165" s="53"/>
      <c r="TY165" s="53"/>
      <c r="TZ165" s="53"/>
      <c r="UA165" s="53"/>
      <c r="UB165" s="53"/>
      <c r="UC165" s="53"/>
      <c r="UD165" s="53"/>
      <c r="UE165" s="53"/>
      <c r="UF165" s="53"/>
      <c r="UG165" s="53"/>
      <c r="UH165" s="53"/>
      <c r="UI165" s="53"/>
      <c r="UJ165" s="53"/>
      <c r="UK165" s="53"/>
      <c r="UL165" s="53"/>
      <c r="UM165" s="53"/>
      <c r="UN165" s="53"/>
      <c r="UO165" s="53"/>
      <c r="UP165" s="53"/>
      <c r="UQ165" s="53"/>
      <c r="UR165" s="53"/>
      <c r="US165" s="53"/>
      <c r="UT165" s="53"/>
      <c r="UU165" s="53"/>
      <c r="UV165" s="53"/>
      <c r="UW165" s="53"/>
      <c r="UX165" s="53"/>
      <c r="UY165" s="53"/>
      <c r="UZ165" s="53"/>
      <c r="VA165" s="53"/>
      <c r="VB165" s="53"/>
      <c r="VC165" s="53"/>
      <c r="VD165" s="53"/>
      <c r="VE165" s="53"/>
      <c r="VF165" s="53"/>
      <c r="VG165" s="53"/>
      <c r="VH165" s="53"/>
      <c r="VI165" s="53"/>
      <c r="VJ165" s="53"/>
      <c r="VK165" s="53"/>
      <c r="VL165" s="53"/>
    </row>
    <row r="166" spans="1:584" s="47" customFormat="1" ht="48.75" customHeight="1" x14ac:dyDescent="0.25">
      <c r="A166" s="45" t="s">
        <v>422</v>
      </c>
      <c r="B166" s="91" t="str">
        <f>'дод 3'!A111</f>
        <v>3171</v>
      </c>
      <c r="C166" s="91">
        <f>'дод 3'!B111</f>
        <v>1010</v>
      </c>
      <c r="D166" s="48" t="str">
        <f>'дод 3'!C111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6" s="115">
        <v>205040</v>
      </c>
      <c r="F166" s="115"/>
      <c r="G166" s="115"/>
      <c r="H166" s="115">
        <v>161508.32</v>
      </c>
      <c r="I166" s="115"/>
      <c r="J166" s="115"/>
      <c r="K166" s="164">
        <f t="shared" si="38"/>
        <v>78.769176746000781</v>
      </c>
      <c r="L166" s="115">
        <f t="shared" si="37"/>
        <v>0</v>
      </c>
      <c r="M166" s="115"/>
      <c r="N166" s="115"/>
      <c r="O166" s="115"/>
      <c r="P166" s="115"/>
      <c r="Q166" s="115"/>
      <c r="R166" s="115">
        <f t="shared" si="39"/>
        <v>0</v>
      </c>
      <c r="S166" s="115"/>
      <c r="T166" s="115"/>
      <c r="U166" s="115"/>
      <c r="V166" s="115"/>
      <c r="W166" s="115"/>
      <c r="X166" s="149"/>
      <c r="Y166" s="115">
        <f t="shared" si="36"/>
        <v>161508.32</v>
      </c>
      <c r="Z166" s="187"/>
      <c r="AA166" s="53"/>
      <c r="AB166" s="53"/>
      <c r="AC166" s="53"/>
      <c r="AD166" s="53"/>
      <c r="AE166" s="79"/>
      <c r="AF166" s="79"/>
      <c r="AG166" s="79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  <c r="IK166" s="53"/>
      <c r="IL166" s="53"/>
      <c r="IM166" s="53"/>
      <c r="IN166" s="53"/>
      <c r="IO166" s="53"/>
      <c r="IP166" s="53"/>
      <c r="IQ166" s="53"/>
      <c r="IR166" s="53"/>
      <c r="IS166" s="53"/>
      <c r="IT166" s="53"/>
      <c r="IU166" s="53"/>
      <c r="IV166" s="53"/>
      <c r="IW166" s="53"/>
      <c r="IX166" s="53"/>
      <c r="IY166" s="53"/>
      <c r="IZ166" s="53"/>
      <c r="JA166" s="53"/>
      <c r="JB166" s="53"/>
      <c r="JC166" s="53"/>
      <c r="JD166" s="53"/>
      <c r="JE166" s="53"/>
      <c r="JF166" s="53"/>
      <c r="JG166" s="53"/>
      <c r="JH166" s="53"/>
      <c r="JI166" s="53"/>
      <c r="JJ166" s="53"/>
      <c r="JK166" s="53"/>
      <c r="JL166" s="53"/>
      <c r="JM166" s="53"/>
      <c r="JN166" s="53"/>
      <c r="JO166" s="53"/>
      <c r="JP166" s="53"/>
      <c r="JQ166" s="53"/>
      <c r="JR166" s="53"/>
      <c r="JS166" s="53"/>
      <c r="JT166" s="53"/>
      <c r="JU166" s="53"/>
      <c r="JV166" s="53"/>
      <c r="JW166" s="53"/>
      <c r="JX166" s="53"/>
      <c r="JY166" s="53"/>
      <c r="JZ166" s="53"/>
      <c r="KA166" s="53"/>
      <c r="KB166" s="53"/>
      <c r="KC166" s="53"/>
      <c r="KD166" s="53"/>
      <c r="KE166" s="53"/>
      <c r="KF166" s="53"/>
      <c r="KG166" s="53"/>
      <c r="KH166" s="53"/>
      <c r="KI166" s="53"/>
      <c r="KJ166" s="53"/>
      <c r="KK166" s="53"/>
      <c r="KL166" s="53"/>
      <c r="KM166" s="53"/>
      <c r="KN166" s="53"/>
      <c r="KO166" s="53"/>
      <c r="KP166" s="53"/>
      <c r="KQ166" s="53"/>
      <c r="KR166" s="53"/>
      <c r="KS166" s="53"/>
      <c r="KT166" s="53"/>
      <c r="KU166" s="53"/>
      <c r="KV166" s="53"/>
      <c r="KW166" s="53"/>
      <c r="KX166" s="53"/>
      <c r="KY166" s="53"/>
      <c r="KZ166" s="53"/>
      <c r="LA166" s="53"/>
      <c r="LB166" s="53"/>
      <c r="LC166" s="53"/>
      <c r="LD166" s="53"/>
      <c r="LE166" s="53"/>
      <c r="LF166" s="53"/>
      <c r="LG166" s="53"/>
      <c r="LH166" s="53"/>
      <c r="LI166" s="53"/>
      <c r="LJ166" s="53"/>
      <c r="LK166" s="53"/>
      <c r="LL166" s="53"/>
      <c r="LM166" s="53"/>
      <c r="LN166" s="53"/>
      <c r="LO166" s="53"/>
      <c r="LP166" s="53"/>
      <c r="LQ166" s="53"/>
      <c r="LR166" s="53"/>
      <c r="LS166" s="53"/>
      <c r="LT166" s="53"/>
      <c r="LU166" s="53"/>
      <c r="LV166" s="53"/>
      <c r="LW166" s="53"/>
      <c r="LX166" s="53"/>
      <c r="LY166" s="53"/>
      <c r="LZ166" s="53"/>
      <c r="MA166" s="53"/>
      <c r="MB166" s="53"/>
      <c r="MC166" s="53"/>
      <c r="MD166" s="53"/>
      <c r="ME166" s="53"/>
      <c r="MF166" s="53"/>
      <c r="MG166" s="53"/>
      <c r="MH166" s="53"/>
      <c r="MI166" s="53"/>
      <c r="MJ166" s="53"/>
      <c r="MK166" s="53"/>
      <c r="ML166" s="53"/>
      <c r="MM166" s="53"/>
      <c r="MN166" s="53"/>
      <c r="MO166" s="53"/>
      <c r="MP166" s="53"/>
      <c r="MQ166" s="53"/>
      <c r="MR166" s="53"/>
      <c r="MS166" s="53"/>
      <c r="MT166" s="53"/>
      <c r="MU166" s="53"/>
      <c r="MV166" s="53"/>
      <c r="MW166" s="53"/>
      <c r="MX166" s="53"/>
      <c r="MY166" s="53"/>
      <c r="MZ166" s="53"/>
      <c r="NA166" s="53"/>
      <c r="NB166" s="53"/>
      <c r="NC166" s="53"/>
      <c r="ND166" s="53"/>
      <c r="NE166" s="53"/>
      <c r="NF166" s="53"/>
      <c r="NG166" s="53"/>
      <c r="NH166" s="53"/>
      <c r="NI166" s="53"/>
      <c r="NJ166" s="53"/>
      <c r="NK166" s="53"/>
      <c r="NL166" s="53"/>
      <c r="NM166" s="53"/>
      <c r="NN166" s="53"/>
      <c r="NO166" s="53"/>
      <c r="NP166" s="53"/>
      <c r="NQ166" s="53"/>
      <c r="NR166" s="53"/>
      <c r="NS166" s="53"/>
      <c r="NT166" s="53"/>
      <c r="NU166" s="53"/>
      <c r="NV166" s="53"/>
      <c r="NW166" s="53"/>
      <c r="NX166" s="53"/>
      <c r="NY166" s="53"/>
      <c r="NZ166" s="53"/>
      <c r="OA166" s="53"/>
      <c r="OB166" s="53"/>
      <c r="OC166" s="53"/>
      <c r="OD166" s="53"/>
      <c r="OE166" s="53"/>
      <c r="OF166" s="53"/>
      <c r="OG166" s="53"/>
      <c r="OH166" s="53"/>
      <c r="OI166" s="53"/>
      <c r="OJ166" s="53"/>
      <c r="OK166" s="53"/>
      <c r="OL166" s="53"/>
      <c r="OM166" s="53"/>
      <c r="ON166" s="53"/>
      <c r="OO166" s="53"/>
      <c r="OP166" s="53"/>
      <c r="OQ166" s="53"/>
      <c r="OR166" s="53"/>
      <c r="OS166" s="53"/>
      <c r="OT166" s="53"/>
      <c r="OU166" s="53"/>
      <c r="OV166" s="53"/>
      <c r="OW166" s="53"/>
      <c r="OX166" s="53"/>
      <c r="OY166" s="53"/>
      <c r="OZ166" s="53"/>
      <c r="PA166" s="53"/>
      <c r="PB166" s="53"/>
      <c r="PC166" s="53"/>
      <c r="PD166" s="53"/>
      <c r="PE166" s="53"/>
      <c r="PF166" s="53"/>
      <c r="PG166" s="53"/>
      <c r="PH166" s="53"/>
      <c r="PI166" s="53"/>
      <c r="PJ166" s="53"/>
      <c r="PK166" s="53"/>
      <c r="PL166" s="53"/>
      <c r="PM166" s="53"/>
      <c r="PN166" s="53"/>
      <c r="PO166" s="53"/>
      <c r="PP166" s="53"/>
      <c r="PQ166" s="53"/>
      <c r="PR166" s="53"/>
      <c r="PS166" s="53"/>
      <c r="PT166" s="53"/>
      <c r="PU166" s="53"/>
      <c r="PV166" s="53"/>
      <c r="PW166" s="53"/>
      <c r="PX166" s="53"/>
      <c r="PY166" s="53"/>
      <c r="PZ166" s="53"/>
      <c r="QA166" s="53"/>
      <c r="QB166" s="53"/>
      <c r="QC166" s="53"/>
      <c r="QD166" s="53"/>
      <c r="QE166" s="53"/>
      <c r="QF166" s="53"/>
      <c r="QG166" s="53"/>
      <c r="QH166" s="53"/>
      <c r="QI166" s="53"/>
      <c r="QJ166" s="53"/>
      <c r="QK166" s="53"/>
      <c r="QL166" s="53"/>
      <c r="QM166" s="53"/>
      <c r="QN166" s="53"/>
      <c r="QO166" s="53"/>
      <c r="QP166" s="53"/>
      <c r="QQ166" s="53"/>
      <c r="QR166" s="53"/>
      <c r="QS166" s="53"/>
      <c r="QT166" s="53"/>
      <c r="QU166" s="53"/>
      <c r="QV166" s="53"/>
      <c r="QW166" s="53"/>
      <c r="QX166" s="53"/>
      <c r="QY166" s="53"/>
      <c r="QZ166" s="53"/>
      <c r="RA166" s="53"/>
      <c r="RB166" s="53"/>
      <c r="RC166" s="53"/>
      <c r="RD166" s="53"/>
      <c r="RE166" s="53"/>
      <c r="RF166" s="53"/>
      <c r="RG166" s="53"/>
      <c r="RH166" s="53"/>
      <c r="RI166" s="53"/>
      <c r="RJ166" s="53"/>
      <c r="RK166" s="53"/>
      <c r="RL166" s="53"/>
      <c r="RM166" s="53"/>
      <c r="RN166" s="53"/>
      <c r="RO166" s="53"/>
      <c r="RP166" s="53"/>
      <c r="RQ166" s="53"/>
      <c r="RR166" s="53"/>
      <c r="RS166" s="53"/>
      <c r="RT166" s="53"/>
      <c r="RU166" s="53"/>
      <c r="RV166" s="53"/>
      <c r="RW166" s="53"/>
      <c r="RX166" s="53"/>
      <c r="RY166" s="53"/>
      <c r="RZ166" s="53"/>
      <c r="SA166" s="53"/>
      <c r="SB166" s="53"/>
      <c r="SC166" s="53"/>
      <c r="SD166" s="53"/>
      <c r="SE166" s="53"/>
      <c r="SF166" s="53"/>
      <c r="SG166" s="53"/>
      <c r="SH166" s="53"/>
      <c r="SI166" s="53"/>
      <c r="SJ166" s="53"/>
      <c r="SK166" s="53"/>
      <c r="SL166" s="53"/>
      <c r="SM166" s="53"/>
      <c r="SN166" s="53"/>
      <c r="SO166" s="53"/>
      <c r="SP166" s="53"/>
      <c r="SQ166" s="53"/>
      <c r="SR166" s="53"/>
      <c r="SS166" s="53"/>
      <c r="ST166" s="53"/>
      <c r="SU166" s="53"/>
      <c r="SV166" s="53"/>
      <c r="SW166" s="53"/>
      <c r="SX166" s="53"/>
      <c r="SY166" s="53"/>
      <c r="SZ166" s="53"/>
      <c r="TA166" s="53"/>
      <c r="TB166" s="53"/>
      <c r="TC166" s="53"/>
      <c r="TD166" s="53"/>
      <c r="TE166" s="53"/>
      <c r="TF166" s="53"/>
      <c r="TG166" s="53"/>
      <c r="TH166" s="53"/>
      <c r="TI166" s="53"/>
      <c r="TJ166" s="53"/>
      <c r="TK166" s="53"/>
      <c r="TL166" s="53"/>
      <c r="TM166" s="53"/>
      <c r="TN166" s="53"/>
      <c r="TO166" s="53"/>
      <c r="TP166" s="53"/>
      <c r="TQ166" s="53"/>
      <c r="TR166" s="53"/>
      <c r="TS166" s="53"/>
      <c r="TT166" s="53"/>
      <c r="TU166" s="53"/>
      <c r="TV166" s="53"/>
      <c r="TW166" s="53"/>
      <c r="TX166" s="53"/>
      <c r="TY166" s="53"/>
      <c r="TZ166" s="53"/>
      <c r="UA166" s="53"/>
      <c r="UB166" s="53"/>
      <c r="UC166" s="53"/>
      <c r="UD166" s="53"/>
      <c r="UE166" s="53"/>
      <c r="UF166" s="53"/>
      <c r="UG166" s="53"/>
      <c r="UH166" s="53"/>
      <c r="UI166" s="53"/>
      <c r="UJ166" s="53"/>
      <c r="UK166" s="53"/>
      <c r="UL166" s="53"/>
      <c r="UM166" s="53"/>
      <c r="UN166" s="53"/>
      <c r="UO166" s="53"/>
      <c r="UP166" s="53"/>
      <c r="UQ166" s="53"/>
      <c r="UR166" s="53"/>
      <c r="US166" s="53"/>
      <c r="UT166" s="53"/>
      <c r="UU166" s="53"/>
      <c r="UV166" s="53"/>
      <c r="UW166" s="53"/>
      <c r="UX166" s="53"/>
      <c r="UY166" s="53"/>
      <c r="UZ166" s="53"/>
      <c r="VA166" s="53"/>
      <c r="VB166" s="53"/>
      <c r="VC166" s="53"/>
      <c r="VD166" s="53"/>
      <c r="VE166" s="53"/>
      <c r="VF166" s="53"/>
      <c r="VG166" s="53"/>
      <c r="VH166" s="53"/>
      <c r="VI166" s="53"/>
      <c r="VJ166" s="53"/>
      <c r="VK166" s="53"/>
      <c r="VL166" s="53"/>
    </row>
    <row r="167" spans="1:584" s="47" customFormat="1" ht="24.75" customHeight="1" x14ac:dyDescent="0.25">
      <c r="A167" s="45" t="s">
        <v>423</v>
      </c>
      <c r="B167" s="91" t="str">
        <f>'дод 3'!A112</f>
        <v>3172</v>
      </c>
      <c r="C167" s="91">
        <f>'дод 3'!B112</f>
        <v>1010</v>
      </c>
      <c r="D167" s="48" t="str">
        <f>'дод 3'!C112</f>
        <v>Встановлення телефонів особам з інвалідністю I і II груп</v>
      </c>
      <c r="E167" s="115">
        <v>680</v>
      </c>
      <c r="F167" s="115"/>
      <c r="G167" s="115"/>
      <c r="H167" s="115">
        <v>0</v>
      </c>
      <c r="I167" s="115"/>
      <c r="J167" s="115"/>
      <c r="K167" s="135">
        <f t="shared" si="38"/>
        <v>0</v>
      </c>
      <c r="L167" s="115">
        <f t="shared" si="37"/>
        <v>0</v>
      </c>
      <c r="M167" s="115"/>
      <c r="N167" s="115"/>
      <c r="O167" s="115"/>
      <c r="P167" s="115"/>
      <c r="Q167" s="115"/>
      <c r="R167" s="115">
        <f t="shared" si="39"/>
        <v>0</v>
      </c>
      <c r="S167" s="115"/>
      <c r="T167" s="115"/>
      <c r="U167" s="115"/>
      <c r="V167" s="115"/>
      <c r="W167" s="115"/>
      <c r="X167" s="149"/>
      <c r="Y167" s="115">
        <f t="shared" si="36"/>
        <v>0</v>
      </c>
      <c r="Z167" s="187"/>
      <c r="AA167" s="53"/>
      <c r="AB167" s="53"/>
      <c r="AC167" s="53"/>
      <c r="AD167" s="53"/>
      <c r="AE167" s="79"/>
      <c r="AF167" s="79"/>
      <c r="AG167" s="79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  <c r="IK167" s="53"/>
      <c r="IL167" s="53"/>
      <c r="IM167" s="53"/>
      <c r="IN167" s="53"/>
      <c r="IO167" s="53"/>
      <c r="IP167" s="53"/>
      <c r="IQ167" s="53"/>
      <c r="IR167" s="53"/>
      <c r="IS167" s="53"/>
      <c r="IT167" s="53"/>
      <c r="IU167" s="53"/>
      <c r="IV167" s="53"/>
      <c r="IW167" s="53"/>
      <c r="IX167" s="53"/>
      <c r="IY167" s="53"/>
      <c r="IZ167" s="53"/>
      <c r="JA167" s="53"/>
      <c r="JB167" s="53"/>
      <c r="JC167" s="53"/>
      <c r="JD167" s="53"/>
      <c r="JE167" s="53"/>
      <c r="JF167" s="53"/>
      <c r="JG167" s="53"/>
      <c r="JH167" s="53"/>
      <c r="JI167" s="53"/>
      <c r="JJ167" s="53"/>
      <c r="JK167" s="53"/>
      <c r="JL167" s="53"/>
      <c r="JM167" s="53"/>
      <c r="JN167" s="53"/>
      <c r="JO167" s="53"/>
      <c r="JP167" s="53"/>
      <c r="JQ167" s="53"/>
      <c r="JR167" s="53"/>
      <c r="JS167" s="53"/>
      <c r="JT167" s="53"/>
      <c r="JU167" s="53"/>
      <c r="JV167" s="53"/>
      <c r="JW167" s="53"/>
      <c r="JX167" s="53"/>
      <c r="JY167" s="53"/>
      <c r="JZ167" s="53"/>
      <c r="KA167" s="53"/>
      <c r="KB167" s="53"/>
      <c r="KC167" s="53"/>
      <c r="KD167" s="53"/>
      <c r="KE167" s="53"/>
      <c r="KF167" s="53"/>
      <c r="KG167" s="53"/>
      <c r="KH167" s="53"/>
      <c r="KI167" s="53"/>
      <c r="KJ167" s="53"/>
      <c r="KK167" s="53"/>
      <c r="KL167" s="53"/>
      <c r="KM167" s="53"/>
      <c r="KN167" s="53"/>
      <c r="KO167" s="53"/>
      <c r="KP167" s="53"/>
      <c r="KQ167" s="53"/>
      <c r="KR167" s="53"/>
      <c r="KS167" s="53"/>
      <c r="KT167" s="53"/>
      <c r="KU167" s="53"/>
      <c r="KV167" s="53"/>
      <c r="KW167" s="53"/>
      <c r="KX167" s="53"/>
      <c r="KY167" s="53"/>
      <c r="KZ167" s="53"/>
      <c r="LA167" s="53"/>
      <c r="LB167" s="53"/>
      <c r="LC167" s="53"/>
      <c r="LD167" s="53"/>
      <c r="LE167" s="53"/>
      <c r="LF167" s="53"/>
      <c r="LG167" s="53"/>
      <c r="LH167" s="53"/>
      <c r="LI167" s="53"/>
      <c r="LJ167" s="53"/>
      <c r="LK167" s="53"/>
      <c r="LL167" s="53"/>
      <c r="LM167" s="53"/>
      <c r="LN167" s="53"/>
      <c r="LO167" s="53"/>
      <c r="LP167" s="53"/>
      <c r="LQ167" s="53"/>
      <c r="LR167" s="53"/>
      <c r="LS167" s="53"/>
      <c r="LT167" s="53"/>
      <c r="LU167" s="53"/>
      <c r="LV167" s="53"/>
      <c r="LW167" s="53"/>
      <c r="LX167" s="53"/>
      <c r="LY167" s="53"/>
      <c r="LZ167" s="53"/>
      <c r="MA167" s="53"/>
      <c r="MB167" s="53"/>
      <c r="MC167" s="53"/>
      <c r="MD167" s="53"/>
      <c r="ME167" s="53"/>
      <c r="MF167" s="53"/>
      <c r="MG167" s="53"/>
      <c r="MH167" s="53"/>
      <c r="MI167" s="53"/>
      <c r="MJ167" s="53"/>
      <c r="MK167" s="53"/>
      <c r="ML167" s="53"/>
      <c r="MM167" s="53"/>
      <c r="MN167" s="53"/>
      <c r="MO167" s="53"/>
      <c r="MP167" s="53"/>
      <c r="MQ167" s="53"/>
      <c r="MR167" s="53"/>
      <c r="MS167" s="53"/>
      <c r="MT167" s="53"/>
      <c r="MU167" s="53"/>
      <c r="MV167" s="53"/>
      <c r="MW167" s="53"/>
      <c r="MX167" s="53"/>
      <c r="MY167" s="53"/>
      <c r="MZ167" s="53"/>
      <c r="NA167" s="53"/>
      <c r="NB167" s="53"/>
      <c r="NC167" s="53"/>
      <c r="ND167" s="53"/>
      <c r="NE167" s="53"/>
      <c r="NF167" s="53"/>
      <c r="NG167" s="53"/>
      <c r="NH167" s="53"/>
      <c r="NI167" s="53"/>
      <c r="NJ167" s="53"/>
      <c r="NK167" s="53"/>
      <c r="NL167" s="53"/>
      <c r="NM167" s="53"/>
      <c r="NN167" s="53"/>
      <c r="NO167" s="53"/>
      <c r="NP167" s="53"/>
      <c r="NQ167" s="53"/>
      <c r="NR167" s="53"/>
      <c r="NS167" s="53"/>
      <c r="NT167" s="53"/>
      <c r="NU167" s="53"/>
      <c r="NV167" s="53"/>
      <c r="NW167" s="53"/>
      <c r="NX167" s="53"/>
      <c r="NY167" s="53"/>
      <c r="NZ167" s="53"/>
      <c r="OA167" s="53"/>
      <c r="OB167" s="53"/>
      <c r="OC167" s="53"/>
      <c r="OD167" s="53"/>
      <c r="OE167" s="53"/>
      <c r="OF167" s="53"/>
      <c r="OG167" s="53"/>
      <c r="OH167" s="53"/>
      <c r="OI167" s="53"/>
      <c r="OJ167" s="53"/>
      <c r="OK167" s="53"/>
      <c r="OL167" s="53"/>
      <c r="OM167" s="53"/>
      <c r="ON167" s="53"/>
      <c r="OO167" s="53"/>
      <c r="OP167" s="53"/>
      <c r="OQ167" s="53"/>
      <c r="OR167" s="53"/>
      <c r="OS167" s="53"/>
      <c r="OT167" s="53"/>
      <c r="OU167" s="53"/>
      <c r="OV167" s="53"/>
      <c r="OW167" s="53"/>
      <c r="OX167" s="53"/>
      <c r="OY167" s="53"/>
      <c r="OZ167" s="53"/>
      <c r="PA167" s="53"/>
      <c r="PB167" s="53"/>
      <c r="PC167" s="53"/>
      <c r="PD167" s="53"/>
      <c r="PE167" s="53"/>
      <c r="PF167" s="53"/>
      <c r="PG167" s="53"/>
      <c r="PH167" s="53"/>
      <c r="PI167" s="53"/>
      <c r="PJ167" s="53"/>
      <c r="PK167" s="53"/>
      <c r="PL167" s="53"/>
      <c r="PM167" s="53"/>
      <c r="PN167" s="53"/>
      <c r="PO167" s="53"/>
      <c r="PP167" s="53"/>
      <c r="PQ167" s="53"/>
      <c r="PR167" s="53"/>
      <c r="PS167" s="53"/>
      <c r="PT167" s="53"/>
      <c r="PU167" s="53"/>
      <c r="PV167" s="53"/>
      <c r="PW167" s="53"/>
      <c r="PX167" s="53"/>
      <c r="PY167" s="53"/>
      <c r="PZ167" s="53"/>
      <c r="QA167" s="53"/>
      <c r="QB167" s="53"/>
      <c r="QC167" s="53"/>
      <c r="QD167" s="53"/>
      <c r="QE167" s="53"/>
      <c r="QF167" s="53"/>
      <c r="QG167" s="53"/>
      <c r="QH167" s="53"/>
      <c r="QI167" s="53"/>
      <c r="QJ167" s="53"/>
      <c r="QK167" s="53"/>
      <c r="QL167" s="53"/>
      <c r="QM167" s="53"/>
      <c r="QN167" s="53"/>
      <c r="QO167" s="53"/>
      <c r="QP167" s="53"/>
      <c r="QQ167" s="53"/>
      <c r="QR167" s="53"/>
      <c r="QS167" s="53"/>
      <c r="QT167" s="53"/>
      <c r="QU167" s="53"/>
      <c r="QV167" s="53"/>
      <c r="QW167" s="53"/>
      <c r="QX167" s="53"/>
      <c r="QY167" s="53"/>
      <c r="QZ167" s="53"/>
      <c r="RA167" s="53"/>
      <c r="RB167" s="53"/>
      <c r="RC167" s="53"/>
      <c r="RD167" s="53"/>
      <c r="RE167" s="53"/>
      <c r="RF167" s="53"/>
      <c r="RG167" s="53"/>
      <c r="RH167" s="53"/>
      <c r="RI167" s="53"/>
      <c r="RJ167" s="53"/>
      <c r="RK167" s="53"/>
      <c r="RL167" s="53"/>
      <c r="RM167" s="53"/>
      <c r="RN167" s="53"/>
      <c r="RO167" s="53"/>
      <c r="RP167" s="53"/>
      <c r="RQ167" s="53"/>
      <c r="RR167" s="53"/>
      <c r="RS167" s="53"/>
      <c r="RT167" s="53"/>
      <c r="RU167" s="53"/>
      <c r="RV167" s="53"/>
      <c r="RW167" s="53"/>
      <c r="RX167" s="53"/>
      <c r="RY167" s="53"/>
      <c r="RZ167" s="53"/>
      <c r="SA167" s="53"/>
      <c r="SB167" s="53"/>
      <c r="SC167" s="53"/>
      <c r="SD167" s="53"/>
      <c r="SE167" s="53"/>
      <c r="SF167" s="53"/>
      <c r="SG167" s="53"/>
      <c r="SH167" s="53"/>
      <c r="SI167" s="53"/>
      <c r="SJ167" s="53"/>
      <c r="SK167" s="53"/>
      <c r="SL167" s="53"/>
      <c r="SM167" s="53"/>
      <c r="SN167" s="53"/>
      <c r="SO167" s="53"/>
      <c r="SP167" s="53"/>
      <c r="SQ167" s="53"/>
      <c r="SR167" s="53"/>
      <c r="SS167" s="53"/>
      <c r="ST167" s="53"/>
      <c r="SU167" s="53"/>
      <c r="SV167" s="53"/>
      <c r="SW167" s="53"/>
      <c r="SX167" s="53"/>
      <c r="SY167" s="53"/>
      <c r="SZ167" s="53"/>
      <c r="TA167" s="53"/>
      <c r="TB167" s="53"/>
      <c r="TC167" s="53"/>
      <c r="TD167" s="53"/>
      <c r="TE167" s="53"/>
      <c r="TF167" s="53"/>
      <c r="TG167" s="53"/>
      <c r="TH167" s="53"/>
      <c r="TI167" s="53"/>
      <c r="TJ167" s="53"/>
      <c r="TK167" s="53"/>
      <c r="TL167" s="53"/>
      <c r="TM167" s="53"/>
      <c r="TN167" s="53"/>
      <c r="TO167" s="53"/>
      <c r="TP167" s="53"/>
      <c r="TQ167" s="53"/>
      <c r="TR167" s="53"/>
      <c r="TS167" s="53"/>
      <c r="TT167" s="53"/>
      <c r="TU167" s="53"/>
      <c r="TV167" s="53"/>
      <c r="TW167" s="53"/>
      <c r="TX167" s="53"/>
      <c r="TY167" s="53"/>
      <c r="TZ167" s="53"/>
      <c r="UA167" s="53"/>
      <c r="UB167" s="53"/>
      <c r="UC167" s="53"/>
      <c r="UD167" s="53"/>
      <c r="UE167" s="53"/>
      <c r="UF167" s="53"/>
      <c r="UG167" s="53"/>
      <c r="UH167" s="53"/>
      <c r="UI167" s="53"/>
      <c r="UJ167" s="53"/>
      <c r="UK167" s="53"/>
      <c r="UL167" s="53"/>
      <c r="UM167" s="53"/>
      <c r="UN167" s="53"/>
      <c r="UO167" s="53"/>
      <c r="UP167" s="53"/>
      <c r="UQ167" s="53"/>
      <c r="UR167" s="53"/>
      <c r="US167" s="53"/>
      <c r="UT167" s="53"/>
      <c r="UU167" s="53"/>
      <c r="UV167" s="53"/>
      <c r="UW167" s="53"/>
      <c r="UX167" s="53"/>
      <c r="UY167" s="53"/>
      <c r="UZ167" s="53"/>
      <c r="VA167" s="53"/>
      <c r="VB167" s="53"/>
      <c r="VC167" s="53"/>
      <c r="VD167" s="53"/>
      <c r="VE167" s="53"/>
      <c r="VF167" s="53"/>
      <c r="VG167" s="53"/>
      <c r="VH167" s="53"/>
      <c r="VI167" s="53"/>
      <c r="VJ167" s="53"/>
      <c r="VK167" s="53"/>
      <c r="VL167" s="53"/>
    </row>
    <row r="168" spans="1:584" s="47" customFormat="1" ht="68.25" customHeight="1" x14ac:dyDescent="0.25">
      <c r="A168" s="45" t="s">
        <v>250</v>
      </c>
      <c r="B168" s="91" t="str">
        <f>'дод 3'!A113</f>
        <v>3180</v>
      </c>
      <c r="C168" s="91" t="str">
        <f>'дод 3'!B113</f>
        <v>1060</v>
      </c>
      <c r="D168" s="48" t="str">
        <f>'дод 3'!C113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8" s="115">
        <v>1866590</v>
      </c>
      <c r="F168" s="115"/>
      <c r="G168" s="115"/>
      <c r="H168" s="115">
        <v>1677705.74</v>
      </c>
      <c r="I168" s="115"/>
      <c r="J168" s="115"/>
      <c r="K168" s="164">
        <f t="shared" si="38"/>
        <v>89.880784746516369</v>
      </c>
      <c r="L168" s="115">
        <f t="shared" si="37"/>
        <v>0</v>
      </c>
      <c r="M168" s="115"/>
      <c r="N168" s="115"/>
      <c r="O168" s="115"/>
      <c r="P168" s="115"/>
      <c r="Q168" s="115"/>
      <c r="R168" s="115">
        <f t="shared" si="39"/>
        <v>0</v>
      </c>
      <c r="S168" s="115"/>
      <c r="T168" s="115"/>
      <c r="U168" s="115"/>
      <c r="V168" s="115"/>
      <c r="W168" s="115"/>
      <c r="X168" s="149"/>
      <c r="Y168" s="115">
        <f t="shared" si="36"/>
        <v>1677705.74</v>
      </c>
      <c r="Z168" s="187"/>
      <c r="AA168" s="53"/>
      <c r="AB168" s="53"/>
      <c r="AC168" s="53"/>
      <c r="AD168" s="53"/>
      <c r="AE168" s="79"/>
      <c r="AF168" s="79"/>
      <c r="AG168" s="79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  <c r="IK168" s="53"/>
      <c r="IL168" s="53"/>
      <c r="IM168" s="53"/>
      <c r="IN168" s="53"/>
      <c r="IO168" s="53"/>
      <c r="IP168" s="53"/>
      <c r="IQ168" s="53"/>
      <c r="IR168" s="53"/>
      <c r="IS168" s="53"/>
      <c r="IT168" s="53"/>
      <c r="IU168" s="53"/>
      <c r="IV168" s="53"/>
      <c r="IW168" s="53"/>
      <c r="IX168" s="53"/>
      <c r="IY168" s="53"/>
      <c r="IZ168" s="53"/>
      <c r="JA168" s="53"/>
      <c r="JB168" s="53"/>
      <c r="JC168" s="53"/>
      <c r="JD168" s="53"/>
      <c r="JE168" s="53"/>
      <c r="JF168" s="53"/>
      <c r="JG168" s="53"/>
      <c r="JH168" s="53"/>
      <c r="JI168" s="53"/>
      <c r="JJ168" s="53"/>
      <c r="JK168" s="53"/>
      <c r="JL168" s="53"/>
      <c r="JM168" s="53"/>
      <c r="JN168" s="53"/>
      <c r="JO168" s="53"/>
      <c r="JP168" s="53"/>
      <c r="JQ168" s="53"/>
      <c r="JR168" s="53"/>
      <c r="JS168" s="53"/>
      <c r="JT168" s="53"/>
      <c r="JU168" s="53"/>
      <c r="JV168" s="53"/>
      <c r="JW168" s="53"/>
      <c r="JX168" s="53"/>
      <c r="JY168" s="53"/>
      <c r="JZ168" s="53"/>
      <c r="KA168" s="53"/>
      <c r="KB168" s="53"/>
      <c r="KC168" s="53"/>
      <c r="KD168" s="53"/>
      <c r="KE168" s="53"/>
      <c r="KF168" s="53"/>
      <c r="KG168" s="53"/>
      <c r="KH168" s="53"/>
      <c r="KI168" s="53"/>
      <c r="KJ168" s="53"/>
      <c r="KK168" s="53"/>
      <c r="KL168" s="53"/>
      <c r="KM168" s="53"/>
      <c r="KN168" s="53"/>
      <c r="KO168" s="53"/>
      <c r="KP168" s="53"/>
      <c r="KQ168" s="53"/>
      <c r="KR168" s="53"/>
      <c r="KS168" s="53"/>
      <c r="KT168" s="53"/>
      <c r="KU168" s="53"/>
      <c r="KV168" s="53"/>
      <c r="KW168" s="53"/>
      <c r="KX168" s="53"/>
      <c r="KY168" s="53"/>
      <c r="KZ168" s="53"/>
      <c r="LA168" s="53"/>
      <c r="LB168" s="53"/>
      <c r="LC168" s="53"/>
      <c r="LD168" s="53"/>
      <c r="LE168" s="53"/>
      <c r="LF168" s="53"/>
      <c r="LG168" s="53"/>
      <c r="LH168" s="53"/>
      <c r="LI168" s="53"/>
      <c r="LJ168" s="53"/>
      <c r="LK168" s="53"/>
      <c r="LL168" s="53"/>
      <c r="LM168" s="53"/>
      <c r="LN168" s="53"/>
      <c r="LO168" s="53"/>
      <c r="LP168" s="53"/>
      <c r="LQ168" s="53"/>
      <c r="LR168" s="53"/>
      <c r="LS168" s="53"/>
      <c r="LT168" s="53"/>
      <c r="LU168" s="53"/>
      <c r="LV168" s="53"/>
      <c r="LW168" s="53"/>
      <c r="LX168" s="53"/>
      <c r="LY168" s="53"/>
      <c r="LZ168" s="53"/>
      <c r="MA168" s="53"/>
      <c r="MB168" s="53"/>
      <c r="MC168" s="53"/>
      <c r="MD168" s="53"/>
      <c r="ME168" s="53"/>
      <c r="MF168" s="53"/>
      <c r="MG168" s="53"/>
      <c r="MH168" s="53"/>
      <c r="MI168" s="53"/>
      <c r="MJ168" s="53"/>
      <c r="MK168" s="53"/>
      <c r="ML168" s="53"/>
      <c r="MM168" s="53"/>
      <c r="MN168" s="53"/>
      <c r="MO168" s="53"/>
      <c r="MP168" s="53"/>
      <c r="MQ168" s="53"/>
      <c r="MR168" s="53"/>
      <c r="MS168" s="53"/>
      <c r="MT168" s="53"/>
      <c r="MU168" s="53"/>
      <c r="MV168" s="53"/>
      <c r="MW168" s="53"/>
      <c r="MX168" s="53"/>
      <c r="MY168" s="53"/>
      <c r="MZ168" s="53"/>
      <c r="NA168" s="53"/>
      <c r="NB168" s="53"/>
      <c r="NC168" s="53"/>
      <c r="ND168" s="53"/>
      <c r="NE168" s="53"/>
      <c r="NF168" s="53"/>
      <c r="NG168" s="53"/>
      <c r="NH168" s="53"/>
      <c r="NI168" s="53"/>
      <c r="NJ168" s="53"/>
      <c r="NK168" s="53"/>
      <c r="NL168" s="53"/>
      <c r="NM168" s="53"/>
      <c r="NN168" s="53"/>
      <c r="NO168" s="53"/>
      <c r="NP168" s="53"/>
      <c r="NQ168" s="53"/>
      <c r="NR168" s="53"/>
      <c r="NS168" s="53"/>
      <c r="NT168" s="53"/>
      <c r="NU168" s="53"/>
      <c r="NV168" s="53"/>
      <c r="NW168" s="53"/>
      <c r="NX168" s="53"/>
      <c r="NY168" s="53"/>
      <c r="NZ168" s="53"/>
      <c r="OA168" s="53"/>
      <c r="OB168" s="53"/>
      <c r="OC168" s="53"/>
      <c r="OD168" s="53"/>
      <c r="OE168" s="53"/>
      <c r="OF168" s="53"/>
      <c r="OG168" s="53"/>
      <c r="OH168" s="53"/>
      <c r="OI168" s="53"/>
      <c r="OJ168" s="53"/>
      <c r="OK168" s="53"/>
      <c r="OL168" s="53"/>
      <c r="OM168" s="53"/>
      <c r="ON168" s="53"/>
      <c r="OO168" s="53"/>
      <c r="OP168" s="53"/>
      <c r="OQ168" s="53"/>
      <c r="OR168" s="53"/>
      <c r="OS168" s="53"/>
      <c r="OT168" s="53"/>
      <c r="OU168" s="53"/>
      <c r="OV168" s="53"/>
      <c r="OW168" s="53"/>
      <c r="OX168" s="53"/>
      <c r="OY168" s="53"/>
      <c r="OZ168" s="53"/>
      <c r="PA168" s="53"/>
      <c r="PB168" s="53"/>
      <c r="PC168" s="53"/>
      <c r="PD168" s="53"/>
      <c r="PE168" s="53"/>
      <c r="PF168" s="53"/>
      <c r="PG168" s="53"/>
      <c r="PH168" s="53"/>
      <c r="PI168" s="53"/>
      <c r="PJ168" s="53"/>
      <c r="PK168" s="53"/>
      <c r="PL168" s="53"/>
      <c r="PM168" s="53"/>
      <c r="PN168" s="53"/>
      <c r="PO168" s="53"/>
      <c r="PP168" s="53"/>
      <c r="PQ168" s="53"/>
      <c r="PR168" s="53"/>
      <c r="PS168" s="53"/>
      <c r="PT168" s="53"/>
      <c r="PU168" s="53"/>
      <c r="PV168" s="53"/>
      <c r="PW168" s="53"/>
      <c r="PX168" s="53"/>
      <c r="PY168" s="53"/>
      <c r="PZ168" s="53"/>
      <c r="QA168" s="53"/>
      <c r="QB168" s="53"/>
      <c r="QC168" s="53"/>
      <c r="QD168" s="53"/>
      <c r="QE168" s="53"/>
      <c r="QF168" s="53"/>
      <c r="QG168" s="53"/>
      <c r="QH168" s="53"/>
      <c r="QI168" s="53"/>
      <c r="QJ168" s="53"/>
      <c r="QK168" s="53"/>
      <c r="QL168" s="53"/>
      <c r="QM168" s="53"/>
      <c r="QN168" s="53"/>
      <c r="QO168" s="53"/>
      <c r="QP168" s="53"/>
      <c r="QQ168" s="53"/>
      <c r="QR168" s="53"/>
      <c r="QS168" s="53"/>
      <c r="QT168" s="53"/>
      <c r="QU168" s="53"/>
      <c r="QV168" s="53"/>
      <c r="QW168" s="53"/>
      <c r="QX168" s="53"/>
      <c r="QY168" s="53"/>
      <c r="QZ168" s="53"/>
      <c r="RA168" s="53"/>
      <c r="RB168" s="53"/>
      <c r="RC168" s="53"/>
      <c r="RD168" s="53"/>
      <c r="RE168" s="53"/>
      <c r="RF168" s="53"/>
      <c r="RG168" s="53"/>
      <c r="RH168" s="53"/>
      <c r="RI168" s="53"/>
      <c r="RJ168" s="53"/>
      <c r="RK168" s="53"/>
      <c r="RL168" s="53"/>
      <c r="RM168" s="53"/>
      <c r="RN168" s="53"/>
      <c r="RO168" s="53"/>
      <c r="RP168" s="53"/>
      <c r="RQ168" s="53"/>
      <c r="RR168" s="53"/>
      <c r="RS168" s="53"/>
      <c r="RT168" s="53"/>
      <c r="RU168" s="53"/>
      <c r="RV168" s="53"/>
      <c r="RW168" s="53"/>
      <c r="RX168" s="53"/>
      <c r="RY168" s="53"/>
      <c r="RZ168" s="53"/>
      <c r="SA168" s="53"/>
      <c r="SB168" s="53"/>
      <c r="SC168" s="53"/>
      <c r="SD168" s="53"/>
      <c r="SE168" s="53"/>
      <c r="SF168" s="53"/>
      <c r="SG168" s="53"/>
      <c r="SH168" s="53"/>
      <c r="SI168" s="53"/>
      <c r="SJ168" s="53"/>
      <c r="SK168" s="53"/>
      <c r="SL168" s="53"/>
      <c r="SM168" s="53"/>
      <c r="SN168" s="53"/>
      <c r="SO168" s="53"/>
      <c r="SP168" s="53"/>
      <c r="SQ168" s="53"/>
      <c r="SR168" s="53"/>
      <c r="SS168" s="53"/>
      <c r="ST168" s="53"/>
      <c r="SU168" s="53"/>
      <c r="SV168" s="53"/>
      <c r="SW168" s="53"/>
      <c r="SX168" s="53"/>
      <c r="SY168" s="53"/>
      <c r="SZ168" s="53"/>
      <c r="TA168" s="53"/>
      <c r="TB168" s="53"/>
      <c r="TC168" s="53"/>
      <c r="TD168" s="53"/>
      <c r="TE168" s="53"/>
      <c r="TF168" s="53"/>
      <c r="TG168" s="53"/>
      <c r="TH168" s="53"/>
      <c r="TI168" s="53"/>
      <c r="TJ168" s="53"/>
      <c r="TK168" s="53"/>
      <c r="TL168" s="53"/>
      <c r="TM168" s="53"/>
      <c r="TN168" s="53"/>
      <c r="TO168" s="53"/>
      <c r="TP168" s="53"/>
      <c r="TQ168" s="53"/>
      <c r="TR168" s="53"/>
      <c r="TS168" s="53"/>
      <c r="TT168" s="53"/>
      <c r="TU168" s="53"/>
      <c r="TV168" s="53"/>
      <c r="TW168" s="53"/>
      <c r="TX168" s="53"/>
      <c r="TY168" s="53"/>
      <c r="TZ168" s="53"/>
      <c r="UA168" s="53"/>
      <c r="UB168" s="53"/>
      <c r="UC168" s="53"/>
      <c r="UD168" s="53"/>
      <c r="UE168" s="53"/>
      <c r="UF168" s="53"/>
      <c r="UG168" s="53"/>
      <c r="UH168" s="53"/>
      <c r="UI168" s="53"/>
      <c r="UJ168" s="53"/>
      <c r="UK168" s="53"/>
      <c r="UL168" s="53"/>
      <c r="UM168" s="53"/>
      <c r="UN168" s="53"/>
      <c r="UO168" s="53"/>
      <c r="UP168" s="53"/>
      <c r="UQ168" s="53"/>
      <c r="UR168" s="53"/>
      <c r="US168" s="53"/>
      <c r="UT168" s="53"/>
      <c r="UU168" s="53"/>
      <c r="UV168" s="53"/>
      <c r="UW168" s="53"/>
      <c r="UX168" s="53"/>
      <c r="UY168" s="53"/>
      <c r="UZ168" s="53"/>
      <c r="VA168" s="53"/>
      <c r="VB168" s="53"/>
      <c r="VC168" s="53"/>
      <c r="VD168" s="53"/>
      <c r="VE168" s="53"/>
      <c r="VF168" s="53"/>
      <c r="VG168" s="53"/>
      <c r="VH168" s="53"/>
      <c r="VI168" s="53"/>
      <c r="VJ168" s="53"/>
      <c r="VK168" s="53"/>
      <c r="VL168" s="53"/>
    </row>
    <row r="169" spans="1:584" s="47" customFormat="1" ht="24" customHeight="1" x14ac:dyDescent="0.25">
      <c r="A169" s="45" t="s">
        <v>401</v>
      </c>
      <c r="B169" s="91" t="str">
        <f>'дод 3'!A114</f>
        <v>3191</v>
      </c>
      <c r="C169" s="91" t="str">
        <f>'дод 3'!B114</f>
        <v>1030</v>
      </c>
      <c r="D169" s="48" t="str">
        <f>'дод 3'!C114</f>
        <v>Інші видатки на соціальний захист ветеранів війни та праці</v>
      </c>
      <c r="E169" s="115">
        <v>2166057</v>
      </c>
      <c r="F169" s="115"/>
      <c r="G169" s="115"/>
      <c r="H169" s="115">
        <v>2001617.25</v>
      </c>
      <c r="I169" s="115"/>
      <c r="J169" s="115"/>
      <c r="K169" s="164">
        <f t="shared" si="38"/>
        <v>92.408336899721476</v>
      </c>
      <c r="L169" s="115">
        <f t="shared" si="37"/>
        <v>0</v>
      </c>
      <c r="M169" s="115"/>
      <c r="N169" s="115"/>
      <c r="O169" s="115"/>
      <c r="P169" s="115"/>
      <c r="Q169" s="115"/>
      <c r="R169" s="115">
        <f t="shared" si="39"/>
        <v>0</v>
      </c>
      <c r="S169" s="115"/>
      <c r="T169" s="115"/>
      <c r="U169" s="115"/>
      <c r="V169" s="115"/>
      <c r="W169" s="115"/>
      <c r="X169" s="149"/>
      <c r="Y169" s="115">
        <f t="shared" si="36"/>
        <v>2001617.25</v>
      </c>
      <c r="Z169" s="187"/>
      <c r="AA169" s="53"/>
      <c r="AB169" s="53"/>
      <c r="AC169" s="53"/>
      <c r="AD169" s="53"/>
      <c r="AE169" s="79"/>
      <c r="AF169" s="79"/>
      <c r="AG169" s="79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  <c r="IH169" s="53"/>
      <c r="II169" s="53"/>
      <c r="IJ169" s="53"/>
      <c r="IK169" s="53"/>
      <c r="IL169" s="53"/>
      <c r="IM169" s="53"/>
      <c r="IN169" s="53"/>
      <c r="IO169" s="53"/>
      <c r="IP169" s="53"/>
      <c r="IQ169" s="53"/>
      <c r="IR169" s="53"/>
      <c r="IS169" s="53"/>
      <c r="IT169" s="53"/>
      <c r="IU169" s="53"/>
      <c r="IV169" s="53"/>
      <c r="IW169" s="53"/>
      <c r="IX169" s="53"/>
      <c r="IY169" s="53"/>
      <c r="IZ169" s="53"/>
      <c r="JA169" s="53"/>
      <c r="JB169" s="53"/>
      <c r="JC169" s="53"/>
      <c r="JD169" s="53"/>
      <c r="JE169" s="53"/>
      <c r="JF169" s="53"/>
      <c r="JG169" s="53"/>
      <c r="JH169" s="53"/>
      <c r="JI169" s="53"/>
      <c r="JJ169" s="53"/>
      <c r="JK169" s="53"/>
      <c r="JL169" s="53"/>
      <c r="JM169" s="53"/>
      <c r="JN169" s="53"/>
      <c r="JO169" s="53"/>
      <c r="JP169" s="53"/>
      <c r="JQ169" s="53"/>
      <c r="JR169" s="53"/>
      <c r="JS169" s="53"/>
      <c r="JT169" s="53"/>
      <c r="JU169" s="53"/>
      <c r="JV169" s="53"/>
      <c r="JW169" s="53"/>
      <c r="JX169" s="53"/>
      <c r="JY169" s="53"/>
      <c r="JZ169" s="53"/>
      <c r="KA169" s="53"/>
      <c r="KB169" s="53"/>
      <c r="KC169" s="53"/>
      <c r="KD169" s="53"/>
      <c r="KE169" s="53"/>
      <c r="KF169" s="53"/>
      <c r="KG169" s="53"/>
      <c r="KH169" s="53"/>
      <c r="KI169" s="53"/>
      <c r="KJ169" s="53"/>
      <c r="KK169" s="53"/>
      <c r="KL169" s="53"/>
      <c r="KM169" s="53"/>
      <c r="KN169" s="53"/>
      <c r="KO169" s="53"/>
      <c r="KP169" s="53"/>
      <c r="KQ169" s="53"/>
      <c r="KR169" s="53"/>
      <c r="KS169" s="53"/>
      <c r="KT169" s="53"/>
      <c r="KU169" s="53"/>
      <c r="KV169" s="53"/>
      <c r="KW169" s="53"/>
      <c r="KX169" s="53"/>
      <c r="KY169" s="53"/>
      <c r="KZ169" s="53"/>
      <c r="LA169" s="53"/>
      <c r="LB169" s="53"/>
      <c r="LC169" s="53"/>
      <c r="LD169" s="53"/>
      <c r="LE169" s="53"/>
      <c r="LF169" s="53"/>
      <c r="LG169" s="53"/>
      <c r="LH169" s="53"/>
      <c r="LI169" s="53"/>
      <c r="LJ169" s="53"/>
      <c r="LK169" s="53"/>
      <c r="LL169" s="53"/>
      <c r="LM169" s="53"/>
      <c r="LN169" s="53"/>
      <c r="LO169" s="53"/>
      <c r="LP169" s="53"/>
      <c r="LQ169" s="53"/>
      <c r="LR169" s="53"/>
      <c r="LS169" s="53"/>
      <c r="LT169" s="53"/>
      <c r="LU169" s="53"/>
      <c r="LV169" s="53"/>
      <c r="LW169" s="53"/>
      <c r="LX169" s="53"/>
      <c r="LY169" s="53"/>
      <c r="LZ169" s="53"/>
      <c r="MA169" s="53"/>
      <c r="MB169" s="53"/>
      <c r="MC169" s="53"/>
      <c r="MD169" s="53"/>
      <c r="ME169" s="53"/>
      <c r="MF169" s="53"/>
      <c r="MG169" s="53"/>
      <c r="MH169" s="53"/>
      <c r="MI169" s="53"/>
      <c r="MJ169" s="53"/>
      <c r="MK169" s="53"/>
      <c r="ML169" s="53"/>
      <c r="MM169" s="53"/>
      <c r="MN169" s="53"/>
      <c r="MO169" s="53"/>
      <c r="MP169" s="53"/>
      <c r="MQ169" s="53"/>
      <c r="MR169" s="53"/>
      <c r="MS169" s="53"/>
      <c r="MT169" s="53"/>
      <c r="MU169" s="53"/>
      <c r="MV169" s="53"/>
      <c r="MW169" s="53"/>
      <c r="MX169" s="53"/>
      <c r="MY169" s="53"/>
      <c r="MZ169" s="53"/>
      <c r="NA169" s="53"/>
      <c r="NB169" s="53"/>
      <c r="NC169" s="53"/>
      <c r="ND169" s="53"/>
      <c r="NE169" s="53"/>
      <c r="NF169" s="53"/>
      <c r="NG169" s="53"/>
      <c r="NH169" s="53"/>
      <c r="NI169" s="53"/>
      <c r="NJ169" s="53"/>
      <c r="NK169" s="53"/>
      <c r="NL169" s="53"/>
      <c r="NM169" s="53"/>
      <c r="NN169" s="53"/>
      <c r="NO169" s="53"/>
      <c r="NP169" s="53"/>
      <c r="NQ169" s="53"/>
      <c r="NR169" s="53"/>
      <c r="NS169" s="53"/>
      <c r="NT169" s="53"/>
      <c r="NU169" s="53"/>
      <c r="NV169" s="53"/>
      <c r="NW169" s="53"/>
      <c r="NX169" s="53"/>
      <c r="NY169" s="53"/>
      <c r="NZ169" s="53"/>
      <c r="OA169" s="53"/>
      <c r="OB169" s="53"/>
      <c r="OC169" s="53"/>
      <c r="OD169" s="53"/>
      <c r="OE169" s="53"/>
      <c r="OF169" s="53"/>
      <c r="OG169" s="53"/>
      <c r="OH169" s="53"/>
      <c r="OI169" s="53"/>
      <c r="OJ169" s="53"/>
      <c r="OK169" s="53"/>
      <c r="OL169" s="53"/>
      <c r="OM169" s="53"/>
      <c r="ON169" s="53"/>
      <c r="OO169" s="53"/>
      <c r="OP169" s="53"/>
      <c r="OQ169" s="53"/>
      <c r="OR169" s="53"/>
      <c r="OS169" s="53"/>
      <c r="OT169" s="53"/>
      <c r="OU169" s="53"/>
      <c r="OV169" s="53"/>
      <c r="OW169" s="53"/>
      <c r="OX169" s="53"/>
      <c r="OY169" s="53"/>
      <c r="OZ169" s="53"/>
      <c r="PA169" s="53"/>
      <c r="PB169" s="53"/>
      <c r="PC169" s="53"/>
      <c r="PD169" s="53"/>
      <c r="PE169" s="53"/>
      <c r="PF169" s="53"/>
      <c r="PG169" s="53"/>
      <c r="PH169" s="53"/>
      <c r="PI169" s="53"/>
      <c r="PJ169" s="53"/>
      <c r="PK169" s="53"/>
      <c r="PL169" s="53"/>
      <c r="PM169" s="53"/>
      <c r="PN169" s="53"/>
      <c r="PO169" s="53"/>
      <c r="PP169" s="53"/>
      <c r="PQ169" s="53"/>
      <c r="PR169" s="53"/>
      <c r="PS169" s="53"/>
      <c r="PT169" s="53"/>
      <c r="PU169" s="53"/>
      <c r="PV169" s="53"/>
      <c r="PW169" s="53"/>
      <c r="PX169" s="53"/>
      <c r="PY169" s="53"/>
      <c r="PZ169" s="53"/>
      <c r="QA169" s="53"/>
      <c r="QB169" s="53"/>
      <c r="QC169" s="53"/>
      <c r="QD169" s="53"/>
      <c r="QE169" s="53"/>
      <c r="QF169" s="53"/>
      <c r="QG169" s="53"/>
      <c r="QH169" s="53"/>
      <c r="QI169" s="53"/>
      <c r="QJ169" s="53"/>
      <c r="QK169" s="53"/>
      <c r="QL169" s="53"/>
      <c r="QM169" s="53"/>
      <c r="QN169" s="53"/>
      <c r="QO169" s="53"/>
      <c r="QP169" s="53"/>
      <c r="QQ169" s="53"/>
      <c r="QR169" s="53"/>
      <c r="QS169" s="53"/>
      <c r="QT169" s="53"/>
      <c r="QU169" s="53"/>
      <c r="QV169" s="53"/>
      <c r="QW169" s="53"/>
      <c r="QX169" s="53"/>
      <c r="QY169" s="53"/>
      <c r="QZ169" s="53"/>
      <c r="RA169" s="53"/>
      <c r="RB169" s="53"/>
      <c r="RC169" s="53"/>
      <c r="RD169" s="53"/>
      <c r="RE169" s="53"/>
      <c r="RF169" s="53"/>
      <c r="RG169" s="53"/>
      <c r="RH169" s="53"/>
      <c r="RI169" s="53"/>
      <c r="RJ169" s="53"/>
      <c r="RK169" s="53"/>
      <c r="RL169" s="53"/>
      <c r="RM169" s="53"/>
      <c r="RN169" s="53"/>
      <c r="RO169" s="53"/>
      <c r="RP169" s="53"/>
      <c r="RQ169" s="53"/>
      <c r="RR169" s="53"/>
      <c r="RS169" s="53"/>
      <c r="RT169" s="53"/>
      <c r="RU169" s="53"/>
      <c r="RV169" s="53"/>
      <c r="RW169" s="53"/>
      <c r="RX169" s="53"/>
      <c r="RY169" s="53"/>
      <c r="RZ169" s="53"/>
      <c r="SA169" s="53"/>
      <c r="SB169" s="53"/>
      <c r="SC169" s="53"/>
      <c r="SD169" s="53"/>
      <c r="SE169" s="53"/>
      <c r="SF169" s="53"/>
      <c r="SG169" s="53"/>
      <c r="SH169" s="53"/>
      <c r="SI169" s="53"/>
      <c r="SJ169" s="53"/>
      <c r="SK169" s="53"/>
      <c r="SL169" s="53"/>
      <c r="SM169" s="53"/>
      <c r="SN169" s="53"/>
      <c r="SO169" s="53"/>
      <c r="SP169" s="53"/>
      <c r="SQ169" s="53"/>
      <c r="SR169" s="53"/>
      <c r="SS169" s="53"/>
      <c r="ST169" s="53"/>
      <c r="SU169" s="53"/>
      <c r="SV169" s="53"/>
      <c r="SW169" s="53"/>
      <c r="SX169" s="53"/>
      <c r="SY169" s="53"/>
      <c r="SZ169" s="53"/>
      <c r="TA169" s="53"/>
      <c r="TB169" s="53"/>
      <c r="TC169" s="53"/>
      <c r="TD169" s="53"/>
      <c r="TE169" s="53"/>
      <c r="TF169" s="53"/>
      <c r="TG169" s="53"/>
      <c r="TH169" s="53"/>
      <c r="TI169" s="53"/>
      <c r="TJ169" s="53"/>
      <c r="TK169" s="53"/>
      <c r="TL169" s="53"/>
      <c r="TM169" s="53"/>
      <c r="TN169" s="53"/>
      <c r="TO169" s="53"/>
      <c r="TP169" s="53"/>
      <c r="TQ169" s="53"/>
      <c r="TR169" s="53"/>
      <c r="TS169" s="53"/>
      <c r="TT169" s="53"/>
      <c r="TU169" s="53"/>
      <c r="TV169" s="53"/>
      <c r="TW169" s="53"/>
      <c r="TX169" s="53"/>
      <c r="TY169" s="53"/>
      <c r="TZ169" s="53"/>
      <c r="UA169" s="53"/>
      <c r="UB169" s="53"/>
      <c r="UC169" s="53"/>
      <c r="UD169" s="53"/>
      <c r="UE169" s="53"/>
      <c r="UF169" s="53"/>
      <c r="UG169" s="53"/>
      <c r="UH169" s="53"/>
      <c r="UI169" s="53"/>
      <c r="UJ169" s="53"/>
      <c r="UK169" s="53"/>
      <c r="UL169" s="53"/>
      <c r="UM169" s="53"/>
      <c r="UN169" s="53"/>
      <c r="UO169" s="53"/>
      <c r="UP169" s="53"/>
      <c r="UQ169" s="53"/>
      <c r="UR169" s="53"/>
      <c r="US169" s="53"/>
      <c r="UT169" s="53"/>
      <c r="UU169" s="53"/>
      <c r="UV169" s="53"/>
      <c r="UW169" s="53"/>
      <c r="UX169" s="53"/>
      <c r="UY169" s="53"/>
      <c r="UZ169" s="53"/>
      <c r="VA169" s="53"/>
      <c r="VB169" s="53"/>
      <c r="VC169" s="53"/>
      <c r="VD169" s="53"/>
      <c r="VE169" s="53"/>
      <c r="VF169" s="53"/>
      <c r="VG169" s="53"/>
      <c r="VH169" s="53"/>
      <c r="VI169" s="53"/>
      <c r="VJ169" s="53"/>
      <c r="VK169" s="53"/>
      <c r="VL169" s="53"/>
    </row>
    <row r="170" spans="1:584" s="47" customFormat="1" ht="45" x14ac:dyDescent="0.25">
      <c r="A170" s="45" t="s">
        <v>402</v>
      </c>
      <c r="B170" s="91" t="str">
        <f>'дод 3'!A115</f>
        <v>3192</v>
      </c>
      <c r="C170" s="91" t="str">
        <f>'дод 3'!B115</f>
        <v>1030</v>
      </c>
      <c r="D170" s="48" t="str">
        <f>'дод 3'!C115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0" s="115">
        <v>1385920</v>
      </c>
      <c r="F170" s="115"/>
      <c r="G170" s="115"/>
      <c r="H170" s="115">
        <v>1352887.08</v>
      </c>
      <c r="I170" s="115"/>
      <c r="J170" s="115"/>
      <c r="K170" s="164">
        <f t="shared" si="38"/>
        <v>97.616534864927274</v>
      </c>
      <c r="L170" s="115">
        <f t="shared" si="37"/>
        <v>0</v>
      </c>
      <c r="M170" s="115"/>
      <c r="N170" s="115"/>
      <c r="O170" s="115"/>
      <c r="P170" s="115"/>
      <c r="Q170" s="115"/>
      <c r="R170" s="115">
        <f t="shared" si="39"/>
        <v>0</v>
      </c>
      <c r="S170" s="115"/>
      <c r="T170" s="115"/>
      <c r="U170" s="115"/>
      <c r="V170" s="115"/>
      <c r="W170" s="115"/>
      <c r="X170" s="149"/>
      <c r="Y170" s="115">
        <f t="shared" si="36"/>
        <v>1352887.08</v>
      </c>
      <c r="Z170" s="187"/>
      <c r="AA170" s="53"/>
      <c r="AB170" s="53"/>
      <c r="AC170" s="53"/>
      <c r="AD170" s="53"/>
      <c r="AE170" s="79"/>
      <c r="AF170" s="79"/>
      <c r="AG170" s="79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  <c r="IK170" s="53"/>
      <c r="IL170" s="53"/>
      <c r="IM170" s="53"/>
      <c r="IN170" s="53"/>
      <c r="IO170" s="53"/>
      <c r="IP170" s="53"/>
      <c r="IQ170" s="53"/>
      <c r="IR170" s="53"/>
      <c r="IS170" s="53"/>
      <c r="IT170" s="53"/>
      <c r="IU170" s="53"/>
      <c r="IV170" s="53"/>
      <c r="IW170" s="53"/>
      <c r="IX170" s="53"/>
      <c r="IY170" s="53"/>
      <c r="IZ170" s="53"/>
      <c r="JA170" s="53"/>
      <c r="JB170" s="53"/>
      <c r="JC170" s="53"/>
      <c r="JD170" s="53"/>
      <c r="JE170" s="53"/>
      <c r="JF170" s="53"/>
      <c r="JG170" s="53"/>
      <c r="JH170" s="53"/>
      <c r="JI170" s="53"/>
      <c r="JJ170" s="53"/>
      <c r="JK170" s="53"/>
      <c r="JL170" s="53"/>
      <c r="JM170" s="53"/>
      <c r="JN170" s="53"/>
      <c r="JO170" s="53"/>
      <c r="JP170" s="53"/>
      <c r="JQ170" s="53"/>
      <c r="JR170" s="53"/>
      <c r="JS170" s="53"/>
      <c r="JT170" s="53"/>
      <c r="JU170" s="53"/>
      <c r="JV170" s="53"/>
      <c r="JW170" s="53"/>
      <c r="JX170" s="53"/>
      <c r="JY170" s="53"/>
      <c r="JZ170" s="53"/>
      <c r="KA170" s="53"/>
      <c r="KB170" s="53"/>
      <c r="KC170" s="53"/>
      <c r="KD170" s="53"/>
      <c r="KE170" s="53"/>
      <c r="KF170" s="53"/>
      <c r="KG170" s="53"/>
      <c r="KH170" s="53"/>
      <c r="KI170" s="53"/>
      <c r="KJ170" s="53"/>
      <c r="KK170" s="53"/>
      <c r="KL170" s="53"/>
      <c r="KM170" s="53"/>
      <c r="KN170" s="53"/>
      <c r="KO170" s="53"/>
      <c r="KP170" s="53"/>
      <c r="KQ170" s="53"/>
      <c r="KR170" s="53"/>
      <c r="KS170" s="53"/>
      <c r="KT170" s="53"/>
      <c r="KU170" s="53"/>
      <c r="KV170" s="53"/>
      <c r="KW170" s="53"/>
      <c r="KX170" s="53"/>
      <c r="KY170" s="53"/>
      <c r="KZ170" s="53"/>
      <c r="LA170" s="53"/>
      <c r="LB170" s="53"/>
      <c r="LC170" s="53"/>
      <c r="LD170" s="53"/>
      <c r="LE170" s="53"/>
      <c r="LF170" s="53"/>
      <c r="LG170" s="53"/>
      <c r="LH170" s="53"/>
      <c r="LI170" s="53"/>
      <c r="LJ170" s="53"/>
      <c r="LK170" s="53"/>
      <c r="LL170" s="53"/>
      <c r="LM170" s="53"/>
      <c r="LN170" s="53"/>
      <c r="LO170" s="53"/>
      <c r="LP170" s="53"/>
      <c r="LQ170" s="53"/>
      <c r="LR170" s="53"/>
      <c r="LS170" s="53"/>
      <c r="LT170" s="53"/>
      <c r="LU170" s="53"/>
      <c r="LV170" s="53"/>
      <c r="LW170" s="53"/>
      <c r="LX170" s="53"/>
      <c r="LY170" s="53"/>
      <c r="LZ170" s="53"/>
      <c r="MA170" s="53"/>
      <c r="MB170" s="53"/>
      <c r="MC170" s="53"/>
      <c r="MD170" s="53"/>
      <c r="ME170" s="53"/>
      <c r="MF170" s="53"/>
      <c r="MG170" s="53"/>
      <c r="MH170" s="53"/>
      <c r="MI170" s="53"/>
      <c r="MJ170" s="53"/>
      <c r="MK170" s="53"/>
      <c r="ML170" s="53"/>
      <c r="MM170" s="53"/>
      <c r="MN170" s="53"/>
      <c r="MO170" s="53"/>
      <c r="MP170" s="53"/>
      <c r="MQ170" s="53"/>
      <c r="MR170" s="53"/>
      <c r="MS170" s="53"/>
      <c r="MT170" s="53"/>
      <c r="MU170" s="53"/>
      <c r="MV170" s="53"/>
      <c r="MW170" s="53"/>
      <c r="MX170" s="53"/>
      <c r="MY170" s="53"/>
      <c r="MZ170" s="53"/>
      <c r="NA170" s="53"/>
      <c r="NB170" s="53"/>
      <c r="NC170" s="53"/>
      <c r="ND170" s="53"/>
      <c r="NE170" s="53"/>
      <c r="NF170" s="53"/>
      <c r="NG170" s="53"/>
      <c r="NH170" s="53"/>
      <c r="NI170" s="53"/>
      <c r="NJ170" s="53"/>
      <c r="NK170" s="53"/>
      <c r="NL170" s="53"/>
      <c r="NM170" s="53"/>
      <c r="NN170" s="53"/>
      <c r="NO170" s="53"/>
      <c r="NP170" s="53"/>
      <c r="NQ170" s="53"/>
      <c r="NR170" s="53"/>
      <c r="NS170" s="53"/>
      <c r="NT170" s="53"/>
      <c r="NU170" s="53"/>
      <c r="NV170" s="53"/>
      <c r="NW170" s="53"/>
      <c r="NX170" s="53"/>
      <c r="NY170" s="53"/>
      <c r="NZ170" s="53"/>
      <c r="OA170" s="53"/>
      <c r="OB170" s="53"/>
      <c r="OC170" s="53"/>
      <c r="OD170" s="53"/>
      <c r="OE170" s="53"/>
      <c r="OF170" s="53"/>
      <c r="OG170" s="53"/>
      <c r="OH170" s="53"/>
      <c r="OI170" s="53"/>
      <c r="OJ170" s="53"/>
      <c r="OK170" s="53"/>
      <c r="OL170" s="53"/>
      <c r="OM170" s="53"/>
      <c r="ON170" s="53"/>
      <c r="OO170" s="53"/>
      <c r="OP170" s="53"/>
      <c r="OQ170" s="53"/>
      <c r="OR170" s="53"/>
      <c r="OS170" s="53"/>
      <c r="OT170" s="53"/>
      <c r="OU170" s="53"/>
      <c r="OV170" s="53"/>
      <c r="OW170" s="53"/>
      <c r="OX170" s="53"/>
      <c r="OY170" s="53"/>
      <c r="OZ170" s="53"/>
      <c r="PA170" s="53"/>
      <c r="PB170" s="53"/>
      <c r="PC170" s="53"/>
      <c r="PD170" s="53"/>
      <c r="PE170" s="53"/>
      <c r="PF170" s="53"/>
      <c r="PG170" s="53"/>
      <c r="PH170" s="53"/>
      <c r="PI170" s="53"/>
      <c r="PJ170" s="53"/>
      <c r="PK170" s="53"/>
      <c r="PL170" s="53"/>
      <c r="PM170" s="53"/>
      <c r="PN170" s="53"/>
      <c r="PO170" s="53"/>
      <c r="PP170" s="53"/>
      <c r="PQ170" s="53"/>
      <c r="PR170" s="53"/>
      <c r="PS170" s="53"/>
      <c r="PT170" s="53"/>
      <c r="PU170" s="53"/>
      <c r="PV170" s="53"/>
      <c r="PW170" s="53"/>
      <c r="PX170" s="53"/>
      <c r="PY170" s="53"/>
      <c r="PZ170" s="53"/>
      <c r="QA170" s="53"/>
      <c r="QB170" s="53"/>
      <c r="QC170" s="53"/>
      <c r="QD170" s="53"/>
      <c r="QE170" s="53"/>
      <c r="QF170" s="53"/>
      <c r="QG170" s="53"/>
      <c r="QH170" s="53"/>
      <c r="QI170" s="53"/>
      <c r="QJ170" s="53"/>
      <c r="QK170" s="53"/>
      <c r="QL170" s="53"/>
      <c r="QM170" s="53"/>
      <c r="QN170" s="53"/>
      <c r="QO170" s="53"/>
      <c r="QP170" s="53"/>
      <c r="QQ170" s="53"/>
      <c r="QR170" s="53"/>
      <c r="QS170" s="53"/>
      <c r="QT170" s="53"/>
      <c r="QU170" s="53"/>
      <c r="QV170" s="53"/>
      <c r="QW170" s="53"/>
      <c r="QX170" s="53"/>
      <c r="QY170" s="53"/>
      <c r="QZ170" s="53"/>
      <c r="RA170" s="53"/>
      <c r="RB170" s="53"/>
      <c r="RC170" s="53"/>
      <c r="RD170" s="53"/>
      <c r="RE170" s="53"/>
      <c r="RF170" s="53"/>
      <c r="RG170" s="53"/>
      <c r="RH170" s="53"/>
      <c r="RI170" s="53"/>
      <c r="RJ170" s="53"/>
      <c r="RK170" s="53"/>
      <c r="RL170" s="53"/>
      <c r="RM170" s="53"/>
      <c r="RN170" s="53"/>
      <c r="RO170" s="53"/>
      <c r="RP170" s="53"/>
      <c r="RQ170" s="53"/>
      <c r="RR170" s="53"/>
      <c r="RS170" s="53"/>
      <c r="RT170" s="53"/>
      <c r="RU170" s="53"/>
      <c r="RV170" s="53"/>
      <c r="RW170" s="53"/>
      <c r="RX170" s="53"/>
      <c r="RY170" s="53"/>
      <c r="RZ170" s="53"/>
      <c r="SA170" s="53"/>
      <c r="SB170" s="53"/>
      <c r="SC170" s="53"/>
      <c r="SD170" s="53"/>
      <c r="SE170" s="53"/>
      <c r="SF170" s="53"/>
      <c r="SG170" s="53"/>
      <c r="SH170" s="53"/>
      <c r="SI170" s="53"/>
      <c r="SJ170" s="53"/>
      <c r="SK170" s="53"/>
      <c r="SL170" s="53"/>
      <c r="SM170" s="53"/>
      <c r="SN170" s="53"/>
      <c r="SO170" s="53"/>
      <c r="SP170" s="53"/>
      <c r="SQ170" s="53"/>
      <c r="SR170" s="53"/>
      <c r="SS170" s="53"/>
      <c r="ST170" s="53"/>
      <c r="SU170" s="53"/>
      <c r="SV170" s="53"/>
      <c r="SW170" s="53"/>
      <c r="SX170" s="53"/>
      <c r="SY170" s="53"/>
      <c r="SZ170" s="53"/>
      <c r="TA170" s="53"/>
      <c r="TB170" s="53"/>
      <c r="TC170" s="53"/>
      <c r="TD170" s="53"/>
      <c r="TE170" s="53"/>
      <c r="TF170" s="53"/>
      <c r="TG170" s="53"/>
      <c r="TH170" s="53"/>
      <c r="TI170" s="53"/>
      <c r="TJ170" s="53"/>
      <c r="TK170" s="53"/>
      <c r="TL170" s="53"/>
      <c r="TM170" s="53"/>
      <c r="TN170" s="53"/>
      <c r="TO170" s="53"/>
      <c r="TP170" s="53"/>
      <c r="TQ170" s="53"/>
      <c r="TR170" s="53"/>
      <c r="TS170" s="53"/>
      <c r="TT170" s="53"/>
      <c r="TU170" s="53"/>
      <c r="TV170" s="53"/>
      <c r="TW170" s="53"/>
      <c r="TX170" s="53"/>
      <c r="TY170" s="53"/>
      <c r="TZ170" s="53"/>
      <c r="UA170" s="53"/>
      <c r="UB170" s="53"/>
      <c r="UC170" s="53"/>
      <c r="UD170" s="53"/>
      <c r="UE170" s="53"/>
      <c r="UF170" s="53"/>
      <c r="UG170" s="53"/>
      <c r="UH170" s="53"/>
      <c r="UI170" s="53"/>
      <c r="UJ170" s="53"/>
      <c r="UK170" s="53"/>
      <c r="UL170" s="53"/>
      <c r="UM170" s="53"/>
      <c r="UN170" s="53"/>
      <c r="UO170" s="53"/>
      <c r="UP170" s="53"/>
      <c r="UQ170" s="53"/>
      <c r="UR170" s="53"/>
      <c r="US170" s="53"/>
      <c r="UT170" s="53"/>
      <c r="UU170" s="53"/>
      <c r="UV170" s="53"/>
      <c r="UW170" s="53"/>
      <c r="UX170" s="53"/>
      <c r="UY170" s="53"/>
      <c r="UZ170" s="53"/>
      <c r="VA170" s="53"/>
      <c r="VB170" s="53"/>
      <c r="VC170" s="53"/>
      <c r="VD170" s="53"/>
      <c r="VE170" s="53"/>
      <c r="VF170" s="53"/>
      <c r="VG170" s="53"/>
      <c r="VH170" s="53"/>
      <c r="VI170" s="53"/>
      <c r="VJ170" s="53"/>
      <c r="VK170" s="53"/>
      <c r="VL170" s="53"/>
    </row>
    <row r="171" spans="1:584" s="47" customFormat="1" ht="33.75" customHeight="1" x14ac:dyDescent="0.25">
      <c r="A171" s="45" t="s">
        <v>251</v>
      </c>
      <c r="B171" s="91" t="str">
        <f>'дод 3'!A116</f>
        <v>3200</v>
      </c>
      <c r="C171" s="91" t="str">
        <f>'дод 3'!B116</f>
        <v>1090</v>
      </c>
      <c r="D171" s="48" t="str">
        <f>'дод 3'!C116</f>
        <v xml:space="preserve">Забезпечення обробки інформації з нарахування та виплати допомог і компенсацій </v>
      </c>
      <c r="E171" s="115">
        <v>81525</v>
      </c>
      <c r="F171" s="115"/>
      <c r="G171" s="115"/>
      <c r="H171" s="115">
        <v>81524.63</v>
      </c>
      <c r="I171" s="115"/>
      <c r="J171" s="115"/>
      <c r="K171" s="164">
        <f t="shared" si="38"/>
        <v>99.99954615148728</v>
      </c>
      <c r="L171" s="115">
        <f t="shared" si="37"/>
        <v>0</v>
      </c>
      <c r="M171" s="115"/>
      <c r="N171" s="115"/>
      <c r="O171" s="115"/>
      <c r="P171" s="115"/>
      <c r="Q171" s="115"/>
      <c r="R171" s="115">
        <f t="shared" si="39"/>
        <v>0</v>
      </c>
      <c r="S171" s="115"/>
      <c r="T171" s="115"/>
      <c r="U171" s="115"/>
      <c r="V171" s="115"/>
      <c r="W171" s="115"/>
      <c r="X171" s="149"/>
      <c r="Y171" s="115">
        <f t="shared" si="36"/>
        <v>81524.63</v>
      </c>
      <c r="Z171" s="187"/>
      <c r="AA171" s="53"/>
      <c r="AB171" s="53"/>
      <c r="AC171" s="53"/>
      <c r="AD171" s="53"/>
      <c r="AE171" s="79"/>
      <c r="AF171" s="79"/>
      <c r="AG171" s="79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  <c r="IK171" s="53"/>
      <c r="IL171" s="53"/>
      <c r="IM171" s="53"/>
      <c r="IN171" s="53"/>
      <c r="IO171" s="53"/>
      <c r="IP171" s="53"/>
      <c r="IQ171" s="53"/>
      <c r="IR171" s="53"/>
      <c r="IS171" s="53"/>
      <c r="IT171" s="53"/>
      <c r="IU171" s="53"/>
      <c r="IV171" s="53"/>
      <c r="IW171" s="53"/>
      <c r="IX171" s="53"/>
      <c r="IY171" s="53"/>
      <c r="IZ171" s="53"/>
      <c r="JA171" s="53"/>
      <c r="JB171" s="53"/>
      <c r="JC171" s="53"/>
      <c r="JD171" s="53"/>
      <c r="JE171" s="53"/>
      <c r="JF171" s="53"/>
      <c r="JG171" s="53"/>
      <c r="JH171" s="53"/>
      <c r="JI171" s="53"/>
      <c r="JJ171" s="53"/>
      <c r="JK171" s="53"/>
      <c r="JL171" s="53"/>
      <c r="JM171" s="53"/>
      <c r="JN171" s="53"/>
      <c r="JO171" s="53"/>
      <c r="JP171" s="53"/>
      <c r="JQ171" s="53"/>
      <c r="JR171" s="53"/>
      <c r="JS171" s="53"/>
      <c r="JT171" s="53"/>
      <c r="JU171" s="53"/>
      <c r="JV171" s="53"/>
      <c r="JW171" s="53"/>
      <c r="JX171" s="53"/>
      <c r="JY171" s="53"/>
      <c r="JZ171" s="53"/>
      <c r="KA171" s="53"/>
      <c r="KB171" s="53"/>
      <c r="KC171" s="53"/>
      <c r="KD171" s="53"/>
      <c r="KE171" s="53"/>
      <c r="KF171" s="53"/>
      <c r="KG171" s="53"/>
      <c r="KH171" s="53"/>
      <c r="KI171" s="53"/>
      <c r="KJ171" s="53"/>
      <c r="KK171" s="53"/>
      <c r="KL171" s="53"/>
      <c r="KM171" s="53"/>
      <c r="KN171" s="53"/>
      <c r="KO171" s="53"/>
      <c r="KP171" s="53"/>
      <c r="KQ171" s="53"/>
      <c r="KR171" s="53"/>
      <c r="KS171" s="53"/>
      <c r="KT171" s="53"/>
      <c r="KU171" s="53"/>
      <c r="KV171" s="53"/>
      <c r="KW171" s="53"/>
      <c r="KX171" s="53"/>
      <c r="KY171" s="53"/>
      <c r="KZ171" s="53"/>
      <c r="LA171" s="53"/>
      <c r="LB171" s="53"/>
      <c r="LC171" s="53"/>
      <c r="LD171" s="53"/>
      <c r="LE171" s="53"/>
      <c r="LF171" s="53"/>
      <c r="LG171" s="53"/>
      <c r="LH171" s="53"/>
      <c r="LI171" s="53"/>
      <c r="LJ171" s="53"/>
      <c r="LK171" s="53"/>
      <c r="LL171" s="53"/>
      <c r="LM171" s="53"/>
      <c r="LN171" s="53"/>
      <c r="LO171" s="53"/>
      <c r="LP171" s="53"/>
      <c r="LQ171" s="53"/>
      <c r="LR171" s="53"/>
      <c r="LS171" s="53"/>
      <c r="LT171" s="53"/>
      <c r="LU171" s="53"/>
      <c r="LV171" s="53"/>
      <c r="LW171" s="53"/>
      <c r="LX171" s="53"/>
      <c r="LY171" s="53"/>
      <c r="LZ171" s="53"/>
      <c r="MA171" s="53"/>
      <c r="MB171" s="53"/>
      <c r="MC171" s="53"/>
      <c r="MD171" s="53"/>
      <c r="ME171" s="53"/>
      <c r="MF171" s="53"/>
      <c r="MG171" s="53"/>
      <c r="MH171" s="53"/>
      <c r="MI171" s="53"/>
      <c r="MJ171" s="53"/>
      <c r="MK171" s="53"/>
      <c r="ML171" s="53"/>
      <c r="MM171" s="53"/>
      <c r="MN171" s="53"/>
      <c r="MO171" s="53"/>
      <c r="MP171" s="53"/>
      <c r="MQ171" s="53"/>
      <c r="MR171" s="53"/>
      <c r="MS171" s="53"/>
      <c r="MT171" s="53"/>
      <c r="MU171" s="53"/>
      <c r="MV171" s="53"/>
      <c r="MW171" s="53"/>
      <c r="MX171" s="53"/>
      <c r="MY171" s="53"/>
      <c r="MZ171" s="53"/>
      <c r="NA171" s="53"/>
      <c r="NB171" s="53"/>
      <c r="NC171" s="53"/>
      <c r="ND171" s="53"/>
      <c r="NE171" s="53"/>
      <c r="NF171" s="53"/>
      <c r="NG171" s="53"/>
      <c r="NH171" s="53"/>
      <c r="NI171" s="53"/>
      <c r="NJ171" s="53"/>
      <c r="NK171" s="53"/>
      <c r="NL171" s="53"/>
      <c r="NM171" s="53"/>
      <c r="NN171" s="53"/>
      <c r="NO171" s="53"/>
      <c r="NP171" s="53"/>
      <c r="NQ171" s="53"/>
      <c r="NR171" s="53"/>
      <c r="NS171" s="53"/>
      <c r="NT171" s="53"/>
      <c r="NU171" s="53"/>
      <c r="NV171" s="53"/>
      <c r="NW171" s="53"/>
      <c r="NX171" s="53"/>
      <c r="NY171" s="53"/>
      <c r="NZ171" s="53"/>
      <c r="OA171" s="53"/>
      <c r="OB171" s="53"/>
      <c r="OC171" s="53"/>
      <c r="OD171" s="53"/>
      <c r="OE171" s="53"/>
      <c r="OF171" s="53"/>
      <c r="OG171" s="53"/>
      <c r="OH171" s="53"/>
      <c r="OI171" s="53"/>
      <c r="OJ171" s="53"/>
      <c r="OK171" s="53"/>
      <c r="OL171" s="53"/>
      <c r="OM171" s="53"/>
      <c r="ON171" s="53"/>
      <c r="OO171" s="53"/>
      <c r="OP171" s="53"/>
      <c r="OQ171" s="53"/>
      <c r="OR171" s="53"/>
      <c r="OS171" s="53"/>
      <c r="OT171" s="53"/>
      <c r="OU171" s="53"/>
      <c r="OV171" s="53"/>
      <c r="OW171" s="53"/>
      <c r="OX171" s="53"/>
      <c r="OY171" s="53"/>
      <c r="OZ171" s="53"/>
      <c r="PA171" s="53"/>
      <c r="PB171" s="53"/>
      <c r="PC171" s="53"/>
      <c r="PD171" s="53"/>
      <c r="PE171" s="53"/>
      <c r="PF171" s="53"/>
      <c r="PG171" s="53"/>
      <c r="PH171" s="53"/>
      <c r="PI171" s="53"/>
      <c r="PJ171" s="53"/>
      <c r="PK171" s="53"/>
      <c r="PL171" s="53"/>
      <c r="PM171" s="53"/>
      <c r="PN171" s="53"/>
      <c r="PO171" s="53"/>
      <c r="PP171" s="53"/>
      <c r="PQ171" s="53"/>
      <c r="PR171" s="53"/>
      <c r="PS171" s="53"/>
      <c r="PT171" s="53"/>
      <c r="PU171" s="53"/>
      <c r="PV171" s="53"/>
      <c r="PW171" s="53"/>
      <c r="PX171" s="53"/>
      <c r="PY171" s="53"/>
      <c r="PZ171" s="53"/>
      <c r="QA171" s="53"/>
      <c r="QB171" s="53"/>
      <c r="QC171" s="53"/>
      <c r="QD171" s="53"/>
      <c r="QE171" s="53"/>
      <c r="QF171" s="53"/>
      <c r="QG171" s="53"/>
      <c r="QH171" s="53"/>
      <c r="QI171" s="53"/>
      <c r="QJ171" s="53"/>
      <c r="QK171" s="53"/>
      <c r="QL171" s="53"/>
      <c r="QM171" s="53"/>
      <c r="QN171" s="53"/>
      <c r="QO171" s="53"/>
      <c r="QP171" s="53"/>
      <c r="QQ171" s="53"/>
      <c r="QR171" s="53"/>
      <c r="QS171" s="53"/>
      <c r="QT171" s="53"/>
      <c r="QU171" s="53"/>
      <c r="QV171" s="53"/>
      <c r="QW171" s="53"/>
      <c r="QX171" s="53"/>
      <c r="QY171" s="53"/>
      <c r="QZ171" s="53"/>
      <c r="RA171" s="53"/>
      <c r="RB171" s="53"/>
      <c r="RC171" s="53"/>
      <c r="RD171" s="53"/>
      <c r="RE171" s="53"/>
      <c r="RF171" s="53"/>
      <c r="RG171" s="53"/>
      <c r="RH171" s="53"/>
      <c r="RI171" s="53"/>
      <c r="RJ171" s="53"/>
      <c r="RK171" s="53"/>
      <c r="RL171" s="53"/>
      <c r="RM171" s="53"/>
      <c r="RN171" s="53"/>
      <c r="RO171" s="53"/>
      <c r="RP171" s="53"/>
      <c r="RQ171" s="53"/>
      <c r="RR171" s="53"/>
      <c r="RS171" s="53"/>
      <c r="RT171" s="53"/>
      <c r="RU171" s="53"/>
      <c r="RV171" s="53"/>
      <c r="RW171" s="53"/>
      <c r="RX171" s="53"/>
      <c r="RY171" s="53"/>
      <c r="RZ171" s="53"/>
      <c r="SA171" s="53"/>
      <c r="SB171" s="53"/>
      <c r="SC171" s="53"/>
      <c r="SD171" s="53"/>
      <c r="SE171" s="53"/>
      <c r="SF171" s="53"/>
      <c r="SG171" s="53"/>
      <c r="SH171" s="53"/>
      <c r="SI171" s="53"/>
      <c r="SJ171" s="53"/>
      <c r="SK171" s="53"/>
      <c r="SL171" s="53"/>
      <c r="SM171" s="53"/>
      <c r="SN171" s="53"/>
      <c r="SO171" s="53"/>
      <c r="SP171" s="53"/>
      <c r="SQ171" s="53"/>
      <c r="SR171" s="53"/>
      <c r="SS171" s="53"/>
      <c r="ST171" s="53"/>
      <c r="SU171" s="53"/>
      <c r="SV171" s="53"/>
      <c r="SW171" s="53"/>
      <c r="SX171" s="53"/>
      <c r="SY171" s="53"/>
      <c r="SZ171" s="53"/>
      <c r="TA171" s="53"/>
      <c r="TB171" s="53"/>
      <c r="TC171" s="53"/>
      <c r="TD171" s="53"/>
      <c r="TE171" s="53"/>
      <c r="TF171" s="53"/>
      <c r="TG171" s="53"/>
      <c r="TH171" s="53"/>
      <c r="TI171" s="53"/>
      <c r="TJ171" s="53"/>
      <c r="TK171" s="53"/>
      <c r="TL171" s="53"/>
      <c r="TM171" s="53"/>
      <c r="TN171" s="53"/>
      <c r="TO171" s="53"/>
      <c r="TP171" s="53"/>
      <c r="TQ171" s="53"/>
      <c r="TR171" s="53"/>
      <c r="TS171" s="53"/>
      <c r="TT171" s="53"/>
      <c r="TU171" s="53"/>
      <c r="TV171" s="53"/>
      <c r="TW171" s="53"/>
      <c r="TX171" s="53"/>
      <c r="TY171" s="53"/>
      <c r="TZ171" s="53"/>
      <c r="UA171" s="53"/>
      <c r="UB171" s="53"/>
      <c r="UC171" s="53"/>
      <c r="UD171" s="53"/>
      <c r="UE171" s="53"/>
      <c r="UF171" s="53"/>
      <c r="UG171" s="53"/>
      <c r="UH171" s="53"/>
      <c r="UI171" s="53"/>
      <c r="UJ171" s="53"/>
      <c r="UK171" s="53"/>
      <c r="UL171" s="53"/>
      <c r="UM171" s="53"/>
      <c r="UN171" s="53"/>
      <c r="UO171" s="53"/>
      <c r="UP171" s="53"/>
      <c r="UQ171" s="53"/>
      <c r="UR171" s="53"/>
      <c r="US171" s="53"/>
      <c r="UT171" s="53"/>
      <c r="UU171" s="53"/>
      <c r="UV171" s="53"/>
      <c r="UW171" s="53"/>
      <c r="UX171" s="53"/>
      <c r="UY171" s="53"/>
      <c r="UZ171" s="53"/>
      <c r="VA171" s="53"/>
      <c r="VB171" s="53"/>
      <c r="VC171" s="53"/>
      <c r="VD171" s="53"/>
      <c r="VE171" s="53"/>
      <c r="VF171" s="53"/>
      <c r="VG171" s="53"/>
      <c r="VH171" s="53"/>
      <c r="VI171" s="53"/>
      <c r="VJ171" s="53"/>
      <c r="VK171" s="53"/>
      <c r="VL171" s="53"/>
    </row>
    <row r="172" spans="1:584" s="47" customFormat="1" ht="19.5" customHeight="1" x14ac:dyDescent="0.25">
      <c r="A172" s="49" t="s">
        <v>403</v>
      </c>
      <c r="B172" s="93" t="str">
        <f>'дод 3'!A117</f>
        <v>3210</v>
      </c>
      <c r="C172" s="93" t="str">
        <f>'дод 3'!B117</f>
        <v>1050</v>
      </c>
      <c r="D172" s="46" t="str">
        <f>'дод 3'!C117</f>
        <v>Організація та проведення громадських робіт</v>
      </c>
      <c r="E172" s="115">
        <v>300000</v>
      </c>
      <c r="F172" s="115">
        <v>245900</v>
      </c>
      <c r="G172" s="115"/>
      <c r="H172" s="115">
        <v>291243.49</v>
      </c>
      <c r="I172" s="115">
        <v>239033.69</v>
      </c>
      <c r="J172" s="115"/>
      <c r="K172" s="164">
        <f t="shared" si="38"/>
        <v>97.081163333333336</v>
      </c>
      <c r="L172" s="115">
        <f t="shared" si="37"/>
        <v>0</v>
      </c>
      <c r="M172" s="115"/>
      <c r="N172" s="115"/>
      <c r="O172" s="115"/>
      <c r="P172" s="115"/>
      <c r="Q172" s="115"/>
      <c r="R172" s="115">
        <f t="shared" si="39"/>
        <v>0</v>
      </c>
      <c r="S172" s="115"/>
      <c r="T172" s="115"/>
      <c r="U172" s="115"/>
      <c r="V172" s="115"/>
      <c r="W172" s="115"/>
      <c r="X172" s="149"/>
      <c r="Y172" s="115">
        <f t="shared" si="36"/>
        <v>291243.49</v>
      </c>
      <c r="Z172" s="187"/>
      <c r="AA172" s="53"/>
      <c r="AB172" s="53"/>
      <c r="AC172" s="53"/>
      <c r="AD172" s="53"/>
      <c r="AE172" s="79"/>
      <c r="AF172" s="79"/>
      <c r="AG172" s="79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  <c r="IK172" s="53"/>
      <c r="IL172" s="53"/>
      <c r="IM172" s="53"/>
      <c r="IN172" s="53"/>
      <c r="IO172" s="53"/>
      <c r="IP172" s="53"/>
      <c r="IQ172" s="53"/>
      <c r="IR172" s="53"/>
      <c r="IS172" s="53"/>
      <c r="IT172" s="53"/>
      <c r="IU172" s="53"/>
      <c r="IV172" s="53"/>
      <c r="IW172" s="53"/>
      <c r="IX172" s="53"/>
      <c r="IY172" s="53"/>
      <c r="IZ172" s="53"/>
      <c r="JA172" s="53"/>
      <c r="JB172" s="53"/>
      <c r="JC172" s="53"/>
      <c r="JD172" s="53"/>
      <c r="JE172" s="53"/>
      <c r="JF172" s="53"/>
      <c r="JG172" s="53"/>
      <c r="JH172" s="53"/>
      <c r="JI172" s="53"/>
      <c r="JJ172" s="53"/>
      <c r="JK172" s="53"/>
      <c r="JL172" s="53"/>
      <c r="JM172" s="53"/>
      <c r="JN172" s="53"/>
      <c r="JO172" s="53"/>
      <c r="JP172" s="53"/>
      <c r="JQ172" s="53"/>
      <c r="JR172" s="53"/>
      <c r="JS172" s="53"/>
      <c r="JT172" s="53"/>
      <c r="JU172" s="53"/>
      <c r="JV172" s="53"/>
      <c r="JW172" s="53"/>
      <c r="JX172" s="53"/>
      <c r="JY172" s="53"/>
      <c r="JZ172" s="53"/>
      <c r="KA172" s="53"/>
      <c r="KB172" s="53"/>
      <c r="KC172" s="53"/>
      <c r="KD172" s="53"/>
      <c r="KE172" s="53"/>
      <c r="KF172" s="53"/>
      <c r="KG172" s="53"/>
      <c r="KH172" s="53"/>
      <c r="KI172" s="53"/>
      <c r="KJ172" s="53"/>
      <c r="KK172" s="53"/>
      <c r="KL172" s="53"/>
      <c r="KM172" s="53"/>
      <c r="KN172" s="53"/>
      <c r="KO172" s="53"/>
      <c r="KP172" s="53"/>
      <c r="KQ172" s="53"/>
      <c r="KR172" s="53"/>
      <c r="KS172" s="53"/>
      <c r="KT172" s="53"/>
      <c r="KU172" s="53"/>
      <c r="KV172" s="53"/>
      <c r="KW172" s="53"/>
      <c r="KX172" s="53"/>
      <c r="KY172" s="53"/>
      <c r="KZ172" s="53"/>
      <c r="LA172" s="53"/>
      <c r="LB172" s="53"/>
      <c r="LC172" s="53"/>
      <c r="LD172" s="53"/>
      <c r="LE172" s="53"/>
      <c r="LF172" s="53"/>
      <c r="LG172" s="53"/>
      <c r="LH172" s="53"/>
      <c r="LI172" s="53"/>
      <c r="LJ172" s="53"/>
      <c r="LK172" s="53"/>
      <c r="LL172" s="53"/>
      <c r="LM172" s="53"/>
      <c r="LN172" s="53"/>
      <c r="LO172" s="53"/>
      <c r="LP172" s="53"/>
      <c r="LQ172" s="53"/>
      <c r="LR172" s="53"/>
      <c r="LS172" s="53"/>
      <c r="LT172" s="53"/>
      <c r="LU172" s="53"/>
      <c r="LV172" s="53"/>
      <c r="LW172" s="53"/>
      <c r="LX172" s="53"/>
      <c r="LY172" s="53"/>
      <c r="LZ172" s="53"/>
      <c r="MA172" s="53"/>
      <c r="MB172" s="53"/>
      <c r="MC172" s="53"/>
      <c r="MD172" s="53"/>
      <c r="ME172" s="53"/>
      <c r="MF172" s="53"/>
      <c r="MG172" s="53"/>
      <c r="MH172" s="53"/>
      <c r="MI172" s="53"/>
      <c r="MJ172" s="53"/>
      <c r="MK172" s="53"/>
      <c r="ML172" s="53"/>
      <c r="MM172" s="53"/>
      <c r="MN172" s="53"/>
      <c r="MO172" s="53"/>
      <c r="MP172" s="53"/>
      <c r="MQ172" s="53"/>
      <c r="MR172" s="53"/>
      <c r="MS172" s="53"/>
      <c r="MT172" s="53"/>
      <c r="MU172" s="53"/>
      <c r="MV172" s="53"/>
      <c r="MW172" s="53"/>
      <c r="MX172" s="53"/>
      <c r="MY172" s="53"/>
      <c r="MZ172" s="53"/>
      <c r="NA172" s="53"/>
      <c r="NB172" s="53"/>
      <c r="NC172" s="53"/>
      <c r="ND172" s="53"/>
      <c r="NE172" s="53"/>
      <c r="NF172" s="53"/>
      <c r="NG172" s="53"/>
      <c r="NH172" s="53"/>
      <c r="NI172" s="53"/>
      <c r="NJ172" s="53"/>
      <c r="NK172" s="53"/>
      <c r="NL172" s="53"/>
      <c r="NM172" s="53"/>
      <c r="NN172" s="53"/>
      <c r="NO172" s="53"/>
      <c r="NP172" s="53"/>
      <c r="NQ172" s="53"/>
      <c r="NR172" s="53"/>
      <c r="NS172" s="53"/>
      <c r="NT172" s="53"/>
      <c r="NU172" s="53"/>
      <c r="NV172" s="53"/>
      <c r="NW172" s="53"/>
      <c r="NX172" s="53"/>
      <c r="NY172" s="53"/>
      <c r="NZ172" s="53"/>
      <c r="OA172" s="53"/>
      <c r="OB172" s="53"/>
      <c r="OC172" s="53"/>
      <c r="OD172" s="53"/>
      <c r="OE172" s="53"/>
      <c r="OF172" s="53"/>
      <c r="OG172" s="53"/>
      <c r="OH172" s="53"/>
      <c r="OI172" s="53"/>
      <c r="OJ172" s="53"/>
      <c r="OK172" s="53"/>
      <c r="OL172" s="53"/>
      <c r="OM172" s="53"/>
      <c r="ON172" s="53"/>
      <c r="OO172" s="53"/>
      <c r="OP172" s="53"/>
      <c r="OQ172" s="53"/>
      <c r="OR172" s="53"/>
      <c r="OS172" s="53"/>
      <c r="OT172" s="53"/>
      <c r="OU172" s="53"/>
      <c r="OV172" s="53"/>
      <c r="OW172" s="53"/>
      <c r="OX172" s="53"/>
      <c r="OY172" s="53"/>
      <c r="OZ172" s="53"/>
      <c r="PA172" s="53"/>
      <c r="PB172" s="53"/>
      <c r="PC172" s="53"/>
      <c r="PD172" s="53"/>
      <c r="PE172" s="53"/>
      <c r="PF172" s="53"/>
      <c r="PG172" s="53"/>
      <c r="PH172" s="53"/>
      <c r="PI172" s="53"/>
      <c r="PJ172" s="53"/>
      <c r="PK172" s="53"/>
      <c r="PL172" s="53"/>
      <c r="PM172" s="53"/>
      <c r="PN172" s="53"/>
      <c r="PO172" s="53"/>
      <c r="PP172" s="53"/>
      <c r="PQ172" s="53"/>
      <c r="PR172" s="53"/>
      <c r="PS172" s="53"/>
      <c r="PT172" s="53"/>
      <c r="PU172" s="53"/>
      <c r="PV172" s="53"/>
      <c r="PW172" s="53"/>
      <c r="PX172" s="53"/>
      <c r="PY172" s="53"/>
      <c r="PZ172" s="53"/>
      <c r="QA172" s="53"/>
      <c r="QB172" s="53"/>
      <c r="QC172" s="53"/>
      <c r="QD172" s="53"/>
      <c r="QE172" s="53"/>
      <c r="QF172" s="53"/>
      <c r="QG172" s="53"/>
      <c r="QH172" s="53"/>
      <c r="QI172" s="53"/>
      <c r="QJ172" s="53"/>
      <c r="QK172" s="53"/>
      <c r="QL172" s="53"/>
      <c r="QM172" s="53"/>
      <c r="QN172" s="53"/>
      <c r="QO172" s="53"/>
      <c r="QP172" s="53"/>
      <c r="QQ172" s="53"/>
      <c r="QR172" s="53"/>
      <c r="QS172" s="53"/>
      <c r="QT172" s="53"/>
      <c r="QU172" s="53"/>
      <c r="QV172" s="53"/>
      <c r="QW172" s="53"/>
      <c r="QX172" s="53"/>
      <c r="QY172" s="53"/>
      <c r="QZ172" s="53"/>
      <c r="RA172" s="53"/>
      <c r="RB172" s="53"/>
      <c r="RC172" s="53"/>
      <c r="RD172" s="53"/>
      <c r="RE172" s="53"/>
      <c r="RF172" s="53"/>
      <c r="RG172" s="53"/>
      <c r="RH172" s="53"/>
      <c r="RI172" s="53"/>
      <c r="RJ172" s="53"/>
      <c r="RK172" s="53"/>
      <c r="RL172" s="53"/>
      <c r="RM172" s="53"/>
      <c r="RN172" s="53"/>
      <c r="RO172" s="53"/>
      <c r="RP172" s="53"/>
      <c r="RQ172" s="53"/>
      <c r="RR172" s="53"/>
      <c r="RS172" s="53"/>
      <c r="RT172" s="53"/>
      <c r="RU172" s="53"/>
      <c r="RV172" s="53"/>
      <c r="RW172" s="53"/>
      <c r="RX172" s="53"/>
      <c r="RY172" s="53"/>
      <c r="RZ172" s="53"/>
      <c r="SA172" s="53"/>
      <c r="SB172" s="53"/>
      <c r="SC172" s="53"/>
      <c r="SD172" s="53"/>
      <c r="SE172" s="53"/>
      <c r="SF172" s="53"/>
      <c r="SG172" s="53"/>
      <c r="SH172" s="53"/>
      <c r="SI172" s="53"/>
      <c r="SJ172" s="53"/>
      <c r="SK172" s="53"/>
      <c r="SL172" s="53"/>
      <c r="SM172" s="53"/>
      <c r="SN172" s="53"/>
      <c r="SO172" s="53"/>
      <c r="SP172" s="53"/>
      <c r="SQ172" s="53"/>
      <c r="SR172" s="53"/>
      <c r="SS172" s="53"/>
      <c r="ST172" s="53"/>
      <c r="SU172" s="53"/>
      <c r="SV172" s="53"/>
      <c r="SW172" s="53"/>
      <c r="SX172" s="53"/>
      <c r="SY172" s="53"/>
      <c r="SZ172" s="53"/>
      <c r="TA172" s="53"/>
      <c r="TB172" s="53"/>
      <c r="TC172" s="53"/>
      <c r="TD172" s="53"/>
      <c r="TE172" s="53"/>
      <c r="TF172" s="53"/>
      <c r="TG172" s="53"/>
      <c r="TH172" s="53"/>
      <c r="TI172" s="53"/>
      <c r="TJ172" s="53"/>
      <c r="TK172" s="53"/>
      <c r="TL172" s="53"/>
      <c r="TM172" s="53"/>
      <c r="TN172" s="53"/>
      <c r="TO172" s="53"/>
      <c r="TP172" s="53"/>
      <c r="TQ172" s="53"/>
      <c r="TR172" s="53"/>
      <c r="TS172" s="53"/>
      <c r="TT172" s="53"/>
      <c r="TU172" s="53"/>
      <c r="TV172" s="53"/>
      <c r="TW172" s="53"/>
      <c r="TX172" s="53"/>
      <c r="TY172" s="53"/>
      <c r="TZ172" s="53"/>
      <c r="UA172" s="53"/>
      <c r="UB172" s="53"/>
      <c r="UC172" s="53"/>
      <c r="UD172" s="53"/>
      <c r="UE172" s="53"/>
      <c r="UF172" s="53"/>
      <c r="UG172" s="53"/>
      <c r="UH172" s="53"/>
      <c r="UI172" s="53"/>
      <c r="UJ172" s="53"/>
      <c r="UK172" s="53"/>
      <c r="UL172" s="53"/>
      <c r="UM172" s="53"/>
      <c r="UN172" s="53"/>
      <c r="UO172" s="53"/>
      <c r="UP172" s="53"/>
      <c r="UQ172" s="53"/>
      <c r="UR172" s="53"/>
      <c r="US172" s="53"/>
      <c r="UT172" s="53"/>
      <c r="UU172" s="53"/>
      <c r="UV172" s="53"/>
      <c r="UW172" s="53"/>
      <c r="UX172" s="53"/>
      <c r="UY172" s="53"/>
      <c r="UZ172" s="53"/>
      <c r="VA172" s="53"/>
      <c r="VB172" s="53"/>
      <c r="VC172" s="53"/>
      <c r="VD172" s="53"/>
      <c r="VE172" s="53"/>
      <c r="VF172" s="53"/>
      <c r="VG172" s="53"/>
      <c r="VH172" s="53"/>
      <c r="VI172" s="53"/>
      <c r="VJ172" s="53"/>
      <c r="VK172" s="53"/>
      <c r="VL172" s="53"/>
    </row>
    <row r="173" spans="1:584" s="47" customFormat="1" ht="150.75" customHeight="1" x14ac:dyDescent="0.25">
      <c r="A173" s="49" t="s">
        <v>537</v>
      </c>
      <c r="B173" s="93" t="s">
        <v>535</v>
      </c>
      <c r="C173" s="93" t="s">
        <v>77</v>
      </c>
      <c r="D173" s="54" t="s">
        <v>536</v>
      </c>
      <c r="E173" s="115">
        <v>0</v>
      </c>
      <c r="F173" s="115"/>
      <c r="G173" s="115"/>
      <c r="H173" s="115"/>
      <c r="I173" s="115"/>
      <c r="J173" s="115"/>
      <c r="K173" s="135"/>
      <c r="L173" s="115">
        <f t="shared" si="37"/>
        <v>2556672.91</v>
      </c>
      <c r="M173" s="115">
        <f>1805663.23+751009.68</f>
        <v>2556672.91</v>
      </c>
      <c r="N173" s="115"/>
      <c r="O173" s="115"/>
      <c r="P173" s="115"/>
      <c r="Q173" s="115">
        <f>1805663.23+751009.68</f>
        <v>2556672.91</v>
      </c>
      <c r="R173" s="115">
        <f t="shared" si="39"/>
        <v>2273878.33</v>
      </c>
      <c r="S173" s="115">
        <v>2273878.33</v>
      </c>
      <c r="T173" s="115"/>
      <c r="U173" s="115"/>
      <c r="V173" s="115"/>
      <c r="W173" s="115">
        <v>2273878.33</v>
      </c>
      <c r="X173" s="166">
        <f t="shared" si="40"/>
        <v>88.938961300293983</v>
      </c>
      <c r="Y173" s="115">
        <f t="shared" si="36"/>
        <v>2273878.33</v>
      </c>
      <c r="Z173" s="187"/>
      <c r="AA173" s="53"/>
      <c r="AB173" s="53"/>
      <c r="AC173" s="53"/>
      <c r="AD173" s="53"/>
      <c r="AE173" s="79"/>
      <c r="AF173" s="79"/>
      <c r="AG173" s="79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  <c r="IK173" s="53"/>
      <c r="IL173" s="53"/>
      <c r="IM173" s="53"/>
      <c r="IN173" s="53"/>
      <c r="IO173" s="53"/>
      <c r="IP173" s="53"/>
      <c r="IQ173" s="53"/>
      <c r="IR173" s="53"/>
      <c r="IS173" s="53"/>
      <c r="IT173" s="53"/>
      <c r="IU173" s="53"/>
      <c r="IV173" s="53"/>
      <c r="IW173" s="53"/>
      <c r="IX173" s="53"/>
      <c r="IY173" s="53"/>
      <c r="IZ173" s="53"/>
      <c r="JA173" s="53"/>
      <c r="JB173" s="53"/>
      <c r="JC173" s="53"/>
      <c r="JD173" s="53"/>
      <c r="JE173" s="53"/>
      <c r="JF173" s="53"/>
      <c r="JG173" s="53"/>
      <c r="JH173" s="53"/>
      <c r="JI173" s="53"/>
      <c r="JJ173" s="53"/>
      <c r="JK173" s="53"/>
      <c r="JL173" s="53"/>
      <c r="JM173" s="53"/>
      <c r="JN173" s="53"/>
      <c r="JO173" s="53"/>
      <c r="JP173" s="53"/>
      <c r="JQ173" s="53"/>
      <c r="JR173" s="53"/>
      <c r="JS173" s="53"/>
      <c r="JT173" s="53"/>
      <c r="JU173" s="53"/>
      <c r="JV173" s="53"/>
      <c r="JW173" s="53"/>
      <c r="JX173" s="53"/>
      <c r="JY173" s="53"/>
      <c r="JZ173" s="53"/>
      <c r="KA173" s="53"/>
      <c r="KB173" s="53"/>
      <c r="KC173" s="53"/>
      <c r="KD173" s="53"/>
      <c r="KE173" s="53"/>
      <c r="KF173" s="53"/>
      <c r="KG173" s="53"/>
      <c r="KH173" s="53"/>
      <c r="KI173" s="53"/>
      <c r="KJ173" s="53"/>
      <c r="KK173" s="53"/>
      <c r="KL173" s="53"/>
      <c r="KM173" s="53"/>
      <c r="KN173" s="53"/>
      <c r="KO173" s="53"/>
      <c r="KP173" s="53"/>
      <c r="KQ173" s="53"/>
      <c r="KR173" s="53"/>
      <c r="KS173" s="53"/>
      <c r="KT173" s="53"/>
      <c r="KU173" s="53"/>
      <c r="KV173" s="53"/>
      <c r="KW173" s="53"/>
      <c r="KX173" s="53"/>
      <c r="KY173" s="53"/>
      <c r="KZ173" s="53"/>
      <c r="LA173" s="53"/>
      <c r="LB173" s="53"/>
      <c r="LC173" s="53"/>
      <c r="LD173" s="53"/>
      <c r="LE173" s="53"/>
      <c r="LF173" s="53"/>
      <c r="LG173" s="53"/>
      <c r="LH173" s="53"/>
      <c r="LI173" s="53"/>
      <c r="LJ173" s="53"/>
      <c r="LK173" s="53"/>
      <c r="LL173" s="53"/>
      <c r="LM173" s="53"/>
      <c r="LN173" s="53"/>
      <c r="LO173" s="53"/>
      <c r="LP173" s="53"/>
      <c r="LQ173" s="53"/>
      <c r="LR173" s="53"/>
      <c r="LS173" s="53"/>
      <c r="LT173" s="53"/>
      <c r="LU173" s="53"/>
      <c r="LV173" s="53"/>
      <c r="LW173" s="53"/>
      <c r="LX173" s="53"/>
      <c r="LY173" s="53"/>
      <c r="LZ173" s="53"/>
      <c r="MA173" s="53"/>
      <c r="MB173" s="53"/>
      <c r="MC173" s="53"/>
      <c r="MD173" s="53"/>
      <c r="ME173" s="53"/>
      <c r="MF173" s="53"/>
      <c r="MG173" s="53"/>
      <c r="MH173" s="53"/>
      <c r="MI173" s="53"/>
      <c r="MJ173" s="53"/>
      <c r="MK173" s="53"/>
      <c r="ML173" s="53"/>
      <c r="MM173" s="53"/>
      <c r="MN173" s="53"/>
      <c r="MO173" s="53"/>
      <c r="MP173" s="53"/>
      <c r="MQ173" s="53"/>
      <c r="MR173" s="53"/>
      <c r="MS173" s="53"/>
      <c r="MT173" s="53"/>
      <c r="MU173" s="53"/>
      <c r="MV173" s="53"/>
      <c r="MW173" s="53"/>
      <c r="MX173" s="53"/>
      <c r="MY173" s="53"/>
      <c r="MZ173" s="53"/>
      <c r="NA173" s="53"/>
      <c r="NB173" s="53"/>
      <c r="NC173" s="53"/>
      <c r="ND173" s="53"/>
      <c r="NE173" s="53"/>
      <c r="NF173" s="53"/>
      <c r="NG173" s="53"/>
      <c r="NH173" s="53"/>
      <c r="NI173" s="53"/>
      <c r="NJ173" s="53"/>
      <c r="NK173" s="53"/>
      <c r="NL173" s="53"/>
      <c r="NM173" s="53"/>
      <c r="NN173" s="53"/>
      <c r="NO173" s="53"/>
      <c r="NP173" s="53"/>
      <c r="NQ173" s="53"/>
      <c r="NR173" s="53"/>
      <c r="NS173" s="53"/>
      <c r="NT173" s="53"/>
      <c r="NU173" s="53"/>
      <c r="NV173" s="53"/>
      <c r="NW173" s="53"/>
      <c r="NX173" s="53"/>
      <c r="NY173" s="53"/>
      <c r="NZ173" s="53"/>
      <c r="OA173" s="53"/>
      <c r="OB173" s="53"/>
      <c r="OC173" s="53"/>
      <c r="OD173" s="53"/>
      <c r="OE173" s="53"/>
      <c r="OF173" s="53"/>
      <c r="OG173" s="53"/>
      <c r="OH173" s="53"/>
      <c r="OI173" s="53"/>
      <c r="OJ173" s="53"/>
      <c r="OK173" s="53"/>
      <c r="OL173" s="53"/>
      <c r="OM173" s="53"/>
      <c r="ON173" s="53"/>
      <c r="OO173" s="53"/>
      <c r="OP173" s="53"/>
      <c r="OQ173" s="53"/>
      <c r="OR173" s="53"/>
      <c r="OS173" s="53"/>
      <c r="OT173" s="53"/>
      <c r="OU173" s="53"/>
      <c r="OV173" s="53"/>
      <c r="OW173" s="53"/>
      <c r="OX173" s="53"/>
      <c r="OY173" s="53"/>
      <c r="OZ173" s="53"/>
      <c r="PA173" s="53"/>
      <c r="PB173" s="53"/>
      <c r="PC173" s="53"/>
      <c r="PD173" s="53"/>
      <c r="PE173" s="53"/>
      <c r="PF173" s="53"/>
      <c r="PG173" s="53"/>
      <c r="PH173" s="53"/>
      <c r="PI173" s="53"/>
      <c r="PJ173" s="53"/>
      <c r="PK173" s="53"/>
      <c r="PL173" s="53"/>
      <c r="PM173" s="53"/>
      <c r="PN173" s="53"/>
      <c r="PO173" s="53"/>
      <c r="PP173" s="53"/>
      <c r="PQ173" s="53"/>
      <c r="PR173" s="53"/>
      <c r="PS173" s="53"/>
      <c r="PT173" s="53"/>
      <c r="PU173" s="53"/>
      <c r="PV173" s="53"/>
      <c r="PW173" s="53"/>
      <c r="PX173" s="53"/>
      <c r="PY173" s="53"/>
      <c r="PZ173" s="53"/>
      <c r="QA173" s="53"/>
      <c r="QB173" s="53"/>
      <c r="QC173" s="53"/>
      <c r="QD173" s="53"/>
      <c r="QE173" s="53"/>
      <c r="QF173" s="53"/>
      <c r="QG173" s="53"/>
      <c r="QH173" s="53"/>
      <c r="QI173" s="53"/>
      <c r="QJ173" s="53"/>
      <c r="QK173" s="53"/>
      <c r="QL173" s="53"/>
      <c r="QM173" s="53"/>
      <c r="QN173" s="53"/>
      <c r="QO173" s="53"/>
      <c r="QP173" s="53"/>
      <c r="QQ173" s="53"/>
      <c r="QR173" s="53"/>
      <c r="QS173" s="53"/>
      <c r="QT173" s="53"/>
      <c r="QU173" s="53"/>
      <c r="QV173" s="53"/>
      <c r="QW173" s="53"/>
      <c r="QX173" s="53"/>
      <c r="QY173" s="53"/>
      <c r="QZ173" s="53"/>
      <c r="RA173" s="53"/>
      <c r="RB173" s="53"/>
      <c r="RC173" s="53"/>
      <c r="RD173" s="53"/>
      <c r="RE173" s="53"/>
      <c r="RF173" s="53"/>
      <c r="RG173" s="53"/>
      <c r="RH173" s="53"/>
      <c r="RI173" s="53"/>
      <c r="RJ173" s="53"/>
      <c r="RK173" s="53"/>
      <c r="RL173" s="53"/>
      <c r="RM173" s="53"/>
      <c r="RN173" s="53"/>
      <c r="RO173" s="53"/>
      <c r="RP173" s="53"/>
      <c r="RQ173" s="53"/>
      <c r="RR173" s="53"/>
      <c r="RS173" s="53"/>
      <c r="RT173" s="53"/>
      <c r="RU173" s="53"/>
      <c r="RV173" s="53"/>
      <c r="RW173" s="53"/>
      <c r="RX173" s="53"/>
      <c r="RY173" s="53"/>
      <c r="RZ173" s="53"/>
      <c r="SA173" s="53"/>
      <c r="SB173" s="53"/>
      <c r="SC173" s="53"/>
      <c r="SD173" s="53"/>
      <c r="SE173" s="53"/>
      <c r="SF173" s="53"/>
      <c r="SG173" s="53"/>
      <c r="SH173" s="53"/>
      <c r="SI173" s="53"/>
      <c r="SJ173" s="53"/>
      <c r="SK173" s="53"/>
      <c r="SL173" s="53"/>
      <c r="SM173" s="53"/>
      <c r="SN173" s="53"/>
      <c r="SO173" s="53"/>
      <c r="SP173" s="53"/>
      <c r="SQ173" s="53"/>
      <c r="SR173" s="53"/>
      <c r="SS173" s="53"/>
      <c r="ST173" s="53"/>
      <c r="SU173" s="53"/>
      <c r="SV173" s="53"/>
      <c r="SW173" s="53"/>
      <c r="SX173" s="53"/>
      <c r="SY173" s="53"/>
      <c r="SZ173" s="53"/>
      <c r="TA173" s="53"/>
      <c r="TB173" s="53"/>
      <c r="TC173" s="53"/>
      <c r="TD173" s="53"/>
      <c r="TE173" s="53"/>
      <c r="TF173" s="53"/>
      <c r="TG173" s="53"/>
      <c r="TH173" s="53"/>
      <c r="TI173" s="53"/>
      <c r="TJ173" s="53"/>
      <c r="TK173" s="53"/>
      <c r="TL173" s="53"/>
      <c r="TM173" s="53"/>
      <c r="TN173" s="53"/>
      <c r="TO173" s="53"/>
      <c r="TP173" s="53"/>
      <c r="TQ173" s="53"/>
      <c r="TR173" s="53"/>
      <c r="TS173" s="53"/>
      <c r="TT173" s="53"/>
      <c r="TU173" s="53"/>
      <c r="TV173" s="53"/>
      <c r="TW173" s="53"/>
      <c r="TX173" s="53"/>
      <c r="TY173" s="53"/>
      <c r="TZ173" s="53"/>
      <c r="UA173" s="53"/>
      <c r="UB173" s="53"/>
      <c r="UC173" s="53"/>
      <c r="UD173" s="53"/>
      <c r="UE173" s="53"/>
      <c r="UF173" s="53"/>
      <c r="UG173" s="53"/>
      <c r="UH173" s="53"/>
      <c r="UI173" s="53"/>
      <c r="UJ173" s="53"/>
      <c r="UK173" s="53"/>
      <c r="UL173" s="53"/>
      <c r="UM173" s="53"/>
      <c r="UN173" s="53"/>
      <c r="UO173" s="53"/>
      <c r="UP173" s="53"/>
      <c r="UQ173" s="53"/>
      <c r="UR173" s="53"/>
      <c r="US173" s="53"/>
      <c r="UT173" s="53"/>
      <c r="UU173" s="53"/>
      <c r="UV173" s="53"/>
      <c r="UW173" s="53"/>
      <c r="UX173" s="53"/>
      <c r="UY173" s="53"/>
      <c r="UZ173" s="53"/>
      <c r="VA173" s="53"/>
      <c r="VB173" s="53"/>
      <c r="VC173" s="53"/>
      <c r="VD173" s="53"/>
      <c r="VE173" s="53"/>
      <c r="VF173" s="53"/>
      <c r="VG173" s="53"/>
      <c r="VH173" s="53"/>
      <c r="VI173" s="53"/>
      <c r="VJ173" s="53"/>
      <c r="VK173" s="53"/>
      <c r="VL173" s="53"/>
    </row>
    <row r="174" spans="1:584" s="47" customFormat="1" ht="20.25" customHeight="1" x14ac:dyDescent="0.25">
      <c r="A174" s="49"/>
      <c r="B174" s="93"/>
      <c r="C174" s="93"/>
      <c r="D174" s="46" t="str">
        <f>'дод 3'!C119</f>
        <v>у т.ч. за рахунок субвенцій з держбюджету</v>
      </c>
      <c r="E174" s="115">
        <v>0</v>
      </c>
      <c r="F174" s="115"/>
      <c r="G174" s="115"/>
      <c r="H174" s="115"/>
      <c r="I174" s="115"/>
      <c r="J174" s="115"/>
      <c r="K174" s="135"/>
      <c r="L174" s="115">
        <f t="shared" si="37"/>
        <v>2556672.91</v>
      </c>
      <c r="M174" s="115">
        <f>1805663.23+751009.68</f>
        <v>2556672.91</v>
      </c>
      <c r="N174" s="115"/>
      <c r="O174" s="115"/>
      <c r="P174" s="115"/>
      <c r="Q174" s="115">
        <f>1805663.23+751009.68</f>
        <v>2556672.91</v>
      </c>
      <c r="R174" s="115">
        <f t="shared" si="39"/>
        <v>2273878.33</v>
      </c>
      <c r="S174" s="115">
        <v>2273878.33</v>
      </c>
      <c r="T174" s="115"/>
      <c r="U174" s="115"/>
      <c r="V174" s="115"/>
      <c r="W174" s="115">
        <v>2273878.33</v>
      </c>
      <c r="X174" s="166">
        <f t="shared" si="40"/>
        <v>88.938961300293983</v>
      </c>
      <c r="Y174" s="115">
        <f t="shared" si="36"/>
        <v>2273878.33</v>
      </c>
      <c r="Z174" s="187"/>
      <c r="AA174" s="53"/>
      <c r="AB174" s="53"/>
      <c r="AC174" s="53"/>
      <c r="AD174" s="53"/>
      <c r="AE174" s="79"/>
      <c r="AF174" s="79"/>
      <c r="AG174" s="79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  <c r="IH174" s="53"/>
      <c r="II174" s="53"/>
      <c r="IJ174" s="53"/>
      <c r="IK174" s="53"/>
      <c r="IL174" s="53"/>
      <c r="IM174" s="53"/>
      <c r="IN174" s="53"/>
      <c r="IO174" s="53"/>
      <c r="IP174" s="53"/>
      <c r="IQ174" s="53"/>
      <c r="IR174" s="53"/>
      <c r="IS174" s="53"/>
      <c r="IT174" s="53"/>
      <c r="IU174" s="53"/>
      <c r="IV174" s="53"/>
      <c r="IW174" s="53"/>
      <c r="IX174" s="53"/>
      <c r="IY174" s="53"/>
      <c r="IZ174" s="53"/>
      <c r="JA174" s="53"/>
      <c r="JB174" s="53"/>
      <c r="JC174" s="53"/>
      <c r="JD174" s="53"/>
      <c r="JE174" s="53"/>
      <c r="JF174" s="53"/>
      <c r="JG174" s="53"/>
      <c r="JH174" s="53"/>
      <c r="JI174" s="53"/>
      <c r="JJ174" s="53"/>
      <c r="JK174" s="53"/>
      <c r="JL174" s="53"/>
      <c r="JM174" s="53"/>
      <c r="JN174" s="53"/>
      <c r="JO174" s="53"/>
      <c r="JP174" s="53"/>
      <c r="JQ174" s="53"/>
      <c r="JR174" s="53"/>
      <c r="JS174" s="53"/>
      <c r="JT174" s="53"/>
      <c r="JU174" s="53"/>
      <c r="JV174" s="53"/>
      <c r="JW174" s="53"/>
      <c r="JX174" s="53"/>
      <c r="JY174" s="53"/>
      <c r="JZ174" s="53"/>
      <c r="KA174" s="53"/>
      <c r="KB174" s="53"/>
      <c r="KC174" s="53"/>
      <c r="KD174" s="53"/>
      <c r="KE174" s="53"/>
      <c r="KF174" s="53"/>
      <c r="KG174" s="53"/>
      <c r="KH174" s="53"/>
      <c r="KI174" s="53"/>
      <c r="KJ174" s="53"/>
      <c r="KK174" s="53"/>
      <c r="KL174" s="53"/>
      <c r="KM174" s="53"/>
      <c r="KN174" s="53"/>
      <c r="KO174" s="53"/>
      <c r="KP174" s="53"/>
      <c r="KQ174" s="53"/>
      <c r="KR174" s="53"/>
      <c r="KS174" s="53"/>
      <c r="KT174" s="53"/>
      <c r="KU174" s="53"/>
      <c r="KV174" s="53"/>
      <c r="KW174" s="53"/>
      <c r="KX174" s="53"/>
      <c r="KY174" s="53"/>
      <c r="KZ174" s="53"/>
      <c r="LA174" s="53"/>
      <c r="LB174" s="53"/>
      <c r="LC174" s="53"/>
      <c r="LD174" s="53"/>
      <c r="LE174" s="53"/>
      <c r="LF174" s="53"/>
      <c r="LG174" s="53"/>
      <c r="LH174" s="53"/>
      <c r="LI174" s="53"/>
      <c r="LJ174" s="53"/>
      <c r="LK174" s="53"/>
      <c r="LL174" s="53"/>
      <c r="LM174" s="53"/>
      <c r="LN174" s="53"/>
      <c r="LO174" s="53"/>
      <c r="LP174" s="53"/>
      <c r="LQ174" s="53"/>
      <c r="LR174" s="53"/>
      <c r="LS174" s="53"/>
      <c r="LT174" s="53"/>
      <c r="LU174" s="53"/>
      <c r="LV174" s="53"/>
      <c r="LW174" s="53"/>
      <c r="LX174" s="53"/>
      <c r="LY174" s="53"/>
      <c r="LZ174" s="53"/>
      <c r="MA174" s="53"/>
      <c r="MB174" s="53"/>
      <c r="MC174" s="53"/>
      <c r="MD174" s="53"/>
      <c r="ME174" s="53"/>
      <c r="MF174" s="53"/>
      <c r="MG174" s="53"/>
      <c r="MH174" s="53"/>
      <c r="MI174" s="53"/>
      <c r="MJ174" s="53"/>
      <c r="MK174" s="53"/>
      <c r="ML174" s="53"/>
      <c r="MM174" s="53"/>
      <c r="MN174" s="53"/>
      <c r="MO174" s="53"/>
      <c r="MP174" s="53"/>
      <c r="MQ174" s="53"/>
      <c r="MR174" s="53"/>
      <c r="MS174" s="53"/>
      <c r="MT174" s="53"/>
      <c r="MU174" s="53"/>
      <c r="MV174" s="53"/>
      <c r="MW174" s="53"/>
      <c r="MX174" s="53"/>
      <c r="MY174" s="53"/>
      <c r="MZ174" s="53"/>
      <c r="NA174" s="53"/>
      <c r="NB174" s="53"/>
      <c r="NC174" s="53"/>
      <c r="ND174" s="53"/>
      <c r="NE174" s="53"/>
      <c r="NF174" s="53"/>
      <c r="NG174" s="53"/>
      <c r="NH174" s="53"/>
      <c r="NI174" s="53"/>
      <c r="NJ174" s="53"/>
      <c r="NK174" s="53"/>
      <c r="NL174" s="53"/>
      <c r="NM174" s="53"/>
      <c r="NN174" s="53"/>
      <c r="NO174" s="53"/>
      <c r="NP174" s="53"/>
      <c r="NQ174" s="53"/>
      <c r="NR174" s="53"/>
      <c r="NS174" s="53"/>
      <c r="NT174" s="53"/>
      <c r="NU174" s="53"/>
      <c r="NV174" s="53"/>
      <c r="NW174" s="53"/>
      <c r="NX174" s="53"/>
      <c r="NY174" s="53"/>
      <c r="NZ174" s="53"/>
      <c r="OA174" s="53"/>
      <c r="OB174" s="53"/>
      <c r="OC174" s="53"/>
      <c r="OD174" s="53"/>
      <c r="OE174" s="53"/>
      <c r="OF174" s="53"/>
      <c r="OG174" s="53"/>
      <c r="OH174" s="53"/>
      <c r="OI174" s="53"/>
      <c r="OJ174" s="53"/>
      <c r="OK174" s="53"/>
      <c r="OL174" s="53"/>
      <c r="OM174" s="53"/>
      <c r="ON174" s="53"/>
      <c r="OO174" s="53"/>
      <c r="OP174" s="53"/>
      <c r="OQ174" s="53"/>
      <c r="OR174" s="53"/>
      <c r="OS174" s="53"/>
      <c r="OT174" s="53"/>
      <c r="OU174" s="53"/>
      <c r="OV174" s="53"/>
      <c r="OW174" s="53"/>
      <c r="OX174" s="53"/>
      <c r="OY174" s="53"/>
      <c r="OZ174" s="53"/>
      <c r="PA174" s="53"/>
      <c r="PB174" s="53"/>
      <c r="PC174" s="53"/>
      <c r="PD174" s="53"/>
      <c r="PE174" s="53"/>
      <c r="PF174" s="53"/>
      <c r="PG174" s="53"/>
      <c r="PH174" s="53"/>
      <c r="PI174" s="53"/>
      <c r="PJ174" s="53"/>
      <c r="PK174" s="53"/>
      <c r="PL174" s="53"/>
      <c r="PM174" s="53"/>
      <c r="PN174" s="53"/>
      <c r="PO174" s="53"/>
      <c r="PP174" s="53"/>
      <c r="PQ174" s="53"/>
      <c r="PR174" s="53"/>
      <c r="PS174" s="53"/>
      <c r="PT174" s="53"/>
      <c r="PU174" s="53"/>
      <c r="PV174" s="53"/>
      <c r="PW174" s="53"/>
      <c r="PX174" s="53"/>
      <c r="PY174" s="53"/>
      <c r="PZ174" s="53"/>
      <c r="QA174" s="53"/>
      <c r="QB174" s="53"/>
      <c r="QC174" s="53"/>
      <c r="QD174" s="53"/>
      <c r="QE174" s="53"/>
      <c r="QF174" s="53"/>
      <c r="QG174" s="53"/>
      <c r="QH174" s="53"/>
      <c r="QI174" s="53"/>
      <c r="QJ174" s="53"/>
      <c r="QK174" s="53"/>
      <c r="QL174" s="53"/>
      <c r="QM174" s="53"/>
      <c r="QN174" s="53"/>
      <c r="QO174" s="53"/>
      <c r="QP174" s="53"/>
      <c r="QQ174" s="53"/>
      <c r="QR174" s="53"/>
      <c r="QS174" s="53"/>
      <c r="QT174" s="53"/>
      <c r="QU174" s="53"/>
      <c r="QV174" s="53"/>
      <c r="QW174" s="53"/>
      <c r="QX174" s="53"/>
      <c r="QY174" s="53"/>
      <c r="QZ174" s="53"/>
      <c r="RA174" s="53"/>
      <c r="RB174" s="53"/>
      <c r="RC174" s="53"/>
      <c r="RD174" s="53"/>
      <c r="RE174" s="53"/>
      <c r="RF174" s="53"/>
      <c r="RG174" s="53"/>
      <c r="RH174" s="53"/>
      <c r="RI174" s="53"/>
      <c r="RJ174" s="53"/>
      <c r="RK174" s="53"/>
      <c r="RL174" s="53"/>
      <c r="RM174" s="53"/>
      <c r="RN174" s="53"/>
      <c r="RO174" s="53"/>
      <c r="RP174" s="53"/>
      <c r="RQ174" s="53"/>
      <c r="RR174" s="53"/>
      <c r="RS174" s="53"/>
      <c r="RT174" s="53"/>
      <c r="RU174" s="53"/>
      <c r="RV174" s="53"/>
      <c r="RW174" s="53"/>
      <c r="RX174" s="53"/>
      <c r="RY174" s="53"/>
      <c r="RZ174" s="53"/>
      <c r="SA174" s="53"/>
      <c r="SB174" s="53"/>
      <c r="SC174" s="53"/>
      <c r="SD174" s="53"/>
      <c r="SE174" s="53"/>
      <c r="SF174" s="53"/>
      <c r="SG174" s="53"/>
      <c r="SH174" s="53"/>
      <c r="SI174" s="53"/>
      <c r="SJ174" s="53"/>
      <c r="SK174" s="53"/>
      <c r="SL174" s="53"/>
      <c r="SM174" s="53"/>
      <c r="SN174" s="53"/>
      <c r="SO174" s="53"/>
      <c r="SP174" s="53"/>
      <c r="SQ174" s="53"/>
      <c r="SR174" s="53"/>
      <c r="SS174" s="53"/>
      <c r="ST174" s="53"/>
      <c r="SU174" s="53"/>
      <c r="SV174" s="53"/>
      <c r="SW174" s="53"/>
      <c r="SX174" s="53"/>
      <c r="SY174" s="53"/>
      <c r="SZ174" s="53"/>
      <c r="TA174" s="53"/>
      <c r="TB174" s="53"/>
      <c r="TC174" s="53"/>
      <c r="TD174" s="53"/>
      <c r="TE174" s="53"/>
      <c r="TF174" s="53"/>
      <c r="TG174" s="53"/>
      <c r="TH174" s="53"/>
      <c r="TI174" s="53"/>
      <c r="TJ174" s="53"/>
      <c r="TK174" s="53"/>
      <c r="TL174" s="53"/>
      <c r="TM174" s="53"/>
      <c r="TN174" s="53"/>
      <c r="TO174" s="53"/>
      <c r="TP174" s="53"/>
      <c r="TQ174" s="53"/>
      <c r="TR174" s="53"/>
      <c r="TS174" s="53"/>
      <c r="TT174" s="53"/>
      <c r="TU174" s="53"/>
      <c r="TV174" s="53"/>
      <c r="TW174" s="53"/>
      <c r="TX174" s="53"/>
      <c r="TY174" s="53"/>
      <c r="TZ174" s="53"/>
      <c r="UA174" s="53"/>
      <c r="UB174" s="53"/>
      <c r="UC174" s="53"/>
      <c r="UD174" s="53"/>
      <c r="UE174" s="53"/>
      <c r="UF174" s="53"/>
      <c r="UG174" s="53"/>
      <c r="UH174" s="53"/>
      <c r="UI174" s="53"/>
      <c r="UJ174" s="53"/>
      <c r="UK174" s="53"/>
      <c r="UL174" s="53"/>
      <c r="UM174" s="53"/>
      <c r="UN174" s="53"/>
      <c r="UO174" s="53"/>
      <c r="UP174" s="53"/>
      <c r="UQ174" s="53"/>
      <c r="UR174" s="53"/>
      <c r="US174" s="53"/>
      <c r="UT174" s="53"/>
      <c r="UU174" s="53"/>
      <c r="UV174" s="53"/>
      <c r="UW174" s="53"/>
      <c r="UX174" s="53"/>
      <c r="UY174" s="53"/>
      <c r="UZ174" s="53"/>
      <c r="VA174" s="53"/>
      <c r="VB174" s="53"/>
      <c r="VC174" s="53"/>
      <c r="VD174" s="53"/>
      <c r="VE174" s="53"/>
      <c r="VF174" s="53"/>
      <c r="VG174" s="53"/>
      <c r="VH174" s="53"/>
      <c r="VI174" s="53"/>
      <c r="VJ174" s="53"/>
      <c r="VK174" s="53"/>
      <c r="VL174" s="53"/>
    </row>
    <row r="175" spans="1:584" s="47" customFormat="1" ht="182.25" customHeight="1" x14ac:dyDescent="0.25">
      <c r="A175" s="49" t="s">
        <v>539</v>
      </c>
      <c r="B175" s="93" t="s">
        <v>542</v>
      </c>
      <c r="C175" s="93" t="s">
        <v>77</v>
      </c>
      <c r="D175" s="54" t="s">
        <v>541</v>
      </c>
      <c r="E175" s="115">
        <v>0</v>
      </c>
      <c r="F175" s="115"/>
      <c r="G175" s="115"/>
      <c r="H175" s="115"/>
      <c r="I175" s="115"/>
      <c r="J175" s="115"/>
      <c r="K175" s="135"/>
      <c r="L175" s="115">
        <f t="shared" si="37"/>
        <v>1512988</v>
      </c>
      <c r="M175" s="115"/>
      <c r="N175" s="115"/>
      <c r="O175" s="115"/>
      <c r="P175" s="115"/>
      <c r="Q175" s="115">
        <v>1512988</v>
      </c>
      <c r="R175" s="115">
        <f t="shared" si="39"/>
        <v>1512987.27</v>
      </c>
      <c r="S175" s="115"/>
      <c r="T175" s="115"/>
      <c r="U175" s="115"/>
      <c r="V175" s="115"/>
      <c r="W175" s="115">
        <v>1512987.27</v>
      </c>
      <c r="X175" s="166">
        <f t="shared" si="40"/>
        <v>99.999951751104447</v>
      </c>
      <c r="Y175" s="115">
        <f t="shared" si="36"/>
        <v>1512987.27</v>
      </c>
      <c r="Z175" s="187"/>
      <c r="AA175" s="53"/>
      <c r="AB175" s="53"/>
      <c r="AC175" s="53"/>
      <c r="AD175" s="53"/>
      <c r="AE175" s="79"/>
      <c r="AF175" s="79"/>
      <c r="AG175" s="79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  <c r="IH175" s="53"/>
      <c r="II175" s="53"/>
      <c r="IJ175" s="53"/>
      <c r="IK175" s="53"/>
      <c r="IL175" s="53"/>
      <c r="IM175" s="53"/>
      <c r="IN175" s="53"/>
      <c r="IO175" s="53"/>
      <c r="IP175" s="53"/>
      <c r="IQ175" s="53"/>
      <c r="IR175" s="53"/>
      <c r="IS175" s="53"/>
      <c r="IT175" s="53"/>
      <c r="IU175" s="53"/>
      <c r="IV175" s="53"/>
      <c r="IW175" s="53"/>
      <c r="IX175" s="53"/>
      <c r="IY175" s="53"/>
      <c r="IZ175" s="53"/>
      <c r="JA175" s="53"/>
      <c r="JB175" s="53"/>
      <c r="JC175" s="53"/>
      <c r="JD175" s="53"/>
      <c r="JE175" s="53"/>
      <c r="JF175" s="53"/>
      <c r="JG175" s="53"/>
      <c r="JH175" s="53"/>
      <c r="JI175" s="53"/>
      <c r="JJ175" s="53"/>
      <c r="JK175" s="53"/>
      <c r="JL175" s="53"/>
      <c r="JM175" s="53"/>
      <c r="JN175" s="53"/>
      <c r="JO175" s="53"/>
      <c r="JP175" s="53"/>
      <c r="JQ175" s="53"/>
      <c r="JR175" s="53"/>
      <c r="JS175" s="53"/>
      <c r="JT175" s="53"/>
      <c r="JU175" s="53"/>
      <c r="JV175" s="53"/>
      <c r="JW175" s="53"/>
      <c r="JX175" s="53"/>
      <c r="JY175" s="53"/>
      <c r="JZ175" s="53"/>
      <c r="KA175" s="53"/>
      <c r="KB175" s="53"/>
      <c r="KC175" s="53"/>
      <c r="KD175" s="53"/>
      <c r="KE175" s="53"/>
      <c r="KF175" s="53"/>
      <c r="KG175" s="53"/>
      <c r="KH175" s="53"/>
      <c r="KI175" s="53"/>
      <c r="KJ175" s="53"/>
      <c r="KK175" s="53"/>
      <c r="KL175" s="53"/>
      <c r="KM175" s="53"/>
      <c r="KN175" s="53"/>
      <c r="KO175" s="53"/>
      <c r="KP175" s="53"/>
      <c r="KQ175" s="53"/>
      <c r="KR175" s="53"/>
      <c r="KS175" s="53"/>
      <c r="KT175" s="53"/>
      <c r="KU175" s="53"/>
      <c r="KV175" s="53"/>
      <c r="KW175" s="53"/>
      <c r="KX175" s="53"/>
      <c r="KY175" s="53"/>
      <c r="KZ175" s="53"/>
      <c r="LA175" s="53"/>
      <c r="LB175" s="53"/>
      <c r="LC175" s="53"/>
      <c r="LD175" s="53"/>
      <c r="LE175" s="53"/>
      <c r="LF175" s="53"/>
      <c r="LG175" s="53"/>
      <c r="LH175" s="53"/>
      <c r="LI175" s="53"/>
      <c r="LJ175" s="53"/>
      <c r="LK175" s="53"/>
      <c r="LL175" s="53"/>
      <c r="LM175" s="53"/>
      <c r="LN175" s="53"/>
      <c r="LO175" s="53"/>
      <c r="LP175" s="53"/>
      <c r="LQ175" s="53"/>
      <c r="LR175" s="53"/>
      <c r="LS175" s="53"/>
      <c r="LT175" s="53"/>
      <c r="LU175" s="53"/>
      <c r="LV175" s="53"/>
      <c r="LW175" s="53"/>
      <c r="LX175" s="53"/>
      <c r="LY175" s="53"/>
      <c r="LZ175" s="53"/>
      <c r="MA175" s="53"/>
      <c r="MB175" s="53"/>
      <c r="MC175" s="53"/>
      <c r="MD175" s="53"/>
      <c r="ME175" s="53"/>
      <c r="MF175" s="53"/>
      <c r="MG175" s="53"/>
      <c r="MH175" s="53"/>
      <c r="MI175" s="53"/>
      <c r="MJ175" s="53"/>
      <c r="MK175" s="53"/>
      <c r="ML175" s="53"/>
      <c r="MM175" s="53"/>
      <c r="MN175" s="53"/>
      <c r="MO175" s="53"/>
      <c r="MP175" s="53"/>
      <c r="MQ175" s="53"/>
      <c r="MR175" s="53"/>
      <c r="MS175" s="53"/>
      <c r="MT175" s="53"/>
      <c r="MU175" s="53"/>
      <c r="MV175" s="53"/>
      <c r="MW175" s="53"/>
      <c r="MX175" s="53"/>
      <c r="MY175" s="53"/>
      <c r="MZ175" s="53"/>
      <c r="NA175" s="53"/>
      <c r="NB175" s="53"/>
      <c r="NC175" s="53"/>
      <c r="ND175" s="53"/>
      <c r="NE175" s="53"/>
      <c r="NF175" s="53"/>
      <c r="NG175" s="53"/>
      <c r="NH175" s="53"/>
      <c r="NI175" s="53"/>
      <c r="NJ175" s="53"/>
      <c r="NK175" s="53"/>
      <c r="NL175" s="53"/>
      <c r="NM175" s="53"/>
      <c r="NN175" s="53"/>
      <c r="NO175" s="53"/>
      <c r="NP175" s="53"/>
      <c r="NQ175" s="53"/>
      <c r="NR175" s="53"/>
      <c r="NS175" s="53"/>
      <c r="NT175" s="53"/>
      <c r="NU175" s="53"/>
      <c r="NV175" s="53"/>
      <c r="NW175" s="53"/>
      <c r="NX175" s="53"/>
      <c r="NY175" s="53"/>
      <c r="NZ175" s="53"/>
      <c r="OA175" s="53"/>
      <c r="OB175" s="53"/>
      <c r="OC175" s="53"/>
      <c r="OD175" s="53"/>
      <c r="OE175" s="53"/>
      <c r="OF175" s="53"/>
      <c r="OG175" s="53"/>
      <c r="OH175" s="53"/>
      <c r="OI175" s="53"/>
      <c r="OJ175" s="53"/>
      <c r="OK175" s="53"/>
      <c r="OL175" s="53"/>
      <c r="OM175" s="53"/>
      <c r="ON175" s="53"/>
      <c r="OO175" s="53"/>
      <c r="OP175" s="53"/>
      <c r="OQ175" s="53"/>
      <c r="OR175" s="53"/>
      <c r="OS175" s="53"/>
      <c r="OT175" s="53"/>
      <c r="OU175" s="53"/>
      <c r="OV175" s="53"/>
      <c r="OW175" s="53"/>
      <c r="OX175" s="53"/>
      <c r="OY175" s="53"/>
      <c r="OZ175" s="53"/>
      <c r="PA175" s="53"/>
      <c r="PB175" s="53"/>
      <c r="PC175" s="53"/>
      <c r="PD175" s="53"/>
      <c r="PE175" s="53"/>
      <c r="PF175" s="53"/>
      <c r="PG175" s="53"/>
      <c r="PH175" s="53"/>
      <c r="PI175" s="53"/>
      <c r="PJ175" s="53"/>
      <c r="PK175" s="53"/>
      <c r="PL175" s="53"/>
      <c r="PM175" s="53"/>
      <c r="PN175" s="53"/>
      <c r="PO175" s="53"/>
      <c r="PP175" s="53"/>
      <c r="PQ175" s="53"/>
      <c r="PR175" s="53"/>
      <c r="PS175" s="53"/>
      <c r="PT175" s="53"/>
      <c r="PU175" s="53"/>
      <c r="PV175" s="53"/>
      <c r="PW175" s="53"/>
      <c r="PX175" s="53"/>
      <c r="PY175" s="53"/>
      <c r="PZ175" s="53"/>
      <c r="QA175" s="53"/>
      <c r="QB175" s="53"/>
      <c r="QC175" s="53"/>
      <c r="QD175" s="53"/>
      <c r="QE175" s="53"/>
      <c r="QF175" s="53"/>
      <c r="QG175" s="53"/>
      <c r="QH175" s="53"/>
      <c r="QI175" s="53"/>
      <c r="QJ175" s="53"/>
      <c r="QK175" s="53"/>
      <c r="QL175" s="53"/>
      <c r="QM175" s="53"/>
      <c r="QN175" s="53"/>
      <c r="QO175" s="53"/>
      <c r="QP175" s="53"/>
      <c r="QQ175" s="53"/>
      <c r="QR175" s="53"/>
      <c r="QS175" s="53"/>
      <c r="QT175" s="53"/>
      <c r="QU175" s="53"/>
      <c r="QV175" s="53"/>
      <c r="QW175" s="53"/>
      <c r="QX175" s="53"/>
      <c r="QY175" s="53"/>
      <c r="QZ175" s="53"/>
      <c r="RA175" s="53"/>
      <c r="RB175" s="53"/>
      <c r="RC175" s="53"/>
      <c r="RD175" s="53"/>
      <c r="RE175" s="53"/>
      <c r="RF175" s="53"/>
      <c r="RG175" s="53"/>
      <c r="RH175" s="53"/>
      <c r="RI175" s="53"/>
      <c r="RJ175" s="53"/>
      <c r="RK175" s="53"/>
      <c r="RL175" s="53"/>
      <c r="RM175" s="53"/>
      <c r="RN175" s="53"/>
      <c r="RO175" s="53"/>
      <c r="RP175" s="53"/>
      <c r="RQ175" s="53"/>
      <c r="RR175" s="53"/>
      <c r="RS175" s="53"/>
      <c r="RT175" s="53"/>
      <c r="RU175" s="53"/>
      <c r="RV175" s="53"/>
      <c r="RW175" s="53"/>
      <c r="RX175" s="53"/>
      <c r="RY175" s="53"/>
      <c r="RZ175" s="53"/>
      <c r="SA175" s="53"/>
      <c r="SB175" s="53"/>
      <c r="SC175" s="53"/>
      <c r="SD175" s="53"/>
      <c r="SE175" s="53"/>
      <c r="SF175" s="53"/>
      <c r="SG175" s="53"/>
      <c r="SH175" s="53"/>
      <c r="SI175" s="53"/>
      <c r="SJ175" s="53"/>
      <c r="SK175" s="53"/>
      <c r="SL175" s="53"/>
      <c r="SM175" s="53"/>
      <c r="SN175" s="53"/>
      <c r="SO175" s="53"/>
      <c r="SP175" s="53"/>
      <c r="SQ175" s="53"/>
      <c r="SR175" s="53"/>
      <c r="SS175" s="53"/>
      <c r="ST175" s="53"/>
      <c r="SU175" s="53"/>
      <c r="SV175" s="53"/>
      <c r="SW175" s="53"/>
      <c r="SX175" s="53"/>
      <c r="SY175" s="53"/>
      <c r="SZ175" s="53"/>
      <c r="TA175" s="53"/>
      <c r="TB175" s="53"/>
      <c r="TC175" s="53"/>
      <c r="TD175" s="53"/>
      <c r="TE175" s="53"/>
      <c r="TF175" s="53"/>
      <c r="TG175" s="53"/>
      <c r="TH175" s="53"/>
      <c r="TI175" s="53"/>
      <c r="TJ175" s="53"/>
      <c r="TK175" s="53"/>
      <c r="TL175" s="53"/>
      <c r="TM175" s="53"/>
      <c r="TN175" s="53"/>
      <c r="TO175" s="53"/>
      <c r="TP175" s="53"/>
      <c r="TQ175" s="53"/>
      <c r="TR175" s="53"/>
      <c r="TS175" s="53"/>
      <c r="TT175" s="53"/>
      <c r="TU175" s="53"/>
      <c r="TV175" s="53"/>
      <c r="TW175" s="53"/>
      <c r="TX175" s="53"/>
      <c r="TY175" s="53"/>
      <c r="TZ175" s="53"/>
      <c r="UA175" s="53"/>
      <c r="UB175" s="53"/>
      <c r="UC175" s="53"/>
      <c r="UD175" s="53"/>
      <c r="UE175" s="53"/>
      <c r="UF175" s="53"/>
      <c r="UG175" s="53"/>
      <c r="UH175" s="53"/>
      <c r="UI175" s="53"/>
      <c r="UJ175" s="53"/>
      <c r="UK175" s="53"/>
      <c r="UL175" s="53"/>
      <c r="UM175" s="53"/>
      <c r="UN175" s="53"/>
      <c r="UO175" s="53"/>
      <c r="UP175" s="53"/>
      <c r="UQ175" s="53"/>
      <c r="UR175" s="53"/>
      <c r="US175" s="53"/>
      <c r="UT175" s="53"/>
      <c r="UU175" s="53"/>
      <c r="UV175" s="53"/>
      <c r="UW175" s="53"/>
      <c r="UX175" s="53"/>
      <c r="UY175" s="53"/>
      <c r="UZ175" s="53"/>
      <c r="VA175" s="53"/>
      <c r="VB175" s="53"/>
      <c r="VC175" s="53"/>
      <c r="VD175" s="53"/>
      <c r="VE175" s="53"/>
      <c r="VF175" s="53"/>
      <c r="VG175" s="53"/>
      <c r="VH175" s="53"/>
      <c r="VI175" s="53"/>
      <c r="VJ175" s="53"/>
      <c r="VK175" s="53"/>
      <c r="VL175" s="53"/>
    </row>
    <row r="176" spans="1:584" s="47" customFormat="1" ht="20.25" customHeight="1" x14ac:dyDescent="0.25">
      <c r="A176" s="49"/>
      <c r="B176" s="93"/>
      <c r="C176" s="93"/>
      <c r="D176" s="46" t="str">
        <f>'дод 3'!C127</f>
        <v>у т.ч. за рахунок субвенцій з держбюджету</v>
      </c>
      <c r="E176" s="115">
        <v>0</v>
      </c>
      <c r="F176" s="115"/>
      <c r="G176" s="115"/>
      <c r="H176" s="115"/>
      <c r="I176" s="115"/>
      <c r="J176" s="115"/>
      <c r="K176" s="135"/>
      <c r="L176" s="115">
        <f t="shared" si="37"/>
        <v>1512988</v>
      </c>
      <c r="M176" s="115"/>
      <c r="N176" s="115"/>
      <c r="O176" s="115"/>
      <c r="P176" s="115"/>
      <c r="Q176" s="115">
        <v>1512988</v>
      </c>
      <c r="R176" s="115">
        <f t="shared" si="39"/>
        <v>1512987.27</v>
      </c>
      <c r="S176" s="115"/>
      <c r="T176" s="115"/>
      <c r="U176" s="115"/>
      <c r="V176" s="115"/>
      <c r="W176" s="115">
        <v>1512987.27</v>
      </c>
      <c r="X176" s="166">
        <f t="shared" si="40"/>
        <v>99.999951751104447</v>
      </c>
      <c r="Y176" s="115">
        <f t="shared" si="36"/>
        <v>1512987.27</v>
      </c>
      <c r="Z176" s="187"/>
      <c r="AA176" s="53"/>
      <c r="AB176" s="53"/>
      <c r="AC176" s="53"/>
      <c r="AD176" s="53"/>
      <c r="AE176" s="79"/>
      <c r="AF176" s="79"/>
      <c r="AG176" s="79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3"/>
      <c r="HU176" s="53"/>
      <c r="HV176" s="53"/>
      <c r="HW176" s="53"/>
      <c r="HX176" s="53"/>
      <c r="HY176" s="53"/>
      <c r="HZ176" s="53"/>
      <c r="IA176" s="53"/>
      <c r="IB176" s="53"/>
      <c r="IC176" s="53"/>
      <c r="ID176" s="53"/>
      <c r="IE176" s="53"/>
      <c r="IF176" s="53"/>
      <c r="IG176" s="53"/>
      <c r="IH176" s="53"/>
      <c r="II176" s="53"/>
      <c r="IJ176" s="53"/>
      <c r="IK176" s="53"/>
      <c r="IL176" s="53"/>
      <c r="IM176" s="53"/>
      <c r="IN176" s="53"/>
      <c r="IO176" s="53"/>
      <c r="IP176" s="53"/>
      <c r="IQ176" s="53"/>
      <c r="IR176" s="53"/>
      <c r="IS176" s="53"/>
      <c r="IT176" s="53"/>
      <c r="IU176" s="53"/>
      <c r="IV176" s="53"/>
      <c r="IW176" s="53"/>
      <c r="IX176" s="53"/>
      <c r="IY176" s="53"/>
      <c r="IZ176" s="53"/>
      <c r="JA176" s="53"/>
      <c r="JB176" s="53"/>
      <c r="JC176" s="53"/>
      <c r="JD176" s="53"/>
      <c r="JE176" s="53"/>
      <c r="JF176" s="53"/>
      <c r="JG176" s="53"/>
      <c r="JH176" s="53"/>
      <c r="JI176" s="53"/>
      <c r="JJ176" s="53"/>
      <c r="JK176" s="53"/>
      <c r="JL176" s="53"/>
      <c r="JM176" s="53"/>
      <c r="JN176" s="53"/>
      <c r="JO176" s="53"/>
      <c r="JP176" s="53"/>
      <c r="JQ176" s="53"/>
      <c r="JR176" s="53"/>
      <c r="JS176" s="53"/>
      <c r="JT176" s="53"/>
      <c r="JU176" s="53"/>
      <c r="JV176" s="53"/>
      <c r="JW176" s="53"/>
      <c r="JX176" s="53"/>
      <c r="JY176" s="53"/>
      <c r="JZ176" s="53"/>
      <c r="KA176" s="53"/>
      <c r="KB176" s="53"/>
      <c r="KC176" s="53"/>
      <c r="KD176" s="53"/>
      <c r="KE176" s="53"/>
      <c r="KF176" s="53"/>
      <c r="KG176" s="53"/>
      <c r="KH176" s="53"/>
      <c r="KI176" s="53"/>
      <c r="KJ176" s="53"/>
      <c r="KK176" s="53"/>
      <c r="KL176" s="53"/>
      <c r="KM176" s="53"/>
      <c r="KN176" s="53"/>
      <c r="KO176" s="53"/>
      <c r="KP176" s="53"/>
      <c r="KQ176" s="53"/>
      <c r="KR176" s="53"/>
      <c r="KS176" s="53"/>
      <c r="KT176" s="53"/>
      <c r="KU176" s="53"/>
      <c r="KV176" s="53"/>
      <c r="KW176" s="53"/>
      <c r="KX176" s="53"/>
      <c r="KY176" s="53"/>
      <c r="KZ176" s="53"/>
      <c r="LA176" s="53"/>
      <c r="LB176" s="53"/>
      <c r="LC176" s="53"/>
      <c r="LD176" s="53"/>
      <c r="LE176" s="53"/>
      <c r="LF176" s="53"/>
      <c r="LG176" s="53"/>
      <c r="LH176" s="53"/>
      <c r="LI176" s="53"/>
      <c r="LJ176" s="53"/>
      <c r="LK176" s="53"/>
      <c r="LL176" s="53"/>
      <c r="LM176" s="53"/>
      <c r="LN176" s="53"/>
      <c r="LO176" s="53"/>
      <c r="LP176" s="53"/>
      <c r="LQ176" s="53"/>
      <c r="LR176" s="53"/>
      <c r="LS176" s="53"/>
      <c r="LT176" s="53"/>
      <c r="LU176" s="53"/>
      <c r="LV176" s="53"/>
      <c r="LW176" s="53"/>
      <c r="LX176" s="53"/>
      <c r="LY176" s="53"/>
      <c r="LZ176" s="53"/>
      <c r="MA176" s="53"/>
      <c r="MB176" s="53"/>
      <c r="MC176" s="53"/>
      <c r="MD176" s="53"/>
      <c r="ME176" s="53"/>
      <c r="MF176" s="53"/>
      <c r="MG176" s="53"/>
      <c r="MH176" s="53"/>
      <c r="MI176" s="53"/>
      <c r="MJ176" s="53"/>
      <c r="MK176" s="53"/>
      <c r="ML176" s="53"/>
      <c r="MM176" s="53"/>
      <c r="MN176" s="53"/>
      <c r="MO176" s="53"/>
      <c r="MP176" s="53"/>
      <c r="MQ176" s="53"/>
      <c r="MR176" s="53"/>
      <c r="MS176" s="53"/>
      <c r="MT176" s="53"/>
      <c r="MU176" s="53"/>
      <c r="MV176" s="53"/>
      <c r="MW176" s="53"/>
      <c r="MX176" s="53"/>
      <c r="MY176" s="53"/>
      <c r="MZ176" s="53"/>
      <c r="NA176" s="53"/>
      <c r="NB176" s="53"/>
      <c r="NC176" s="53"/>
      <c r="ND176" s="53"/>
      <c r="NE176" s="53"/>
      <c r="NF176" s="53"/>
      <c r="NG176" s="53"/>
      <c r="NH176" s="53"/>
      <c r="NI176" s="53"/>
      <c r="NJ176" s="53"/>
      <c r="NK176" s="53"/>
      <c r="NL176" s="53"/>
      <c r="NM176" s="53"/>
      <c r="NN176" s="53"/>
      <c r="NO176" s="53"/>
      <c r="NP176" s="53"/>
      <c r="NQ176" s="53"/>
      <c r="NR176" s="53"/>
      <c r="NS176" s="53"/>
      <c r="NT176" s="53"/>
      <c r="NU176" s="53"/>
      <c r="NV176" s="53"/>
      <c r="NW176" s="53"/>
      <c r="NX176" s="53"/>
      <c r="NY176" s="53"/>
      <c r="NZ176" s="53"/>
      <c r="OA176" s="53"/>
      <c r="OB176" s="53"/>
      <c r="OC176" s="53"/>
      <c r="OD176" s="53"/>
      <c r="OE176" s="53"/>
      <c r="OF176" s="53"/>
      <c r="OG176" s="53"/>
      <c r="OH176" s="53"/>
      <c r="OI176" s="53"/>
      <c r="OJ176" s="53"/>
      <c r="OK176" s="53"/>
      <c r="OL176" s="53"/>
      <c r="OM176" s="53"/>
      <c r="ON176" s="53"/>
      <c r="OO176" s="53"/>
      <c r="OP176" s="53"/>
      <c r="OQ176" s="53"/>
      <c r="OR176" s="53"/>
      <c r="OS176" s="53"/>
      <c r="OT176" s="53"/>
      <c r="OU176" s="53"/>
      <c r="OV176" s="53"/>
      <c r="OW176" s="53"/>
      <c r="OX176" s="53"/>
      <c r="OY176" s="53"/>
      <c r="OZ176" s="53"/>
      <c r="PA176" s="53"/>
      <c r="PB176" s="53"/>
      <c r="PC176" s="53"/>
      <c r="PD176" s="53"/>
      <c r="PE176" s="53"/>
      <c r="PF176" s="53"/>
      <c r="PG176" s="53"/>
      <c r="PH176" s="53"/>
      <c r="PI176" s="53"/>
      <c r="PJ176" s="53"/>
      <c r="PK176" s="53"/>
      <c r="PL176" s="53"/>
      <c r="PM176" s="53"/>
      <c r="PN176" s="53"/>
      <c r="PO176" s="53"/>
      <c r="PP176" s="53"/>
      <c r="PQ176" s="53"/>
      <c r="PR176" s="53"/>
      <c r="PS176" s="53"/>
      <c r="PT176" s="53"/>
      <c r="PU176" s="53"/>
      <c r="PV176" s="53"/>
      <c r="PW176" s="53"/>
      <c r="PX176" s="53"/>
      <c r="PY176" s="53"/>
      <c r="PZ176" s="53"/>
      <c r="QA176" s="53"/>
      <c r="QB176" s="53"/>
      <c r="QC176" s="53"/>
      <c r="QD176" s="53"/>
      <c r="QE176" s="53"/>
      <c r="QF176" s="53"/>
      <c r="QG176" s="53"/>
      <c r="QH176" s="53"/>
      <c r="QI176" s="53"/>
      <c r="QJ176" s="53"/>
      <c r="QK176" s="53"/>
      <c r="QL176" s="53"/>
      <c r="QM176" s="53"/>
      <c r="QN176" s="53"/>
      <c r="QO176" s="53"/>
      <c r="QP176" s="53"/>
      <c r="QQ176" s="53"/>
      <c r="QR176" s="53"/>
      <c r="QS176" s="53"/>
      <c r="QT176" s="53"/>
      <c r="QU176" s="53"/>
      <c r="QV176" s="53"/>
      <c r="QW176" s="53"/>
      <c r="QX176" s="53"/>
      <c r="QY176" s="53"/>
      <c r="QZ176" s="53"/>
      <c r="RA176" s="53"/>
      <c r="RB176" s="53"/>
      <c r="RC176" s="53"/>
      <c r="RD176" s="53"/>
      <c r="RE176" s="53"/>
      <c r="RF176" s="53"/>
      <c r="RG176" s="53"/>
      <c r="RH176" s="53"/>
      <c r="RI176" s="53"/>
      <c r="RJ176" s="53"/>
      <c r="RK176" s="53"/>
      <c r="RL176" s="53"/>
      <c r="RM176" s="53"/>
      <c r="RN176" s="53"/>
      <c r="RO176" s="53"/>
      <c r="RP176" s="53"/>
      <c r="RQ176" s="53"/>
      <c r="RR176" s="53"/>
      <c r="RS176" s="53"/>
      <c r="RT176" s="53"/>
      <c r="RU176" s="53"/>
      <c r="RV176" s="53"/>
      <c r="RW176" s="53"/>
      <c r="RX176" s="53"/>
      <c r="RY176" s="53"/>
      <c r="RZ176" s="53"/>
      <c r="SA176" s="53"/>
      <c r="SB176" s="53"/>
      <c r="SC176" s="53"/>
      <c r="SD176" s="53"/>
      <c r="SE176" s="53"/>
      <c r="SF176" s="53"/>
      <c r="SG176" s="53"/>
      <c r="SH176" s="53"/>
      <c r="SI176" s="53"/>
      <c r="SJ176" s="53"/>
      <c r="SK176" s="53"/>
      <c r="SL176" s="53"/>
      <c r="SM176" s="53"/>
      <c r="SN176" s="53"/>
      <c r="SO176" s="53"/>
      <c r="SP176" s="53"/>
      <c r="SQ176" s="53"/>
      <c r="SR176" s="53"/>
      <c r="SS176" s="53"/>
      <c r="ST176" s="53"/>
      <c r="SU176" s="53"/>
      <c r="SV176" s="53"/>
      <c r="SW176" s="53"/>
      <c r="SX176" s="53"/>
      <c r="SY176" s="53"/>
      <c r="SZ176" s="53"/>
      <c r="TA176" s="53"/>
      <c r="TB176" s="53"/>
      <c r="TC176" s="53"/>
      <c r="TD176" s="53"/>
      <c r="TE176" s="53"/>
      <c r="TF176" s="53"/>
      <c r="TG176" s="53"/>
      <c r="TH176" s="53"/>
      <c r="TI176" s="53"/>
      <c r="TJ176" s="53"/>
      <c r="TK176" s="53"/>
      <c r="TL176" s="53"/>
      <c r="TM176" s="53"/>
      <c r="TN176" s="53"/>
      <c r="TO176" s="53"/>
      <c r="TP176" s="53"/>
      <c r="TQ176" s="53"/>
      <c r="TR176" s="53"/>
      <c r="TS176" s="53"/>
      <c r="TT176" s="53"/>
      <c r="TU176" s="53"/>
      <c r="TV176" s="53"/>
      <c r="TW176" s="53"/>
      <c r="TX176" s="53"/>
      <c r="TY176" s="53"/>
      <c r="TZ176" s="53"/>
      <c r="UA176" s="53"/>
      <c r="UB176" s="53"/>
      <c r="UC176" s="53"/>
      <c r="UD176" s="53"/>
      <c r="UE176" s="53"/>
      <c r="UF176" s="53"/>
      <c r="UG176" s="53"/>
      <c r="UH176" s="53"/>
      <c r="UI176" s="53"/>
      <c r="UJ176" s="53"/>
      <c r="UK176" s="53"/>
      <c r="UL176" s="53"/>
      <c r="UM176" s="53"/>
      <c r="UN176" s="53"/>
      <c r="UO176" s="53"/>
      <c r="UP176" s="53"/>
      <c r="UQ176" s="53"/>
      <c r="UR176" s="53"/>
      <c r="US176" s="53"/>
      <c r="UT176" s="53"/>
      <c r="UU176" s="53"/>
      <c r="UV176" s="53"/>
      <c r="UW176" s="53"/>
      <c r="UX176" s="53"/>
      <c r="UY176" s="53"/>
      <c r="UZ176" s="53"/>
      <c r="VA176" s="53"/>
      <c r="VB176" s="53"/>
      <c r="VC176" s="53"/>
      <c r="VD176" s="53"/>
      <c r="VE176" s="53"/>
      <c r="VF176" s="53"/>
      <c r="VG176" s="53"/>
      <c r="VH176" s="53"/>
      <c r="VI176" s="53"/>
      <c r="VJ176" s="53"/>
      <c r="VK176" s="53"/>
      <c r="VL176" s="53"/>
    </row>
    <row r="177" spans="1:584" s="47" customFormat="1" ht="170.25" customHeight="1" x14ac:dyDescent="0.25">
      <c r="A177" s="127" t="s">
        <v>540</v>
      </c>
      <c r="B177" s="93" t="s">
        <v>544</v>
      </c>
      <c r="C177" s="93" t="s">
        <v>77</v>
      </c>
      <c r="D177" s="54" t="s">
        <v>543</v>
      </c>
      <c r="E177" s="115">
        <v>0</v>
      </c>
      <c r="F177" s="115"/>
      <c r="G177" s="115"/>
      <c r="H177" s="115"/>
      <c r="I177" s="115"/>
      <c r="J177" s="115"/>
      <c r="K177" s="135"/>
      <c r="L177" s="115">
        <f t="shared" si="37"/>
        <v>1462158</v>
      </c>
      <c r="M177" s="115">
        <v>1462158</v>
      </c>
      <c r="N177" s="115"/>
      <c r="O177" s="115"/>
      <c r="P177" s="115"/>
      <c r="Q177" s="115">
        <v>1462158</v>
      </c>
      <c r="R177" s="115">
        <f t="shared" si="39"/>
        <v>1293750.75</v>
      </c>
      <c r="S177" s="115">
        <v>1293750.75</v>
      </c>
      <c r="T177" s="115"/>
      <c r="U177" s="115"/>
      <c r="V177" s="115"/>
      <c r="W177" s="115">
        <v>1293750.75</v>
      </c>
      <c r="X177" s="166">
        <f t="shared" si="40"/>
        <v>88.482280984681552</v>
      </c>
      <c r="Y177" s="115">
        <f t="shared" si="36"/>
        <v>1293750.75</v>
      </c>
      <c r="Z177" s="187">
        <v>14</v>
      </c>
      <c r="AA177" s="53"/>
      <c r="AB177" s="53"/>
      <c r="AC177" s="53"/>
      <c r="AD177" s="53"/>
      <c r="AE177" s="79"/>
      <c r="AF177" s="79"/>
      <c r="AG177" s="79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  <c r="IH177" s="53"/>
      <c r="II177" s="53"/>
      <c r="IJ177" s="53"/>
      <c r="IK177" s="53"/>
      <c r="IL177" s="53"/>
      <c r="IM177" s="53"/>
      <c r="IN177" s="53"/>
      <c r="IO177" s="53"/>
      <c r="IP177" s="53"/>
      <c r="IQ177" s="53"/>
      <c r="IR177" s="53"/>
      <c r="IS177" s="53"/>
      <c r="IT177" s="53"/>
      <c r="IU177" s="53"/>
      <c r="IV177" s="53"/>
      <c r="IW177" s="53"/>
      <c r="IX177" s="53"/>
      <c r="IY177" s="53"/>
      <c r="IZ177" s="53"/>
      <c r="JA177" s="53"/>
      <c r="JB177" s="53"/>
      <c r="JC177" s="53"/>
      <c r="JD177" s="53"/>
      <c r="JE177" s="53"/>
      <c r="JF177" s="53"/>
      <c r="JG177" s="53"/>
      <c r="JH177" s="53"/>
      <c r="JI177" s="53"/>
      <c r="JJ177" s="53"/>
      <c r="JK177" s="53"/>
      <c r="JL177" s="53"/>
      <c r="JM177" s="53"/>
      <c r="JN177" s="53"/>
      <c r="JO177" s="53"/>
      <c r="JP177" s="53"/>
      <c r="JQ177" s="53"/>
      <c r="JR177" s="53"/>
      <c r="JS177" s="53"/>
      <c r="JT177" s="53"/>
      <c r="JU177" s="53"/>
      <c r="JV177" s="53"/>
      <c r="JW177" s="53"/>
      <c r="JX177" s="53"/>
      <c r="JY177" s="53"/>
      <c r="JZ177" s="53"/>
      <c r="KA177" s="53"/>
      <c r="KB177" s="53"/>
      <c r="KC177" s="53"/>
      <c r="KD177" s="53"/>
      <c r="KE177" s="53"/>
      <c r="KF177" s="53"/>
      <c r="KG177" s="53"/>
      <c r="KH177" s="53"/>
      <c r="KI177" s="53"/>
      <c r="KJ177" s="53"/>
      <c r="KK177" s="53"/>
      <c r="KL177" s="53"/>
      <c r="KM177" s="53"/>
      <c r="KN177" s="53"/>
      <c r="KO177" s="53"/>
      <c r="KP177" s="53"/>
      <c r="KQ177" s="53"/>
      <c r="KR177" s="53"/>
      <c r="KS177" s="53"/>
      <c r="KT177" s="53"/>
      <c r="KU177" s="53"/>
      <c r="KV177" s="53"/>
      <c r="KW177" s="53"/>
      <c r="KX177" s="53"/>
      <c r="KY177" s="53"/>
      <c r="KZ177" s="53"/>
      <c r="LA177" s="53"/>
      <c r="LB177" s="53"/>
      <c r="LC177" s="53"/>
      <c r="LD177" s="53"/>
      <c r="LE177" s="53"/>
      <c r="LF177" s="53"/>
      <c r="LG177" s="53"/>
      <c r="LH177" s="53"/>
      <c r="LI177" s="53"/>
      <c r="LJ177" s="53"/>
      <c r="LK177" s="53"/>
      <c r="LL177" s="53"/>
      <c r="LM177" s="53"/>
      <c r="LN177" s="53"/>
      <c r="LO177" s="53"/>
      <c r="LP177" s="53"/>
      <c r="LQ177" s="53"/>
      <c r="LR177" s="53"/>
      <c r="LS177" s="53"/>
      <c r="LT177" s="53"/>
      <c r="LU177" s="53"/>
      <c r="LV177" s="53"/>
      <c r="LW177" s="53"/>
      <c r="LX177" s="53"/>
      <c r="LY177" s="53"/>
      <c r="LZ177" s="53"/>
      <c r="MA177" s="53"/>
      <c r="MB177" s="53"/>
      <c r="MC177" s="53"/>
      <c r="MD177" s="53"/>
      <c r="ME177" s="53"/>
      <c r="MF177" s="53"/>
      <c r="MG177" s="53"/>
      <c r="MH177" s="53"/>
      <c r="MI177" s="53"/>
      <c r="MJ177" s="53"/>
      <c r="MK177" s="53"/>
      <c r="ML177" s="53"/>
      <c r="MM177" s="53"/>
      <c r="MN177" s="53"/>
      <c r="MO177" s="53"/>
      <c r="MP177" s="53"/>
      <c r="MQ177" s="53"/>
      <c r="MR177" s="53"/>
      <c r="MS177" s="53"/>
      <c r="MT177" s="53"/>
      <c r="MU177" s="53"/>
      <c r="MV177" s="53"/>
      <c r="MW177" s="53"/>
      <c r="MX177" s="53"/>
      <c r="MY177" s="53"/>
      <c r="MZ177" s="53"/>
      <c r="NA177" s="53"/>
      <c r="NB177" s="53"/>
      <c r="NC177" s="53"/>
      <c r="ND177" s="53"/>
      <c r="NE177" s="53"/>
      <c r="NF177" s="53"/>
      <c r="NG177" s="53"/>
      <c r="NH177" s="53"/>
      <c r="NI177" s="53"/>
      <c r="NJ177" s="53"/>
      <c r="NK177" s="53"/>
      <c r="NL177" s="53"/>
      <c r="NM177" s="53"/>
      <c r="NN177" s="53"/>
      <c r="NO177" s="53"/>
      <c r="NP177" s="53"/>
      <c r="NQ177" s="53"/>
      <c r="NR177" s="53"/>
      <c r="NS177" s="53"/>
      <c r="NT177" s="53"/>
      <c r="NU177" s="53"/>
      <c r="NV177" s="53"/>
      <c r="NW177" s="53"/>
      <c r="NX177" s="53"/>
      <c r="NY177" s="53"/>
      <c r="NZ177" s="53"/>
      <c r="OA177" s="53"/>
      <c r="OB177" s="53"/>
      <c r="OC177" s="53"/>
      <c r="OD177" s="53"/>
      <c r="OE177" s="53"/>
      <c r="OF177" s="53"/>
      <c r="OG177" s="53"/>
      <c r="OH177" s="53"/>
      <c r="OI177" s="53"/>
      <c r="OJ177" s="53"/>
      <c r="OK177" s="53"/>
      <c r="OL177" s="53"/>
      <c r="OM177" s="53"/>
      <c r="ON177" s="53"/>
      <c r="OO177" s="53"/>
      <c r="OP177" s="53"/>
      <c r="OQ177" s="53"/>
      <c r="OR177" s="53"/>
      <c r="OS177" s="53"/>
      <c r="OT177" s="53"/>
      <c r="OU177" s="53"/>
      <c r="OV177" s="53"/>
      <c r="OW177" s="53"/>
      <c r="OX177" s="53"/>
      <c r="OY177" s="53"/>
      <c r="OZ177" s="53"/>
      <c r="PA177" s="53"/>
      <c r="PB177" s="53"/>
      <c r="PC177" s="53"/>
      <c r="PD177" s="53"/>
      <c r="PE177" s="53"/>
      <c r="PF177" s="53"/>
      <c r="PG177" s="53"/>
      <c r="PH177" s="53"/>
      <c r="PI177" s="53"/>
      <c r="PJ177" s="53"/>
      <c r="PK177" s="53"/>
      <c r="PL177" s="53"/>
      <c r="PM177" s="53"/>
      <c r="PN177" s="53"/>
      <c r="PO177" s="53"/>
      <c r="PP177" s="53"/>
      <c r="PQ177" s="53"/>
      <c r="PR177" s="53"/>
      <c r="PS177" s="53"/>
      <c r="PT177" s="53"/>
      <c r="PU177" s="53"/>
      <c r="PV177" s="53"/>
      <c r="PW177" s="53"/>
      <c r="PX177" s="53"/>
      <c r="PY177" s="53"/>
      <c r="PZ177" s="53"/>
      <c r="QA177" s="53"/>
      <c r="QB177" s="53"/>
      <c r="QC177" s="53"/>
      <c r="QD177" s="53"/>
      <c r="QE177" s="53"/>
      <c r="QF177" s="53"/>
      <c r="QG177" s="53"/>
      <c r="QH177" s="53"/>
      <c r="QI177" s="53"/>
      <c r="QJ177" s="53"/>
      <c r="QK177" s="53"/>
      <c r="QL177" s="53"/>
      <c r="QM177" s="53"/>
      <c r="QN177" s="53"/>
      <c r="QO177" s="53"/>
      <c r="QP177" s="53"/>
      <c r="QQ177" s="53"/>
      <c r="QR177" s="53"/>
      <c r="QS177" s="53"/>
      <c r="QT177" s="53"/>
      <c r="QU177" s="53"/>
      <c r="QV177" s="53"/>
      <c r="QW177" s="53"/>
      <c r="QX177" s="53"/>
      <c r="QY177" s="53"/>
      <c r="QZ177" s="53"/>
      <c r="RA177" s="53"/>
      <c r="RB177" s="53"/>
      <c r="RC177" s="53"/>
      <c r="RD177" s="53"/>
      <c r="RE177" s="53"/>
      <c r="RF177" s="53"/>
      <c r="RG177" s="53"/>
      <c r="RH177" s="53"/>
      <c r="RI177" s="53"/>
      <c r="RJ177" s="53"/>
      <c r="RK177" s="53"/>
      <c r="RL177" s="53"/>
      <c r="RM177" s="53"/>
      <c r="RN177" s="53"/>
      <c r="RO177" s="53"/>
      <c r="RP177" s="53"/>
      <c r="RQ177" s="53"/>
      <c r="RR177" s="53"/>
      <c r="RS177" s="53"/>
      <c r="RT177" s="53"/>
      <c r="RU177" s="53"/>
      <c r="RV177" s="53"/>
      <c r="RW177" s="53"/>
      <c r="RX177" s="53"/>
      <c r="RY177" s="53"/>
      <c r="RZ177" s="53"/>
      <c r="SA177" s="53"/>
      <c r="SB177" s="53"/>
      <c r="SC177" s="53"/>
      <c r="SD177" s="53"/>
      <c r="SE177" s="53"/>
      <c r="SF177" s="53"/>
      <c r="SG177" s="53"/>
      <c r="SH177" s="53"/>
      <c r="SI177" s="53"/>
      <c r="SJ177" s="53"/>
      <c r="SK177" s="53"/>
      <c r="SL177" s="53"/>
      <c r="SM177" s="53"/>
      <c r="SN177" s="53"/>
      <c r="SO177" s="53"/>
      <c r="SP177" s="53"/>
      <c r="SQ177" s="53"/>
      <c r="SR177" s="53"/>
      <c r="SS177" s="53"/>
      <c r="ST177" s="53"/>
      <c r="SU177" s="53"/>
      <c r="SV177" s="53"/>
      <c r="SW177" s="53"/>
      <c r="SX177" s="53"/>
      <c r="SY177" s="53"/>
      <c r="SZ177" s="53"/>
      <c r="TA177" s="53"/>
      <c r="TB177" s="53"/>
      <c r="TC177" s="53"/>
      <c r="TD177" s="53"/>
      <c r="TE177" s="53"/>
      <c r="TF177" s="53"/>
      <c r="TG177" s="53"/>
      <c r="TH177" s="53"/>
      <c r="TI177" s="53"/>
      <c r="TJ177" s="53"/>
      <c r="TK177" s="53"/>
      <c r="TL177" s="53"/>
      <c r="TM177" s="53"/>
      <c r="TN177" s="53"/>
      <c r="TO177" s="53"/>
      <c r="TP177" s="53"/>
      <c r="TQ177" s="53"/>
      <c r="TR177" s="53"/>
      <c r="TS177" s="53"/>
      <c r="TT177" s="53"/>
      <c r="TU177" s="53"/>
      <c r="TV177" s="53"/>
      <c r="TW177" s="53"/>
      <c r="TX177" s="53"/>
      <c r="TY177" s="53"/>
      <c r="TZ177" s="53"/>
      <c r="UA177" s="53"/>
      <c r="UB177" s="53"/>
      <c r="UC177" s="53"/>
      <c r="UD177" s="53"/>
      <c r="UE177" s="53"/>
      <c r="UF177" s="53"/>
      <c r="UG177" s="53"/>
      <c r="UH177" s="53"/>
      <c r="UI177" s="53"/>
      <c r="UJ177" s="53"/>
      <c r="UK177" s="53"/>
      <c r="UL177" s="53"/>
      <c r="UM177" s="53"/>
      <c r="UN177" s="53"/>
      <c r="UO177" s="53"/>
      <c r="UP177" s="53"/>
      <c r="UQ177" s="53"/>
      <c r="UR177" s="53"/>
      <c r="US177" s="53"/>
      <c r="UT177" s="53"/>
      <c r="UU177" s="53"/>
      <c r="UV177" s="53"/>
      <c r="UW177" s="53"/>
      <c r="UX177" s="53"/>
      <c r="UY177" s="53"/>
      <c r="UZ177" s="53"/>
      <c r="VA177" s="53"/>
      <c r="VB177" s="53"/>
      <c r="VC177" s="53"/>
      <c r="VD177" s="53"/>
      <c r="VE177" s="53"/>
      <c r="VF177" s="53"/>
      <c r="VG177" s="53"/>
      <c r="VH177" s="53"/>
      <c r="VI177" s="53"/>
      <c r="VJ177" s="53"/>
      <c r="VK177" s="53"/>
      <c r="VL177" s="53"/>
    </row>
    <row r="178" spans="1:584" s="47" customFormat="1" ht="20.25" customHeight="1" x14ac:dyDescent="0.25">
      <c r="A178" s="127"/>
      <c r="B178" s="93"/>
      <c r="C178" s="93"/>
      <c r="D178" s="46" t="s">
        <v>342</v>
      </c>
      <c r="E178" s="115">
        <v>0</v>
      </c>
      <c r="F178" s="115"/>
      <c r="G178" s="115"/>
      <c r="H178" s="115"/>
      <c r="I178" s="115"/>
      <c r="J178" s="115"/>
      <c r="K178" s="135"/>
      <c r="L178" s="115">
        <f t="shared" si="37"/>
        <v>1462158</v>
      </c>
      <c r="M178" s="115">
        <v>1462158</v>
      </c>
      <c r="N178" s="115"/>
      <c r="O178" s="115"/>
      <c r="P178" s="115"/>
      <c r="Q178" s="115">
        <v>1462158</v>
      </c>
      <c r="R178" s="115">
        <f t="shared" si="39"/>
        <v>1293750.75</v>
      </c>
      <c r="S178" s="115">
        <v>1293750.75</v>
      </c>
      <c r="T178" s="115"/>
      <c r="U178" s="115"/>
      <c r="V178" s="115"/>
      <c r="W178" s="115">
        <v>1293750.75</v>
      </c>
      <c r="X178" s="166">
        <f t="shared" si="40"/>
        <v>88.482280984681552</v>
      </c>
      <c r="Y178" s="115">
        <f t="shared" si="36"/>
        <v>1293750.75</v>
      </c>
      <c r="Z178" s="187"/>
      <c r="AA178" s="53"/>
      <c r="AB178" s="53"/>
      <c r="AC178" s="53"/>
      <c r="AD178" s="53"/>
      <c r="AE178" s="79"/>
      <c r="AF178" s="79"/>
      <c r="AG178" s="79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3"/>
      <c r="ID178" s="53"/>
      <c r="IE178" s="53"/>
      <c r="IF178" s="53"/>
      <c r="IG178" s="53"/>
      <c r="IH178" s="53"/>
      <c r="II178" s="53"/>
      <c r="IJ178" s="53"/>
      <c r="IK178" s="53"/>
      <c r="IL178" s="53"/>
      <c r="IM178" s="53"/>
      <c r="IN178" s="53"/>
      <c r="IO178" s="53"/>
      <c r="IP178" s="53"/>
      <c r="IQ178" s="53"/>
      <c r="IR178" s="53"/>
      <c r="IS178" s="53"/>
      <c r="IT178" s="53"/>
      <c r="IU178" s="53"/>
      <c r="IV178" s="53"/>
      <c r="IW178" s="53"/>
      <c r="IX178" s="53"/>
      <c r="IY178" s="53"/>
      <c r="IZ178" s="53"/>
      <c r="JA178" s="53"/>
      <c r="JB178" s="53"/>
      <c r="JC178" s="53"/>
      <c r="JD178" s="53"/>
      <c r="JE178" s="53"/>
      <c r="JF178" s="53"/>
      <c r="JG178" s="53"/>
      <c r="JH178" s="53"/>
      <c r="JI178" s="53"/>
      <c r="JJ178" s="53"/>
      <c r="JK178" s="53"/>
      <c r="JL178" s="53"/>
      <c r="JM178" s="53"/>
      <c r="JN178" s="53"/>
      <c r="JO178" s="53"/>
      <c r="JP178" s="53"/>
      <c r="JQ178" s="53"/>
      <c r="JR178" s="53"/>
      <c r="JS178" s="53"/>
      <c r="JT178" s="53"/>
      <c r="JU178" s="53"/>
      <c r="JV178" s="53"/>
      <c r="JW178" s="53"/>
      <c r="JX178" s="53"/>
      <c r="JY178" s="53"/>
      <c r="JZ178" s="53"/>
      <c r="KA178" s="53"/>
      <c r="KB178" s="53"/>
      <c r="KC178" s="53"/>
      <c r="KD178" s="53"/>
      <c r="KE178" s="53"/>
      <c r="KF178" s="53"/>
      <c r="KG178" s="53"/>
      <c r="KH178" s="53"/>
      <c r="KI178" s="53"/>
      <c r="KJ178" s="53"/>
      <c r="KK178" s="53"/>
      <c r="KL178" s="53"/>
      <c r="KM178" s="53"/>
      <c r="KN178" s="53"/>
      <c r="KO178" s="53"/>
      <c r="KP178" s="53"/>
      <c r="KQ178" s="53"/>
      <c r="KR178" s="53"/>
      <c r="KS178" s="53"/>
      <c r="KT178" s="53"/>
      <c r="KU178" s="53"/>
      <c r="KV178" s="53"/>
      <c r="KW178" s="53"/>
      <c r="KX178" s="53"/>
      <c r="KY178" s="53"/>
      <c r="KZ178" s="53"/>
      <c r="LA178" s="53"/>
      <c r="LB178" s="53"/>
      <c r="LC178" s="53"/>
      <c r="LD178" s="53"/>
      <c r="LE178" s="53"/>
      <c r="LF178" s="53"/>
      <c r="LG178" s="53"/>
      <c r="LH178" s="53"/>
      <c r="LI178" s="53"/>
      <c r="LJ178" s="53"/>
      <c r="LK178" s="53"/>
      <c r="LL178" s="53"/>
      <c r="LM178" s="53"/>
      <c r="LN178" s="53"/>
      <c r="LO178" s="53"/>
      <c r="LP178" s="53"/>
      <c r="LQ178" s="53"/>
      <c r="LR178" s="53"/>
      <c r="LS178" s="53"/>
      <c r="LT178" s="53"/>
      <c r="LU178" s="53"/>
      <c r="LV178" s="53"/>
      <c r="LW178" s="53"/>
      <c r="LX178" s="53"/>
      <c r="LY178" s="53"/>
      <c r="LZ178" s="53"/>
      <c r="MA178" s="53"/>
      <c r="MB178" s="53"/>
      <c r="MC178" s="53"/>
      <c r="MD178" s="53"/>
      <c r="ME178" s="53"/>
      <c r="MF178" s="53"/>
      <c r="MG178" s="53"/>
      <c r="MH178" s="53"/>
      <c r="MI178" s="53"/>
      <c r="MJ178" s="53"/>
      <c r="MK178" s="53"/>
      <c r="ML178" s="53"/>
      <c r="MM178" s="53"/>
      <c r="MN178" s="53"/>
      <c r="MO178" s="53"/>
      <c r="MP178" s="53"/>
      <c r="MQ178" s="53"/>
      <c r="MR178" s="53"/>
      <c r="MS178" s="53"/>
      <c r="MT178" s="53"/>
      <c r="MU178" s="53"/>
      <c r="MV178" s="53"/>
      <c r="MW178" s="53"/>
      <c r="MX178" s="53"/>
      <c r="MY178" s="53"/>
      <c r="MZ178" s="53"/>
      <c r="NA178" s="53"/>
      <c r="NB178" s="53"/>
      <c r="NC178" s="53"/>
      <c r="ND178" s="53"/>
      <c r="NE178" s="53"/>
      <c r="NF178" s="53"/>
      <c r="NG178" s="53"/>
      <c r="NH178" s="53"/>
      <c r="NI178" s="53"/>
      <c r="NJ178" s="53"/>
      <c r="NK178" s="53"/>
      <c r="NL178" s="53"/>
      <c r="NM178" s="53"/>
      <c r="NN178" s="53"/>
      <c r="NO178" s="53"/>
      <c r="NP178" s="53"/>
      <c r="NQ178" s="53"/>
      <c r="NR178" s="53"/>
      <c r="NS178" s="53"/>
      <c r="NT178" s="53"/>
      <c r="NU178" s="53"/>
      <c r="NV178" s="53"/>
      <c r="NW178" s="53"/>
      <c r="NX178" s="53"/>
      <c r="NY178" s="53"/>
      <c r="NZ178" s="53"/>
      <c r="OA178" s="53"/>
      <c r="OB178" s="53"/>
      <c r="OC178" s="53"/>
      <c r="OD178" s="53"/>
      <c r="OE178" s="53"/>
      <c r="OF178" s="53"/>
      <c r="OG178" s="53"/>
      <c r="OH178" s="53"/>
      <c r="OI178" s="53"/>
      <c r="OJ178" s="53"/>
      <c r="OK178" s="53"/>
      <c r="OL178" s="53"/>
      <c r="OM178" s="53"/>
      <c r="ON178" s="53"/>
      <c r="OO178" s="53"/>
      <c r="OP178" s="53"/>
      <c r="OQ178" s="53"/>
      <c r="OR178" s="53"/>
      <c r="OS178" s="53"/>
      <c r="OT178" s="53"/>
      <c r="OU178" s="53"/>
      <c r="OV178" s="53"/>
      <c r="OW178" s="53"/>
      <c r="OX178" s="53"/>
      <c r="OY178" s="53"/>
      <c r="OZ178" s="53"/>
      <c r="PA178" s="53"/>
      <c r="PB178" s="53"/>
      <c r="PC178" s="53"/>
      <c r="PD178" s="53"/>
      <c r="PE178" s="53"/>
      <c r="PF178" s="53"/>
      <c r="PG178" s="53"/>
      <c r="PH178" s="53"/>
      <c r="PI178" s="53"/>
      <c r="PJ178" s="53"/>
      <c r="PK178" s="53"/>
      <c r="PL178" s="53"/>
      <c r="PM178" s="53"/>
      <c r="PN178" s="53"/>
      <c r="PO178" s="53"/>
      <c r="PP178" s="53"/>
      <c r="PQ178" s="53"/>
      <c r="PR178" s="53"/>
      <c r="PS178" s="53"/>
      <c r="PT178" s="53"/>
      <c r="PU178" s="53"/>
      <c r="PV178" s="53"/>
      <c r="PW178" s="53"/>
      <c r="PX178" s="53"/>
      <c r="PY178" s="53"/>
      <c r="PZ178" s="53"/>
      <c r="QA178" s="53"/>
      <c r="QB178" s="53"/>
      <c r="QC178" s="53"/>
      <c r="QD178" s="53"/>
      <c r="QE178" s="53"/>
      <c r="QF178" s="53"/>
      <c r="QG178" s="53"/>
      <c r="QH178" s="53"/>
      <c r="QI178" s="53"/>
      <c r="QJ178" s="53"/>
      <c r="QK178" s="53"/>
      <c r="QL178" s="53"/>
      <c r="QM178" s="53"/>
      <c r="QN178" s="53"/>
      <c r="QO178" s="53"/>
      <c r="QP178" s="53"/>
      <c r="QQ178" s="53"/>
      <c r="QR178" s="53"/>
      <c r="QS178" s="53"/>
      <c r="QT178" s="53"/>
      <c r="QU178" s="53"/>
      <c r="QV178" s="53"/>
      <c r="QW178" s="53"/>
      <c r="QX178" s="53"/>
      <c r="QY178" s="53"/>
      <c r="QZ178" s="53"/>
      <c r="RA178" s="53"/>
      <c r="RB178" s="53"/>
      <c r="RC178" s="53"/>
      <c r="RD178" s="53"/>
      <c r="RE178" s="53"/>
      <c r="RF178" s="53"/>
      <c r="RG178" s="53"/>
      <c r="RH178" s="53"/>
      <c r="RI178" s="53"/>
      <c r="RJ178" s="53"/>
      <c r="RK178" s="53"/>
      <c r="RL178" s="53"/>
      <c r="RM178" s="53"/>
      <c r="RN178" s="53"/>
      <c r="RO178" s="53"/>
      <c r="RP178" s="53"/>
      <c r="RQ178" s="53"/>
      <c r="RR178" s="53"/>
      <c r="RS178" s="53"/>
      <c r="RT178" s="53"/>
      <c r="RU178" s="53"/>
      <c r="RV178" s="53"/>
      <c r="RW178" s="53"/>
      <c r="RX178" s="53"/>
      <c r="RY178" s="53"/>
      <c r="RZ178" s="53"/>
      <c r="SA178" s="53"/>
      <c r="SB178" s="53"/>
      <c r="SC178" s="53"/>
      <c r="SD178" s="53"/>
      <c r="SE178" s="53"/>
      <c r="SF178" s="53"/>
      <c r="SG178" s="53"/>
      <c r="SH178" s="53"/>
      <c r="SI178" s="53"/>
      <c r="SJ178" s="53"/>
      <c r="SK178" s="53"/>
      <c r="SL178" s="53"/>
      <c r="SM178" s="53"/>
      <c r="SN178" s="53"/>
      <c r="SO178" s="53"/>
      <c r="SP178" s="53"/>
      <c r="SQ178" s="53"/>
      <c r="SR178" s="53"/>
      <c r="SS178" s="53"/>
      <c r="ST178" s="53"/>
      <c r="SU178" s="53"/>
      <c r="SV178" s="53"/>
      <c r="SW178" s="53"/>
      <c r="SX178" s="53"/>
      <c r="SY178" s="53"/>
      <c r="SZ178" s="53"/>
      <c r="TA178" s="53"/>
      <c r="TB178" s="53"/>
      <c r="TC178" s="53"/>
      <c r="TD178" s="53"/>
      <c r="TE178" s="53"/>
      <c r="TF178" s="53"/>
      <c r="TG178" s="53"/>
      <c r="TH178" s="53"/>
      <c r="TI178" s="53"/>
      <c r="TJ178" s="53"/>
      <c r="TK178" s="53"/>
      <c r="TL178" s="53"/>
      <c r="TM178" s="53"/>
      <c r="TN178" s="53"/>
      <c r="TO178" s="53"/>
      <c r="TP178" s="53"/>
      <c r="TQ178" s="53"/>
      <c r="TR178" s="53"/>
      <c r="TS178" s="53"/>
      <c r="TT178" s="53"/>
      <c r="TU178" s="53"/>
      <c r="TV178" s="53"/>
      <c r="TW178" s="53"/>
      <c r="TX178" s="53"/>
      <c r="TY178" s="53"/>
      <c r="TZ178" s="53"/>
      <c r="UA178" s="53"/>
      <c r="UB178" s="53"/>
      <c r="UC178" s="53"/>
      <c r="UD178" s="53"/>
      <c r="UE178" s="53"/>
      <c r="UF178" s="53"/>
      <c r="UG178" s="53"/>
      <c r="UH178" s="53"/>
      <c r="UI178" s="53"/>
      <c r="UJ178" s="53"/>
      <c r="UK178" s="53"/>
      <c r="UL178" s="53"/>
      <c r="UM178" s="53"/>
      <c r="UN178" s="53"/>
      <c r="UO178" s="53"/>
      <c r="UP178" s="53"/>
      <c r="UQ178" s="53"/>
      <c r="UR178" s="53"/>
      <c r="US178" s="53"/>
      <c r="UT178" s="53"/>
      <c r="UU178" s="53"/>
      <c r="UV178" s="53"/>
      <c r="UW178" s="53"/>
      <c r="UX178" s="53"/>
      <c r="UY178" s="53"/>
      <c r="UZ178" s="53"/>
      <c r="VA178" s="53"/>
      <c r="VB178" s="53"/>
      <c r="VC178" s="53"/>
      <c r="VD178" s="53"/>
      <c r="VE178" s="53"/>
      <c r="VF178" s="53"/>
      <c r="VG178" s="53"/>
      <c r="VH178" s="53"/>
      <c r="VI178" s="53"/>
      <c r="VJ178" s="53"/>
      <c r="VK178" s="53"/>
      <c r="VL178" s="53"/>
    </row>
    <row r="179" spans="1:584" s="47" customFormat="1" ht="150.75" customHeight="1" x14ac:dyDescent="0.25">
      <c r="A179" s="127" t="s">
        <v>598</v>
      </c>
      <c r="B179" s="93">
        <v>3224</v>
      </c>
      <c r="C179" s="93">
        <v>1060</v>
      </c>
      <c r="D179" s="46" t="s">
        <v>599</v>
      </c>
      <c r="E179" s="115">
        <v>0</v>
      </c>
      <c r="F179" s="115"/>
      <c r="G179" s="115"/>
      <c r="H179" s="115"/>
      <c r="I179" s="115"/>
      <c r="J179" s="115"/>
      <c r="K179" s="135"/>
      <c r="L179" s="115">
        <f t="shared" si="37"/>
        <v>823359</v>
      </c>
      <c r="M179" s="115">
        <v>823359</v>
      </c>
      <c r="N179" s="115"/>
      <c r="O179" s="115"/>
      <c r="P179" s="115"/>
      <c r="Q179" s="115">
        <v>823359</v>
      </c>
      <c r="R179" s="115">
        <f t="shared" si="39"/>
        <v>823358.97</v>
      </c>
      <c r="S179" s="115">
        <v>823358.97</v>
      </c>
      <c r="T179" s="115"/>
      <c r="U179" s="115"/>
      <c r="V179" s="115"/>
      <c r="W179" s="115">
        <v>823358.97</v>
      </c>
      <c r="X179" s="166">
        <f t="shared" si="40"/>
        <v>99.999996356388891</v>
      </c>
      <c r="Y179" s="115">
        <f t="shared" si="36"/>
        <v>823358.97</v>
      </c>
      <c r="Z179" s="187"/>
      <c r="AA179" s="53"/>
      <c r="AB179" s="53"/>
      <c r="AC179" s="53"/>
      <c r="AD179" s="53"/>
      <c r="AE179" s="79"/>
      <c r="AF179" s="79"/>
      <c r="AG179" s="79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  <c r="IK179" s="53"/>
      <c r="IL179" s="53"/>
      <c r="IM179" s="53"/>
      <c r="IN179" s="53"/>
      <c r="IO179" s="53"/>
      <c r="IP179" s="53"/>
      <c r="IQ179" s="53"/>
      <c r="IR179" s="53"/>
      <c r="IS179" s="53"/>
      <c r="IT179" s="53"/>
      <c r="IU179" s="53"/>
      <c r="IV179" s="53"/>
      <c r="IW179" s="53"/>
      <c r="IX179" s="53"/>
      <c r="IY179" s="53"/>
      <c r="IZ179" s="53"/>
      <c r="JA179" s="53"/>
      <c r="JB179" s="53"/>
      <c r="JC179" s="53"/>
      <c r="JD179" s="53"/>
      <c r="JE179" s="53"/>
      <c r="JF179" s="53"/>
      <c r="JG179" s="53"/>
      <c r="JH179" s="53"/>
      <c r="JI179" s="53"/>
      <c r="JJ179" s="53"/>
      <c r="JK179" s="53"/>
      <c r="JL179" s="53"/>
      <c r="JM179" s="53"/>
      <c r="JN179" s="53"/>
      <c r="JO179" s="53"/>
      <c r="JP179" s="53"/>
      <c r="JQ179" s="53"/>
      <c r="JR179" s="53"/>
      <c r="JS179" s="53"/>
      <c r="JT179" s="53"/>
      <c r="JU179" s="53"/>
      <c r="JV179" s="53"/>
      <c r="JW179" s="53"/>
      <c r="JX179" s="53"/>
      <c r="JY179" s="53"/>
      <c r="JZ179" s="53"/>
      <c r="KA179" s="53"/>
      <c r="KB179" s="53"/>
      <c r="KC179" s="53"/>
      <c r="KD179" s="53"/>
      <c r="KE179" s="53"/>
      <c r="KF179" s="53"/>
      <c r="KG179" s="53"/>
      <c r="KH179" s="53"/>
      <c r="KI179" s="53"/>
      <c r="KJ179" s="53"/>
      <c r="KK179" s="53"/>
      <c r="KL179" s="53"/>
      <c r="KM179" s="53"/>
      <c r="KN179" s="53"/>
      <c r="KO179" s="53"/>
      <c r="KP179" s="53"/>
      <c r="KQ179" s="53"/>
      <c r="KR179" s="53"/>
      <c r="KS179" s="53"/>
      <c r="KT179" s="53"/>
      <c r="KU179" s="53"/>
      <c r="KV179" s="53"/>
      <c r="KW179" s="53"/>
      <c r="KX179" s="53"/>
      <c r="KY179" s="53"/>
      <c r="KZ179" s="53"/>
      <c r="LA179" s="53"/>
      <c r="LB179" s="53"/>
      <c r="LC179" s="53"/>
      <c r="LD179" s="53"/>
      <c r="LE179" s="53"/>
      <c r="LF179" s="53"/>
      <c r="LG179" s="53"/>
      <c r="LH179" s="53"/>
      <c r="LI179" s="53"/>
      <c r="LJ179" s="53"/>
      <c r="LK179" s="53"/>
      <c r="LL179" s="53"/>
      <c r="LM179" s="53"/>
      <c r="LN179" s="53"/>
      <c r="LO179" s="53"/>
      <c r="LP179" s="53"/>
      <c r="LQ179" s="53"/>
      <c r="LR179" s="53"/>
      <c r="LS179" s="53"/>
      <c r="LT179" s="53"/>
      <c r="LU179" s="53"/>
      <c r="LV179" s="53"/>
      <c r="LW179" s="53"/>
      <c r="LX179" s="53"/>
      <c r="LY179" s="53"/>
      <c r="LZ179" s="53"/>
      <c r="MA179" s="53"/>
      <c r="MB179" s="53"/>
      <c r="MC179" s="53"/>
      <c r="MD179" s="53"/>
      <c r="ME179" s="53"/>
      <c r="MF179" s="53"/>
      <c r="MG179" s="53"/>
      <c r="MH179" s="53"/>
      <c r="MI179" s="53"/>
      <c r="MJ179" s="53"/>
      <c r="MK179" s="53"/>
      <c r="ML179" s="53"/>
      <c r="MM179" s="53"/>
      <c r="MN179" s="53"/>
      <c r="MO179" s="53"/>
      <c r="MP179" s="53"/>
      <c r="MQ179" s="53"/>
      <c r="MR179" s="53"/>
      <c r="MS179" s="53"/>
      <c r="MT179" s="53"/>
      <c r="MU179" s="53"/>
      <c r="MV179" s="53"/>
      <c r="MW179" s="53"/>
      <c r="MX179" s="53"/>
      <c r="MY179" s="53"/>
      <c r="MZ179" s="53"/>
      <c r="NA179" s="53"/>
      <c r="NB179" s="53"/>
      <c r="NC179" s="53"/>
      <c r="ND179" s="53"/>
      <c r="NE179" s="53"/>
      <c r="NF179" s="53"/>
      <c r="NG179" s="53"/>
      <c r="NH179" s="53"/>
      <c r="NI179" s="53"/>
      <c r="NJ179" s="53"/>
      <c r="NK179" s="53"/>
      <c r="NL179" s="53"/>
      <c r="NM179" s="53"/>
      <c r="NN179" s="53"/>
      <c r="NO179" s="53"/>
      <c r="NP179" s="53"/>
      <c r="NQ179" s="53"/>
      <c r="NR179" s="53"/>
      <c r="NS179" s="53"/>
      <c r="NT179" s="53"/>
      <c r="NU179" s="53"/>
      <c r="NV179" s="53"/>
      <c r="NW179" s="53"/>
      <c r="NX179" s="53"/>
      <c r="NY179" s="53"/>
      <c r="NZ179" s="53"/>
      <c r="OA179" s="53"/>
      <c r="OB179" s="53"/>
      <c r="OC179" s="53"/>
      <c r="OD179" s="53"/>
      <c r="OE179" s="53"/>
      <c r="OF179" s="53"/>
      <c r="OG179" s="53"/>
      <c r="OH179" s="53"/>
      <c r="OI179" s="53"/>
      <c r="OJ179" s="53"/>
      <c r="OK179" s="53"/>
      <c r="OL179" s="53"/>
      <c r="OM179" s="53"/>
      <c r="ON179" s="53"/>
      <c r="OO179" s="53"/>
      <c r="OP179" s="53"/>
      <c r="OQ179" s="53"/>
      <c r="OR179" s="53"/>
      <c r="OS179" s="53"/>
      <c r="OT179" s="53"/>
      <c r="OU179" s="53"/>
      <c r="OV179" s="53"/>
      <c r="OW179" s="53"/>
      <c r="OX179" s="53"/>
      <c r="OY179" s="53"/>
      <c r="OZ179" s="53"/>
      <c r="PA179" s="53"/>
      <c r="PB179" s="53"/>
      <c r="PC179" s="53"/>
      <c r="PD179" s="53"/>
      <c r="PE179" s="53"/>
      <c r="PF179" s="53"/>
      <c r="PG179" s="53"/>
      <c r="PH179" s="53"/>
      <c r="PI179" s="53"/>
      <c r="PJ179" s="53"/>
      <c r="PK179" s="53"/>
      <c r="PL179" s="53"/>
      <c r="PM179" s="53"/>
      <c r="PN179" s="53"/>
      <c r="PO179" s="53"/>
      <c r="PP179" s="53"/>
      <c r="PQ179" s="53"/>
      <c r="PR179" s="53"/>
      <c r="PS179" s="53"/>
      <c r="PT179" s="53"/>
      <c r="PU179" s="53"/>
      <c r="PV179" s="53"/>
      <c r="PW179" s="53"/>
      <c r="PX179" s="53"/>
      <c r="PY179" s="53"/>
      <c r="PZ179" s="53"/>
      <c r="QA179" s="53"/>
      <c r="QB179" s="53"/>
      <c r="QC179" s="53"/>
      <c r="QD179" s="53"/>
      <c r="QE179" s="53"/>
      <c r="QF179" s="53"/>
      <c r="QG179" s="53"/>
      <c r="QH179" s="53"/>
      <c r="QI179" s="53"/>
      <c r="QJ179" s="53"/>
      <c r="QK179" s="53"/>
      <c r="QL179" s="53"/>
      <c r="QM179" s="53"/>
      <c r="QN179" s="53"/>
      <c r="QO179" s="53"/>
      <c r="QP179" s="53"/>
      <c r="QQ179" s="53"/>
      <c r="QR179" s="53"/>
      <c r="QS179" s="53"/>
      <c r="QT179" s="53"/>
      <c r="QU179" s="53"/>
      <c r="QV179" s="53"/>
      <c r="QW179" s="53"/>
      <c r="QX179" s="53"/>
      <c r="QY179" s="53"/>
      <c r="QZ179" s="53"/>
      <c r="RA179" s="53"/>
      <c r="RB179" s="53"/>
      <c r="RC179" s="53"/>
      <c r="RD179" s="53"/>
      <c r="RE179" s="53"/>
      <c r="RF179" s="53"/>
      <c r="RG179" s="53"/>
      <c r="RH179" s="53"/>
      <c r="RI179" s="53"/>
      <c r="RJ179" s="53"/>
      <c r="RK179" s="53"/>
      <c r="RL179" s="53"/>
      <c r="RM179" s="53"/>
      <c r="RN179" s="53"/>
      <c r="RO179" s="53"/>
      <c r="RP179" s="53"/>
      <c r="RQ179" s="53"/>
      <c r="RR179" s="53"/>
      <c r="RS179" s="53"/>
      <c r="RT179" s="53"/>
      <c r="RU179" s="53"/>
      <c r="RV179" s="53"/>
      <c r="RW179" s="53"/>
      <c r="RX179" s="53"/>
      <c r="RY179" s="53"/>
      <c r="RZ179" s="53"/>
      <c r="SA179" s="53"/>
      <c r="SB179" s="53"/>
      <c r="SC179" s="53"/>
      <c r="SD179" s="53"/>
      <c r="SE179" s="53"/>
      <c r="SF179" s="53"/>
      <c r="SG179" s="53"/>
      <c r="SH179" s="53"/>
      <c r="SI179" s="53"/>
      <c r="SJ179" s="53"/>
      <c r="SK179" s="53"/>
      <c r="SL179" s="53"/>
      <c r="SM179" s="53"/>
      <c r="SN179" s="53"/>
      <c r="SO179" s="53"/>
      <c r="SP179" s="53"/>
      <c r="SQ179" s="53"/>
      <c r="SR179" s="53"/>
      <c r="SS179" s="53"/>
      <c r="ST179" s="53"/>
      <c r="SU179" s="53"/>
      <c r="SV179" s="53"/>
      <c r="SW179" s="53"/>
      <c r="SX179" s="53"/>
      <c r="SY179" s="53"/>
      <c r="SZ179" s="53"/>
      <c r="TA179" s="53"/>
      <c r="TB179" s="53"/>
      <c r="TC179" s="53"/>
      <c r="TD179" s="53"/>
      <c r="TE179" s="53"/>
      <c r="TF179" s="53"/>
      <c r="TG179" s="53"/>
      <c r="TH179" s="53"/>
      <c r="TI179" s="53"/>
      <c r="TJ179" s="53"/>
      <c r="TK179" s="53"/>
      <c r="TL179" s="53"/>
      <c r="TM179" s="53"/>
      <c r="TN179" s="53"/>
      <c r="TO179" s="53"/>
      <c r="TP179" s="53"/>
      <c r="TQ179" s="53"/>
      <c r="TR179" s="53"/>
      <c r="TS179" s="53"/>
      <c r="TT179" s="53"/>
      <c r="TU179" s="53"/>
      <c r="TV179" s="53"/>
      <c r="TW179" s="53"/>
      <c r="TX179" s="53"/>
      <c r="TY179" s="53"/>
      <c r="TZ179" s="53"/>
      <c r="UA179" s="53"/>
      <c r="UB179" s="53"/>
      <c r="UC179" s="53"/>
      <c r="UD179" s="53"/>
      <c r="UE179" s="53"/>
      <c r="UF179" s="53"/>
      <c r="UG179" s="53"/>
      <c r="UH179" s="53"/>
      <c r="UI179" s="53"/>
      <c r="UJ179" s="53"/>
      <c r="UK179" s="53"/>
      <c r="UL179" s="53"/>
      <c r="UM179" s="53"/>
      <c r="UN179" s="53"/>
      <c r="UO179" s="53"/>
      <c r="UP179" s="53"/>
      <c r="UQ179" s="53"/>
      <c r="UR179" s="53"/>
      <c r="US179" s="53"/>
      <c r="UT179" s="53"/>
      <c r="UU179" s="53"/>
      <c r="UV179" s="53"/>
      <c r="UW179" s="53"/>
      <c r="UX179" s="53"/>
      <c r="UY179" s="53"/>
      <c r="UZ179" s="53"/>
      <c r="VA179" s="53"/>
      <c r="VB179" s="53"/>
      <c r="VC179" s="53"/>
      <c r="VD179" s="53"/>
      <c r="VE179" s="53"/>
      <c r="VF179" s="53"/>
      <c r="VG179" s="53"/>
      <c r="VH179" s="53"/>
      <c r="VI179" s="53"/>
      <c r="VJ179" s="53"/>
      <c r="VK179" s="53"/>
      <c r="VL179" s="53"/>
    </row>
    <row r="180" spans="1:584" s="47" customFormat="1" ht="20.25" customHeight="1" x14ac:dyDescent="0.25">
      <c r="A180" s="127"/>
      <c r="B180" s="93"/>
      <c r="C180" s="93"/>
      <c r="D180" s="46" t="s">
        <v>342</v>
      </c>
      <c r="E180" s="115">
        <v>0</v>
      </c>
      <c r="F180" s="115"/>
      <c r="G180" s="115"/>
      <c r="H180" s="115"/>
      <c r="I180" s="115"/>
      <c r="J180" s="115"/>
      <c r="K180" s="135"/>
      <c r="L180" s="115">
        <f t="shared" si="37"/>
        <v>823359</v>
      </c>
      <c r="M180" s="115">
        <v>823359</v>
      </c>
      <c r="N180" s="115"/>
      <c r="O180" s="115"/>
      <c r="P180" s="115"/>
      <c r="Q180" s="115">
        <v>823359</v>
      </c>
      <c r="R180" s="115">
        <f t="shared" si="39"/>
        <v>823358.97</v>
      </c>
      <c r="S180" s="115">
        <v>823358.97</v>
      </c>
      <c r="T180" s="115"/>
      <c r="U180" s="115"/>
      <c r="V180" s="115"/>
      <c r="W180" s="115">
        <v>823358.97</v>
      </c>
      <c r="X180" s="166">
        <f t="shared" si="40"/>
        <v>99.999996356388891</v>
      </c>
      <c r="Y180" s="115">
        <f t="shared" si="36"/>
        <v>823358.97</v>
      </c>
      <c r="Z180" s="187"/>
      <c r="AA180" s="53"/>
      <c r="AB180" s="53"/>
      <c r="AC180" s="53"/>
      <c r="AD180" s="53"/>
      <c r="AE180" s="79"/>
      <c r="AF180" s="79"/>
      <c r="AG180" s="79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  <c r="IK180" s="53"/>
      <c r="IL180" s="53"/>
      <c r="IM180" s="53"/>
      <c r="IN180" s="53"/>
      <c r="IO180" s="53"/>
      <c r="IP180" s="53"/>
      <c r="IQ180" s="53"/>
      <c r="IR180" s="53"/>
      <c r="IS180" s="53"/>
      <c r="IT180" s="53"/>
      <c r="IU180" s="53"/>
      <c r="IV180" s="53"/>
      <c r="IW180" s="53"/>
      <c r="IX180" s="53"/>
      <c r="IY180" s="53"/>
      <c r="IZ180" s="53"/>
      <c r="JA180" s="53"/>
      <c r="JB180" s="53"/>
      <c r="JC180" s="53"/>
      <c r="JD180" s="53"/>
      <c r="JE180" s="53"/>
      <c r="JF180" s="53"/>
      <c r="JG180" s="53"/>
      <c r="JH180" s="53"/>
      <c r="JI180" s="53"/>
      <c r="JJ180" s="53"/>
      <c r="JK180" s="53"/>
      <c r="JL180" s="53"/>
      <c r="JM180" s="53"/>
      <c r="JN180" s="53"/>
      <c r="JO180" s="53"/>
      <c r="JP180" s="53"/>
      <c r="JQ180" s="53"/>
      <c r="JR180" s="53"/>
      <c r="JS180" s="53"/>
      <c r="JT180" s="53"/>
      <c r="JU180" s="53"/>
      <c r="JV180" s="53"/>
      <c r="JW180" s="53"/>
      <c r="JX180" s="53"/>
      <c r="JY180" s="53"/>
      <c r="JZ180" s="53"/>
      <c r="KA180" s="53"/>
      <c r="KB180" s="53"/>
      <c r="KC180" s="53"/>
      <c r="KD180" s="53"/>
      <c r="KE180" s="53"/>
      <c r="KF180" s="53"/>
      <c r="KG180" s="53"/>
      <c r="KH180" s="53"/>
      <c r="KI180" s="53"/>
      <c r="KJ180" s="53"/>
      <c r="KK180" s="53"/>
      <c r="KL180" s="53"/>
      <c r="KM180" s="53"/>
      <c r="KN180" s="53"/>
      <c r="KO180" s="53"/>
      <c r="KP180" s="53"/>
      <c r="KQ180" s="53"/>
      <c r="KR180" s="53"/>
      <c r="KS180" s="53"/>
      <c r="KT180" s="53"/>
      <c r="KU180" s="53"/>
      <c r="KV180" s="53"/>
      <c r="KW180" s="53"/>
      <c r="KX180" s="53"/>
      <c r="KY180" s="53"/>
      <c r="KZ180" s="53"/>
      <c r="LA180" s="53"/>
      <c r="LB180" s="53"/>
      <c r="LC180" s="53"/>
      <c r="LD180" s="53"/>
      <c r="LE180" s="53"/>
      <c r="LF180" s="53"/>
      <c r="LG180" s="53"/>
      <c r="LH180" s="53"/>
      <c r="LI180" s="53"/>
      <c r="LJ180" s="53"/>
      <c r="LK180" s="53"/>
      <c r="LL180" s="53"/>
      <c r="LM180" s="53"/>
      <c r="LN180" s="53"/>
      <c r="LO180" s="53"/>
      <c r="LP180" s="53"/>
      <c r="LQ180" s="53"/>
      <c r="LR180" s="53"/>
      <c r="LS180" s="53"/>
      <c r="LT180" s="53"/>
      <c r="LU180" s="53"/>
      <c r="LV180" s="53"/>
      <c r="LW180" s="53"/>
      <c r="LX180" s="53"/>
      <c r="LY180" s="53"/>
      <c r="LZ180" s="53"/>
      <c r="MA180" s="53"/>
      <c r="MB180" s="53"/>
      <c r="MC180" s="53"/>
      <c r="MD180" s="53"/>
      <c r="ME180" s="53"/>
      <c r="MF180" s="53"/>
      <c r="MG180" s="53"/>
      <c r="MH180" s="53"/>
      <c r="MI180" s="53"/>
      <c r="MJ180" s="53"/>
      <c r="MK180" s="53"/>
      <c r="ML180" s="53"/>
      <c r="MM180" s="53"/>
      <c r="MN180" s="53"/>
      <c r="MO180" s="53"/>
      <c r="MP180" s="53"/>
      <c r="MQ180" s="53"/>
      <c r="MR180" s="53"/>
      <c r="MS180" s="53"/>
      <c r="MT180" s="53"/>
      <c r="MU180" s="53"/>
      <c r="MV180" s="53"/>
      <c r="MW180" s="53"/>
      <c r="MX180" s="53"/>
      <c r="MY180" s="53"/>
      <c r="MZ180" s="53"/>
      <c r="NA180" s="53"/>
      <c r="NB180" s="53"/>
      <c r="NC180" s="53"/>
      <c r="ND180" s="53"/>
      <c r="NE180" s="53"/>
      <c r="NF180" s="53"/>
      <c r="NG180" s="53"/>
      <c r="NH180" s="53"/>
      <c r="NI180" s="53"/>
      <c r="NJ180" s="53"/>
      <c r="NK180" s="53"/>
      <c r="NL180" s="53"/>
      <c r="NM180" s="53"/>
      <c r="NN180" s="53"/>
      <c r="NO180" s="53"/>
      <c r="NP180" s="53"/>
      <c r="NQ180" s="53"/>
      <c r="NR180" s="53"/>
      <c r="NS180" s="53"/>
      <c r="NT180" s="53"/>
      <c r="NU180" s="53"/>
      <c r="NV180" s="53"/>
      <c r="NW180" s="53"/>
      <c r="NX180" s="53"/>
      <c r="NY180" s="53"/>
      <c r="NZ180" s="53"/>
      <c r="OA180" s="53"/>
      <c r="OB180" s="53"/>
      <c r="OC180" s="53"/>
      <c r="OD180" s="53"/>
      <c r="OE180" s="53"/>
      <c r="OF180" s="53"/>
      <c r="OG180" s="53"/>
      <c r="OH180" s="53"/>
      <c r="OI180" s="53"/>
      <c r="OJ180" s="53"/>
      <c r="OK180" s="53"/>
      <c r="OL180" s="53"/>
      <c r="OM180" s="53"/>
      <c r="ON180" s="53"/>
      <c r="OO180" s="53"/>
      <c r="OP180" s="53"/>
      <c r="OQ180" s="53"/>
      <c r="OR180" s="53"/>
      <c r="OS180" s="53"/>
      <c r="OT180" s="53"/>
      <c r="OU180" s="53"/>
      <c r="OV180" s="53"/>
      <c r="OW180" s="53"/>
      <c r="OX180" s="53"/>
      <c r="OY180" s="53"/>
      <c r="OZ180" s="53"/>
      <c r="PA180" s="53"/>
      <c r="PB180" s="53"/>
      <c r="PC180" s="53"/>
      <c r="PD180" s="53"/>
      <c r="PE180" s="53"/>
      <c r="PF180" s="53"/>
      <c r="PG180" s="53"/>
      <c r="PH180" s="53"/>
      <c r="PI180" s="53"/>
      <c r="PJ180" s="53"/>
      <c r="PK180" s="53"/>
      <c r="PL180" s="53"/>
      <c r="PM180" s="53"/>
      <c r="PN180" s="53"/>
      <c r="PO180" s="53"/>
      <c r="PP180" s="53"/>
      <c r="PQ180" s="53"/>
      <c r="PR180" s="53"/>
      <c r="PS180" s="53"/>
      <c r="PT180" s="53"/>
      <c r="PU180" s="53"/>
      <c r="PV180" s="53"/>
      <c r="PW180" s="53"/>
      <c r="PX180" s="53"/>
      <c r="PY180" s="53"/>
      <c r="PZ180" s="53"/>
      <c r="QA180" s="53"/>
      <c r="QB180" s="53"/>
      <c r="QC180" s="53"/>
      <c r="QD180" s="53"/>
      <c r="QE180" s="53"/>
      <c r="QF180" s="53"/>
      <c r="QG180" s="53"/>
      <c r="QH180" s="53"/>
      <c r="QI180" s="53"/>
      <c r="QJ180" s="53"/>
      <c r="QK180" s="53"/>
      <c r="QL180" s="53"/>
      <c r="QM180" s="53"/>
      <c r="QN180" s="53"/>
      <c r="QO180" s="53"/>
      <c r="QP180" s="53"/>
      <c r="QQ180" s="53"/>
      <c r="QR180" s="53"/>
      <c r="QS180" s="53"/>
      <c r="QT180" s="53"/>
      <c r="QU180" s="53"/>
      <c r="QV180" s="53"/>
      <c r="QW180" s="53"/>
      <c r="QX180" s="53"/>
      <c r="QY180" s="53"/>
      <c r="QZ180" s="53"/>
      <c r="RA180" s="53"/>
      <c r="RB180" s="53"/>
      <c r="RC180" s="53"/>
      <c r="RD180" s="53"/>
      <c r="RE180" s="53"/>
      <c r="RF180" s="53"/>
      <c r="RG180" s="53"/>
      <c r="RH180" s="53"/>
      <c r="RI180" s="53"/>
      <c r="RJ180" s="53"/>
      <c r="RK180" s="53"/>
      <c r="RL180" s="53"/>
      <c r="RM180" s="53"/>
      <c r="RN180" s="53"/>
      <c r="RO180" s="53"/>
      <c r="RP180" s="53"/>
      <c r="RQ180" s="53"/>
      <c r="RR180" s="53"/>
      <c r="RS180" s="53"/>
      <c r="RT180" s="53"/>
      <c r="RU180" s="53"/>
      <c r="RV180" s="53"/>
      <c r="RW180" s="53"/>
      <c r="RX180" s="53"/>
      <c r="RY180" s="53"/>
      <c r="RZ180" s="53"/>
      <c r="SA180" s="53"/>
      <c r="SB180" s="53"/>
      <c r="SC180" s="53"/>
      <c r="SD180" s="53"/>
      <c r="SE180" s="53"/>
      <c r="SF180" s="53"/>
      <c r="SG180" s="53"/>
      <c r="SH180" s="53"/>
      <c r="SI180" s="53"/>
      <c r="SJ180" s="53"/>
      <c r="SK180" s="53"/>
      <c r="SL180" s="53"/>
      <c r="SM180" s="53"/>
      <c r="SN180" s="53"/>
      <c r="SO180" s="53"/>
      <c r="SP180" s="53"/>
      <c r="SQ180" s="53"/>
      <c r="SR180" s="53"/>
      <c r="SS180" s="53"/>
      <c r="ST180" s="53"/>
      <c r="SU180" s="53"/>
      <c r="SV180" s="53"/>
      <c r="SW180" s="53"/>
      <c r="SX180" s="53"/>
      <c r="SY180" s="53"/>
      <c r="SZ180" s="53"/>
      <c r="TA180" s="53"/>
      <c r="TB180" s="53"/>
      <c r="TC180" s="53"/>
      <c r="TD180" s="53"/>
      <c r="TE180" s="53"/>
      <c r="TF180" s="53"/>
      <c r="TG180" s="53"/>
      <c r="TH180" s="53"/>
      <c r="TI180" s="53"/>
      <c r="TJ180" s="53"/>
      <c r="TK180" s="53"/>
      <c r="TL180" s="53"/>
      <c r="TM180" s="53"/>
      <c r="TN180" s="53"/>
      <c r="TO180" s="53"/>
      <c r="TP180" s="53"/>
      <c r="TQ180" s="53"/>
      <c r="TR180" s="53"/>
      <c r="TS180" s="53"/>
      <c r="TT180" s="53"/>
      <c r="TU180" s="53"/>
      <c r="TV180" s="53"/>
      <c r="TW180" s="53"/>
      <c r="TX180" s="53"/>
      <c r="TY180" s="53"/>
      <c r="TZ180" s="53"/>
      <c r="UA180" s="53"/>
      <c r="UB180" s="53"/>
      <c r="UC180" s="53"/>
      <c r="UD180" s="53"/>
      <c r="UE180" s="53"/>
      <c r="UF180" s="53"/>
      <c r="UG180" s="53"/>
      <c r="UH180" s="53"/>
      <c r="UI180" s="53"/>
      <c r="UJ180" s="53"/>
      <c r="UK180" s="53"/>
      <c r="UL180" s="53"/>
      <c r="UM180" s="53"/>
      <c r="UN180" s="53"/>
      <c r="UO180" s="53"/>
      <c r="UP180" s="53"/>
      <c r="UQ180" s="53"/>
      <c r="UR180" s="53"/>
      <c r="US180" s="53"/>
      <c r="UT180" s="53"/>
      <c r="UU180" s="53"/>
      <c r="UV180" s="53"/>
      <c r="UW180" s="53"/>
      <c r="UX180" s="53"/>
      <c r="UY180" s="53"/>
      <c r="UZ180" s="53"/>
      <c r="VA180" s="53"/>
      <c r="VB180" s="53"/>
      <c r="VC180" s="53"/>
      <c r="VD180" s="53"/>
      <c r="VE180" s="53"/>
      <c r="VF180" s="53"/>
      <c r="VG180" s="53"/>
      <c r="VH180" s="53"/>
      <c r="VI180" s="53"/>
      <c r="VJ180" s="53"/>
      <c r="VK180" s="53"/>
      <c r="VL180" s="53"/>
    </row>
    <row r="181" spans="1:584" s="47" customFormat="1" ht="135" customHeight="1" x14ac:dyDescent="0.25">
      <c r="A181" s="127" t="s">
        <v>475</v>
      </c>
      <c r="B181" s="94" t="str">
        <f>'дод 3'!A126</f>
        <v>3230</v>
      </c>
      <c r="C181" s="94" t="str">
        <f>'дод 3'!B126</f>
        <v>1040</v>
      </c>
      <c r="D181" s="46" t="s">
        <v>567</v>
      </c>
      <c r="E181" s="115">
        <v>3120900</v>
      </c>
      <c r="F181" s="115"/>
      <c r="G181" s="115"/>
      <c r="H181" s="115">
        <v>2948129.98</v>
      </c>
      <c r="I181" s="115"/>
      <c r="J181" s="115"/>
      <c r="K181" s="164">
        <f t="shared" si="38"/>
        <v>94.464096254285622</v>
      </c>
      <c r="L181" s="115">
        <f t="shared" si="37"/>
        <v>0</v>
      </c>
      <c r="M181" s="115"/>
      <c r="N181" s="115"/>
      <c r="O181" s="115"/>
      <c r="P181" s="115"/>
      <c r="Q181" s="115"/>
      <c r="R181" s="115">
        <f t="shared" si="39"/>
        <v>0</v>
      </c>
      <c r="S181" s="115"/>
      <c r="T181" s="115"/>
      <c r="U181" s="115"/>
      <c r="V181" s="115"/>
      <c r="W181" s="115"/>
      <c r="X181" s="166"/>
      <c r="Y181" s="115">
        <f t="shared" si="36"/>
        <v>2948129.98</v>
      </c>
      <c r="Z181" s="187"/>
      <c r="AA181" s="53"/>
      <c r="AB181" s="53"/>
      <c r="AC181" s="53"/>
      <c r="AD181" s="53"/>
      <c r="AE181" s="79"/>
      <c r="AF181" s="79"/>
      <c r="AG181" s="79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  <c r="IK181" s="53"/>
      <c r="IL181" s="53"/>
      <c r="IM181" s="53"/>
      <c r="IN181" s="53"/>
      <c r="IO181" s="53"/>
      <c r="IP181" s="53"/>
      <c r="IQ181" s="53"/>
      <c r="IR181" s="53"/>
      <c r="IS181" s="53"/>
      <c r="IT181" s="53"/>
      <c r="IU181" s="53"/>
      <c r="IV181" s="53"/>
      <c r="IW181" s="53"/>
      <c r="IX181" s="53"/>
      <c r="IY181" s="53"/>
      <c r="IZ181" s="53"/>
      <c r="JA181" s="53"/>
      <c r="JB181" s="53"/>
      <c r="JC181" s="53"/>
      <c r="JD181" s="53"/>
      <c r="JE181" s="53"/>
      <c r="JF181" s="53"/>
      <c r="JG181" s="53"/>
      <c r="JH181" s="53"/>
      <c r="JI181" s="53"/>
      <c r="JJ181" s="53"/>
      <c r="JK181" s="53"/>
      <c r="JL181" s="53"/>
      <c r="JM181" s="53"/>
      <c r="JN181" s="53"/>
      <c r="JO181" s="53"/>
      <c r="JP181" s="53"/>
      <c r="JQ181" s="53"/>
      <c r="JR181" s="53"/>
      <c r="JS181" s="53"/>
      <c r="JT181" s="53"/>
      <c r="JU181" s="53"/>
      <c r="JV181" s="53"/>
      <c r="JW181" s="53"/>
      <c r="JX181" s="53"/>
      <c r="JY181" s="53"/>
      <c r="JZ181" s="53"/>
      <c r="KA181" s="53"/>
      <c r="KB181" s="53"/>
      <c r="KC181" s="53"/>
      <c r="KD181" s="53"/>
      <c r="KE181" s="53"/>
      <c r="KF181" s="53"/>
      <c r="KG181" s="53"/>
      <c r="KH181" s="53"/>
      <c r="KI181" s="53"/>
      <c r="KJ181" s="53"/>
      <c r="KK181" s="53"/>
      <c r="KL181" s="53"/>
      <c r="KM181" s="53"/>
      <c r="KN181" s="53"/>
      <c r="KO181" s="53"/>
      <c r="KP181" s="53"/>
      <c r="KQ181" s="53"/>
      <c r="KR181" s="53"/>
      <c r="KS181" s="53"/>
      <c r="KT181" s="53"/>
      <c r="KU181" s="53"/>
      <c r="KV181" s="53"/>
      <c r="KW181" s="53"/>
      <c r="KX181" s="53"/>
      <c r="KY181" s="53"/>
      <c r="KZ181" s="53"/>
      <c r="LA181" s="53"/>
      <c r="LB181" s="53"/>
      <c r="LC181" s="53"/>
      <c r="LD181" s="53"/>
      <c r="LE181" s="53"/>
      <c r="LF181" s="53"/>
      <c r="LG181" s="53"/>
      <c r="LH181" s="53"/>
      <c r="LI181" s="53"/>
      <c r="LJ181" s="53"/>
      <c r="LK181" s="53"/>
      <c r="LL181" s="53"/>
      <c r="LM181" s="53"/>
      <c r="LN181" s="53"/>
      <c r="LO181" s="53"/>
      <c r="LP181" s="53"/>
      <c r="LQ181" s="53"/>
      <c r="LR181" s="53"/>
      <c r="LS181" s="53"/>
      <c r="LT181" s="53"/>
      <c r="LU181" s="53"/>
      <c r="LV181" s="53"/>
      <c r="LW181" s="53"/>
      <c r="LX181" s="53"/>
      <c r="LY181" s="53"/>
      <c r="LZ181" s="53"/>
      <c r="MA181" s="53"/>
      <c r="MB181" s="53"/>
      <c r="MC181" s="53"/>
      <c r="MD181" s="53"/>
      <c r="ME181" s="53"/>
      <c r="MF181" s="53"/>
      <c r="MG181" s="53"/>
      <c r="MH181" s="53"/>
      <c r="MI181" s="53"/>
      <c r="MJ181" s="53"/>
      <c r="MK181" s="53"/>
      <c r="ML181" s="53"/>
      <c r="MM181" s="53"/>
      <c r="MN181" s="53"/>
      <c r="MO181" s="53"/>
      <c r="MP181" s="53"/>
      <c r="MQ181" s="53"/>
      <c r="MR181" s="53"/>
      <c r="MS181" s="53"/>
      <c r="MT181" s="53"/>
      <c r="MU181" s="53"/>
      <c r="MV181" s="53"/>
      <c r="MW181" s="53"/>
      <c r="MX181" s="53"/>
      <c r="MY181" s="53"/>
      <c r="MZ181" s="53"/>
      <c r="NA181" s="53"/>
      <c r="NB181" s="53"/>
      <c r="NC181" s="53"/>
      <c r="ND181" s="53"/>
      <c r="NE181" s="53"/>
      <c r="NF181" s="53"/>
      <c r="NG181" s="53"/>
      <c r="NH181" s="53"/>
      <c r="NI181" s="53"/>
      <c r="NJ181" s="53"/>
      <c r="NK181" s="53"/>
      <c r="NL181" s="53"/>
      <c r="NM181" s="53"/>
      <c r="NN181" s="53"/>
      <c r="NO181" s="53"/>
      <c r="NP181" s="53"/>
      <c r="NQ181" s="53"/>
      <c r="NR181" s="53"/>
      <c r="NS181" s="53"/>
      <c r="NT181" s="53"/>
      <c r="NU181" s="53"/>
      <c r="NV181" s="53"/>
      <c r="NW181" s="53"/>
      <c r="NX181" s="53"/>
      <c r="NY181" s="53"/>
      <c r="NZ181" s="53"/>
      <c r="OA181" s="53"/>
      <c r="OB181" s="53"/>
      <c r="OC181" s="53"/>
      <c r="OD181" s="53"/>
      <c r="OE181" s="53"/>
      <c r="OF181" s="53"/>
      <c r="OG181" s="53"/>
      <c r="OH181" s="53"/>
      <c r="OI181" s="53"/>
      <c r="OJ181" s="53"/>
      <c r="OK181" s="53"/>
      <c r="OL181" s="53"/>
      <c r="OM181" s="53"/>
      <c r="ON181" s="53"/>
      <c r="OO181" s="53"/>
      <c r="OP181" s="53"/>
      <c r="OQ181" s="53"/>
      <c r="OR181" s="53"/>
      <c r="OS181" s="53"/>
      <c r="OT181" s="53"/>
      <c r="OU181" s="53"/>
      <c r="OV181" s="53"/>
      <c r="OW181" s="53"/>
      <c r="OX181" s="53"/>
      <c r="OY181" s="53"/>
      <c r="OZ181" s="53"/>
      <c r="PA181" s="53"/>
      <c r="PB181" s="53"/>
      <c r="PC181" s="53"/>
      <c r="PD181" s="53"/>
      <c r="PE181" s="53"/>
      <c r="PF181" s="53"/>
      <c r="PG181" s="53"/>
      <c r="PH181" s="53"/>
      <c r="PI181" s="53"/>
      <c r="PJ181" s="53"/>
      <c r="PK181" s="53"/>
      <c r="PL181" s="53"/>
      <c r="PM181" s="53"/>
      <c r="PN181" s="53"/>
      <c r="PO181" s="53"/>
      <c r="PP181" s="53"/>
      <c r="PQ181" s="53"/>
      <c r="PR181" s="53"/>
      <c r="PS181" s="53"/>
      <c r="PT181" s="53"/>
      <c r="PU181" s="53"/>
      <c r="PV181" s="53"/>
      <c r="PW181" s="53"/>
      <c r="PX181" s="53"/>
      <c r="PY181" s="53"/>
      <c r="PZ181" s="53"/>
      <c r="QA181" s="53"/>
      <c r="QB181" s="53"/>
      <c r="QC181" s="53"/>
      <c r="QD181" s="53"/>
      <c r="QE181" s="53"/>
      <c r="QF181" s="53"/>
      <c r="QG181" s="53"/>
      <c r="QH181" s="53"/>
      <c r="QI181" s="53"/>
      <c r="QJ181" s="53"/>
      <c r="QK181" s="53"/>
      <c r="QL181" s="53"/>
      <c r="QM181" s="53"/>
      <c r="QN181" s="53"/>
      <c r="QO181" s="53"/>
      <c r="QP181" s="53"/>
      <c r="QQ181" s="53"/>
      <c r="QR181" s="53"/>
      <c r="QS181" s="53"/>
      <c r="QT181" s="53"/>
      <c r="QU181" s="53"/>
      <c r="QV181" s="53"/>
      <c r="QW181" s="53"/>
      <c r="QX181" s="53"/>
      <c r="QY181" s="53"/>
      <c r="QZ181" s="53"/>
      <c r="RA181" s="53"/>
      <c r="RB181" s="53"/>
      <c r="RC181" s="53"/>
      <c r="RD181" s="53"/>
      <c r="RE181" s="53"/>
      <c r="RF181" s="53"/>
      <c r="RG181" s="53"/>
      <c r="RH181" s="53"/>
      <c r="RI181" s="53"/>
      <c r="RJ181" s="53"/>
      <c r="RK181" s="53"/>
      <c r="RL181" s="53"/>
      <c r="RM181" s="53"/>
      <c r="RN181" s="53"/>
      <c r="RO181" s="53"/>
      <c r="RP181" s="53"/>
      <c r="RQ181" s="53"/>
      <c r="RR181" s="53"/>
      <c r="RS181" s="53"/>
      <c r="RT181" s="53"/>
      <c r="RU181" s="53"/>
      <c r="RV181" s="53"/>
      <c r="RW181" s="53"/>
      <c r="RX181" s="53"/>
      <c r="RY181" s="53"/>
      <c r="RZ181" s="53"/>
      <c r="SA181" s="53"/>
      <c r="SB181" s="53"/>
      <c r="SC181" s="53"/>
      <c r="SD181" s="53"/>
      <c r="SE181" s="53"/>
      <c r="SF181" s="53"/>
      <c r="SG181" s="53"/>
      <c r="SH181" s="53"/>
      <c r="SI181" s="53"/>
      <c r="SJ181" s="53"/>
      <c r="SK181" s="53"/>
      <c r="SL181" s="53"/>
      <c r="SM181" s="53"/>
      <c r="SN181" s="53"/>
      <c r="SO181" s="53"/>
      <c r="SP181" s="53"/>
      <c r="SQ181" s="53"/>
      <c r="SR181" s="53"/>
      <c r="SS181" s="53"/>
      <c r="ST181" s="53"/>
      <c r="SU181" s="53"/>
      <c r="SV181" s="53"/>
      <c r="SW181" s="53"/>
      <c r="SX181" s="53"/>
      <c r="SY181" s="53"/>
      <c r="SZ181" s="53"/>
      <c r="TA181" s="53"/>
      <c r="TB181" s="53"/>
      <c r="TC181" s="53"/>
      <c r="TD181" s="53"/>
      <c r="TE181" s="53"/>
      <c r="TF181" s="53"/>
      <c r="TG181" s="53"/>
      <c r="TH181" s="53"/>
      <c r="TI181" s="53"/>
      <c r="TJ181" s="53"/>
      <c r="TK181" s="53"/>
      <c r="TL181" s="53"/>
      <c r="TM181" s="53"/>
      <c r="TN181" s="53"/>
      <c r="TO181" s="53"/>
      <c r="TP181" s="53"/>
      <c r="TQ181" s="53"/>
      <c r="TR181" s="53"/>
      <c r="TS181" s="53"/>
      <c r="TT181" s="53"/>
      <c r="TU181" s="53"/>
      <c r="TV181" s="53"/>
      <c r="TW181" s="53"/>
      <c r="TX181" s="53"/>
      <c r="TY181" s="53"/>
      <c r="TZ181" s="53"/>
      <c r="UA181" s="53"/>
      <c r="UB181" s="53"/>
      <c r="UC181" s="53"/>
      <c r="UD181" s="53"/>
      <c r="UE181" s="53"/>
      <c r="UF181" s="53"/>
      <c r="UG181" s="53"/>
      <c r="UH181" s="53"/>
      <c r="UI181" s="53"/>
      <c r="UJ181" s="53"/>
      <c r="UK181" s="53"/>
      <c r="UL181" s="53"/>
      <c r="UM181" s="53"/>
      <c r="UN181" s="53"/>
      <c r="UO181" s="53"/>
      <c r="UP181" s="53"/>
      <c r="UQ181" s="53"/>
      <c r="UR181" s="53"/>
      <c r="US181" s="53"/>
      <c r="UT181" s="53"/>
      <c r="UU181" s="53"/>
      <c r="UV181" s="53"/>
      <c r="UW181" s="53"/>
      <c r="UX181" s="53"/>
      <c r="UY181" s="53"/>
      <c r="UZ181" s="53"/>
      <c r="VA181" s="53"/>
      <c r="VB181" s="53"/>
      <c r="VC181" s="53"/>
      <c r="VD181" s="53"/>
      <c r="VE181" s="53"/>
      <c r="VF181" s="53"/>
      <c r="VG181" s="53"/>
      <c r="VH181" s="53"/>
      <c r="VI181" s="53"/>
      <c r="VJ181" s="53"/>
      <c r="VK181" s="53"/>
      <c r="VL181" s="53"/>
    </row>
    <row r="182" spans="1:584" s="47" customFormat="1" ht="19.5" customHeight="1" x14ac:dyDescent="0.25">
      <c r="A182" s="49"/>
      <c r="B182" s="94"/>
      <c r="C182" s="94"/>
      <c r="D182" s="46" t="str">
        <f>'дод 3'!C127</f>
        <v>у т.ч. за рахунок субвенцій з держбюджету</v>
      </c>
      <c r="E182" s="115">
        <v>3120900</v>
      </c>
      <c r="F182" s="115"/>
      <c r="G182" s="115"/>
      <c r="H182" s="115">
        <v>2948129.98</v>
      </c>
      <c r="I182" s="115"/>
      <c r="J182" s="115"/>
      <c r="K182" s="164">
        <f t="shared" si="38"/>
        <v>94.464096254285622</v>
      </c>
      <c r="L182" s="115">
        <f t="shared" si="37"/>
        <v>0</v>
      </c>
      <c r="M182" s="115"/>
      <c r="N182" s="115"/>
      <c r="O182" s="115"/>
      <c r="P182" s="115"/>
      <c r="Q182" s="115"/>
      <c r="R182" s="115">
        <f t="shared" si="39"/>
        <v>0</v>
      </c>
      <c r="S182" s="115"/>
      <c r="T182" s="115"/>
      <c r="U182" s="115"/>
      <c r="V182" s="115"/>
      <c r="W182" s="115"/>
      <c r="X182" s="166"/>
      <c r="Y182" s="115">
        <f t="shared" ref="Y182:Y191" si="41">H182+R182</f>
        <v>2948129.98</v>
      </c>
      <c r="Z182" s="187"/>
      <c r="AA182" s="53"/>
      <c r="AB182" s="53"/>
      <c r="AC182" s="53"/>
      <c r="AD182" s="53"/>
      <c r="AE182" s="79"/>
      <c r="AF182" s="79"/>
      <c r="AG182" s="79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  <c r="IQ182" s="53"/>
      <c r="IR182" s="53"/>
      <c r="IS182" s="53"/>
      <c r="IT182" s="53"/>
      <c r="IU182" s="53"/>
      <c r="IV182" s="53"/>
      <c r="IW182" s="53"/>
      <c r="IX182" s="53"/>
      <c r="IY182" s="53"/>
      <c r="IZ182" s="53"/>
      <c r="JA182" s="53"/>
      <c r="JB182" s="53"/>
      <c r="JC182" s="53"/>
      <c r="JD182" s="53"/>
      <c r="JE182" s="53"/>
      <c r="JF182" s="53"/>
      <c r="JG182" s="53"/>
      <c r="JH182" s="53"/>
      <c r="JI182" s="53"/>
      <c r="JJ182" s="53"/>
      <c r="JK182" s="53"/>
      <c r="JL182" s="53"/>
      <c r="JM182" s="53"/>
      <c r="JN182" s="53"/>
      <c r="JO182" s="53"/>
      <c r="JP182" s="53"/>
      <c r="JQ182" s="53"/>
      <c r="JR182" s="53"/>
      <c r="JS182" s="53"/>
      <c r="JT182" s="53"/>
      <c r="JU182" s="53"/>
      <c r="JV182" s="53"/>
      <c r="JW182" s="53"/>
      <c r="JX182" s="53"/>
      <c r="JY182" s="53"/>
      <c r="JZ182" s="53"/>
      <c r="KA182" s="53"/>
      <c r="KB182" s="53"/>
      <c r="KC182" s="53"/>
      <c r="KD182" s="53"/>
      <c r="KE182" s="53"/>
      <c r="KF182" s="53"/>
      <c r="KG182" s="53"/>
      <c r="KH182" s="53"/>
      <c r="KI182" s="53"/>
      <c r="KJ182" s="53"/>
      <c r="KK182" s="53"/>
      <c r="KL182" s="53"/>
      <c r="KM182" s="53"/>
      <c r="KN182" s="53"/>
      <c r="KO182" s="53"/>
      <c r="KP182" s="53"/>
      <c r="KQ182" s="53"/>
      <c r="KR182" s="53"/>
      <c r="KS182" s="53"/>
      <c r="KT182" s="53"/>
      <c r="KU182" s="53"/>
      <c r="KV182" s="53"/>
      <c r="KW182" s="53"/>
      <c r="KX182" s="53"/>
      <c r="KY182" s="53"/>
      <c r="KZ182" s="53"/>
      <c r="LA182" s="53"/>
      <c r="LB182" s="53"/>
      <c r="LC182" s="53"/>
      <c r="LD182" s="53"/>
      <c r="LE182" s="53"/>
      <c r="LF182" s="53"/>
      <c r="LG182" s="53"/>
      <c r="LH182" s="53"/>
      <c r="LI182" s="53"/>
      <c r="LJ182" s="53"/>
      <c r="LK182" s="53"/>
      <c r="LL182" s="53"/>
      <c r="LM182" s="53"/>
      <c r="LN182" s="53"/>
      <c r="LO182" s="53"/>
      <c r="LP182" s="53"/>
      <c r="LQ182" s="53"/>
      <c r="LR182" s="53"/>
      <c r="LS182" s="53"/>
      <c r="LT182" s="53"/>
      <c r="LU182" s="53"/>
      <c r="LV182" s="53"/>
      <c r="LW182" s="53"/>
      <c r="LX182" s="53"/>
      <c r="LY182" s="53"/>
      <c r="LZ182" s="53"/>
      <c r="MA182" s="53"/>
      <c r="MB182" s="53"/>
      <c r="MC182" s="53"/>
      <c r="MD182" s="53"/>
      <c r="ME182" s="53"/>
      <c r="MF182" s="53"/>
      <c r="MG182" s="53"/>
      <c r="MH182" s="53"/>
      <c r="MI182" s="53"/>
      <c r="MJ182" s="53"/>
      <c r="MK182" s="53"/>
      <c r="ML182" s="53"/>
      <c r="MM182" s="53"/>
      <c r="MN182" s="53"/>
      <c r="MO182" s="53"/>
      <c r="MP182" s="53"/>
      <c r="MQ182" s="53"/>
      <c r="MR182" s="53"/>
      <c r="MS182" s="53"/>
      <c r="MT182" s="53"/>
      <c r="MU182" s="53"/>
      <c r="MV182" s="53"/>
      <c r="MW182" s="53"/>
      <c r="MX182" s="53"/>
      <c r="MY182" s="53"/>
      <c r="MZ182" s="53"/>
      <c r="NA182" s="53"/>
      <c r="NB182" s="53"/>
      <c r="NC182" s="53"/>
      <c r="ND182" s="53"/>
      <c r="NE182" s="53"/>
      <c r="NF182" s="53"/>
      <c r="NG182" s="53"/>
      <c r="NH182" s="53"/>
      <c r="NI182" s="53"/>
      <c r="NJ182" s="53"/>
      <c r="NK182" s="53"/>
      <c r="NL182" s="53"/>
      <c r="NM182" s="53"/>
      <c r="NN182" s="53"/>
      <c r="NO182" s="53"/>
      <c r="NP182" s="53"/>
      <c r="NQ182" s="53"/>
      <c r="NR182" s="53"/>
      <c r="NS182" s="53"/>
      <c r="NT182" s="53"/>
      <c r="NU182" s="53"/>
      <c r="NV182" s="53"/>
      <c r="NW182" s="53"/>
      <c r="NX182" s="53"/>
      <c r="NY182" s="53"/>
      <c r="NZ182" s="53"/>
      <c r="OA182" s="53"/>
      <c r="OB182" s="53"/>
      <c r="OC182" s="53"/>
      <c r="OD182" s="53"/>
      <c r="OE182" s="53"/>
      <c r="OF182" s="53"/>
      <c r="OG182" s="53"/>
      <c r="OH182" s="53"/>
      <c r="OI182" s="53"/>
      <c r="OJ182" s="53"/>
      <c r="OK182" s="53"/>
      <c r="OL182" s="53"/>
      <c r="OM182" s="53"/>
      <c r="ON182" s="53"/>
      <c r="OO182" s="53"/>
      <c r="OP182" s="53"/>
      <c r="OQ182" s="53"/>
      <c r="OR182" s="53"/>
      <c r="OS182" s="53"/>
      <c r="OT182" s="53"/>
      <c r="OU182" s="53"/>
      <c r="OV182" s="53"/>
      <c r="OW182" s="53"/>
      <c r="OX182" s="53"/>
      <c r="OY182" s="53"/>
      <c r="OZ182" s="53"/>
      <c r="PA182" s="53"/>
      <c r="PB182" s="53"/>
      <c r="PC182" s="53"/>
      <c r="PD182" s="53"/>
      <c r="PE182" s="53"/>
      <c r="PF182" s="53"/>
      <c r="PG182" s="53"/>
      <c r="PH182" s="53"/>
      <c r="PI182" s="53"/>
      <c r="PJ182" s="53"/>
      <c r="PK182" s="53"/>
      <c r="PL182" s="53"/>
      <c r="PM182" s="53"/>
      <c r="PN182" s="53"/>
      <c r="PO182" s="53"/>
      <c r="PP182" s="53"/>
      <c r="PQ182" s="53"/>
      <c r="PR182" s="53"/>
      <c r="PS182" s="53"/>
      <c r="PT182" s="53"/>
      <c r="PU182" s="53"/>
      <c r="PV182" s="53"/>
      <c r="PW182" s="53"/>
      <c r="PX182" s="53"/>
      <c r="PY182" s="53"/>
      <c r="PZ182" s="53"/>
      <c r="QA182" s="53"/>
      <c r="QB182" s="53"/>
      <c r="QC182" s="53"/>
      <c r="QD182" s="53"/>
      <c r="QE182" s="53"/>
      <c r="QF182" s="53"/>
      <c r="QG182" s="53"/>
      <c r="QH182" s="53"/>
      <c r="QI182" s="53"/>
      <c r="QJ182" s="53"/>
      <c r="QK182" s="53"/>
      <c r="QL182" s="53"/>
      <c r="QM182" s="53"/>
      <c r="QN182" s="53"/>
      <c r="QO182" s="53"/>
      <c r="QP182" s="53"/>
      <c r="QQ182" s="53"/>
      <c r="QR182" s="53"/>
      <c r="QS182" s="53"/>
      <c r="QT182" s="53"/>
      <c r="QU182" s="53"/>
      <c r="QV182" s="53"/>
      <c r="QW182" s="53"/>
      <c r="QX182" s="53"/>
      <c r="QY182" s="53"/>
      <c r="QZ182" s="53"/>
      <c r="RA182" s="53"/>
      <c r="RB182" s="53"/>
      <c r="RC182" s="53"/>
      <c r="RD182" s="53"/>
      <c r="RE182" s="53"/>
      <c r="RF182" s="53"/>
      <c r="RG182" s="53"/>
      <c r="RH182" s="53"/>
      <c r="RI182" s="53"/>
      <c r="RJ182" s="53"/>
      <c r="RK182" s="53"/>
      <c r="RL182" s="53"/>
      <c r="RM182" s="53"/>
      <c r="RN182" s="53"/>
      <c r="RO182" s="53"/>
      <c r="RP182" s="53"/>
      <c r="RQ182" s="53"/>
      <c r="RR182" s="53"/>
      <c r="RS182" s="53"/>
      <c r="RT182" s="53"/>
      <c r="RU182" s="53"/>
      <c r="RV182" s="53"/>
      <c r="RW182" s="53"/>
      <c r="RX182" s="53"/>
      <c r="RY182" s="53"/>
      <c r="RZ182" s="53"/>
      <c r="SA182" s="53"/>
      <c r="SB182" s="53"/>
      <c r="SC182" s="53"/>
      <c r="SD182" s="53"/>
      <c r="SE182" s="53"/>
      <c r="SF182" s="53"/>
      <c r="SG182" s="53"/>
      <c r="SH182" s="53"/>
      <c r="SI182" s="53"/>
      <c r="SJ182" s="53"/>
      <c r="SK182" s="53"/>
      <c r="SL182" s="53"/>
      <c r="SM182" s="53"/>
      <c r="SN182" s="53"/>
      <c r="SO182" s="53"/>
      <c r="SP182" s="53"/>
      <c r="SQ182" s="53"/>
      <c r="SR182" s="53"/>
      <c r="SS182" s="53"/>
      <c r="ST182" s="53"/>
      <c r="SU182" s="53"/>
      <c r="SV182" s="53"/>
      <c r="SW182" s="53"/>
      <c r="SX182" s="53"/>
      <c r="SY182" s="53"/>
      <c r="SZ182" s="53"/>
      <c r="TA182" s="53"/>
      <c r="TB182" s="53"/>
      <c r="TC182" s="53"/>
      <c r="TD182" s="53"/>
      <c r="TE182" s="53"/>
      <c r="TF182" s="53"/>
      <c r="TG182" s="53"/>
      <c r="TH182" s="53"/>
      <c r="TI182" s="53"/>
      <c r="TJ182" s="53"/>
      <c r="TK182" s="53"/>
      <c r="TL182" s="53"/>
      <c r="TM182" s="53"/>
      <c r="TN182" s="53"/>
      <c r="TO182" s="53"/>
      <c r="TP182" s="53"/>
      <c r="TQ182" s="53"/>
      <c r="TR182" s="53"/>
      <c r="TS182" s="53"/>
      <c r="TT182" s="53"/>
      <c r="TU182" s="53"/>
      <c r="TV182" s="53"/>
      <c r="TW182" s="53"/>
      <c r="TX182" s="53"/>
      <c r="TY182" s="53"/>
      <c r="TZ182" s="53"/>
      <c r="UA182" s="53"/>
      <c r="UB182" s="53"/>
      <c r="UC182" s="53"/>
      <c r="UD182" s="53"/>
      <c r="UE182" s="53"/>
      <c r="UF182" s="53"/>
      <c r="UG182" s="53"/>
      <c r="UH182" s="53"/>
      <c r="UI182" s="53"/>
      <c r="UJ182" s="53"/>
      <c r="UK182" s="53"/>
      <c r="UL182" s="53"/>
      <c r="UM182" s="53"/>
      <c r="UN182" s="53"/>
      <c r="UO182" s="53"/>
      <c r="UP182" s="53"/>
      <c r="UQ182" s="53"/>
      <c r="UR182" s="53"/>
      <c r="US182" s="53"/>
      <c r="UT182" s="53"/>
      <c r="UU182" s="53"/>
      <c r="UV182" s="53"/>
      <c r="UW182" s="53"/>
      <c r="UX182" s="53"/>
      <c r="UY182" s="53"/>
      <c r="UZ182" s="53"/>
      <c r="VA182" s="53"/>
      <c r="VB182" s="53"/>
      <c r="VC182" s="53"/>
      <c r="VD182" s="53"/>
      <c r="VE182" s="53"/>
      <c r="VF182" s="53"/>
      <c r="VG182" s="53"/>
      <c r="VH182" s="53"/>
      <c r="VI182" s="53"/>
      <c r="VJ182" s="53"/>
      <c r="VK182" s="53"/>
      <c r="VL182" s="53"/>
    </row>
    <row r="183" spans="1:584" s="47" customFormat="1" ht="31.5" customHeight="1" x14ac:dyDescent="0.25">
      <c r="A183" s="45" t="s">
        <v>399</v>
      </c>
      <c r="B183" s="91" t="str">
        <f>'дод 3'!A128</f>
        <v>3241</v>
      </c>
      <c r="C183" s="91" t="str">
        <f>'дод 3'!B128</f>
        <v>1090</v>
      </c>
      <c r="D183" s="48" t="str">
        <f>'дод 3'!C128</f>
        <v>Забезпечення діяльності інших закладів у сфері соціального захисту і соціального забезпечення</v>
      </c>
      <c r="E183" s="115">
        <v>5115983</v>
      </c>
      <c r="F183" s="115">
        <f>2885108-504</f>
        <v>2884604</v>
      </c>
      <c r="G183" s="115">
        <f>539079+7054</f>
        <v>546133</v>
      </c>
      <c r="H183" s="115">
        <v>4773395.1100000003</v>
      </c>
      <c r="I183" s="115">
        <v>2883177.1</v>
      </c>
      <c r="J183" s="115">
        <v>358405.66</v>
      </c>
      <c r="K183" s="164">
        <f t="shared" si="38"/>
        <v>93.303576458326788</v>
      </c>
      <c r="L183" s="115">
        <f t="shared" ref="L183:L241" si="42">N183+Q183</f>
        <v>779000</v>
      </c>
      <c r="M183" s="115">
        <f>410000+500000-114500+7500+10000-54000+20000</f>
        <v>779000</v>
      </c>
      <c r="N183" s="115"/>
      <c r="O183" s="115"/>
      <c r="P183" s="115"/>
      <c r="Q183" s="115">
        <f>410000+500000-114500+7500+10000-54000+20000</f>
        <v>779000</v>
      </c>
      <c r="R183" s="115">
        <f t="shared" si="39"/>
        <v>322376.15999999997</v>
      </c>
      <c r="S183" s="115">
        <v>278852.28999999998</v>
      </c>
      <c r="T183" s="115">
        <v>43523.87</v>
      </c>
      <c r="U183" s="115"/>
      <c r="V183" s="115"/>
      <c r="W183" s="115">
        <v>278852.28999999998</v>
      </c>
      <c r="X183" s="166">
        <f t="shared" si="40"/>
        <v>41.383332477535298</v>
      </c>
      <c r="Y183" s="115">
        <f t="shared" si="41"/>
        <v>5095771.2700000005</v>
      </c>
      <c r="Z183" s="187"/>
      <c r="AA183" s="53"/>
      <c r="AB183" s="53"/>
      <c r="AC183" s="53"/>
      <c r="AD183" s="53"/>
      <c r="AE183" s="79"/>
      <c r="AF183" s="79"/>
      <c r="AG183" s="79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  <c r="IQ183" s="53"/>
      <c r="IR183" s="53"/>
      <c r="IS183" s="53"/>
      <c r="IT183" s="53"/>
      <c r="IU183" s="53"/>
      <c r="IV183" s="53"/>
      <c r="IW183" s="53"/>
      <c r="IX183" s="53"/>
      <c r="IY183" s="53"/>
      <c r="IZ183" s="53"/>
      <c r="JA183" s="53"/>
      <c r="JB183" s="53"/>
      <c r="JC183" s="53"/>
      <c r="JD183" s="53"/>
      <c r="JE183" s="53"/>
      <c r="JF183" s="53"/>
      <c r="JG183" s="53"/>
      <c r="JH183" s="53"/>
      <c r="JI183" s="53"/>
      <c r="JJ183" s="53"/>
      <c r="JK183" s="53"/>
      <c r="JL183" s="53"/>
      <c r="JM183" s="53"/>
      <c r="JN183" s="53"/>
      <c r="JO183" s="53"/>
      <c r="JP183" s="53"/>
      <c r="JQ183" s="53"/>
      <c r="JR183" s="53"/>
      <c r="JS183" s="53"/>
      <c r="JT183" s="53"/>
      <c r="JU183" s="53"/>
      <c r="JV183" s="53"/>
      <c r="JW183" s="53"/>
      <c r="JX183" s="53"/>
      <c r="JY183" s="53"/>
      <c r="JZ183" s="53"/>
      <c r="KA183" s="53"/>
      <c r="KB183" s="53"/>
      <c r="KC183" s="53"/>
      <c r="KD183" s="53"/>
      <c r="KE183" s="53"/>
      <c r="KF183" s="53"/>
      <c r="KG183" s="53"/>
      <c r="KH183" s="53"/>
      <c r="KI183" s="53"/>
      <c r="KJ183" s="53"/>
      <c r="KK183" s="53"/>
      <c r="KL183" s="53"/>
      <c r="KM183" s="53"/>
      <c r="KN183" s="53"/>
      <c r="KO183" s="53"/>
      <c r="KP183" s="53"/>
      <c r="KQ183" s="53"/>
      <c r="KR183" s="53"/>
      <c r="KS183" s="53"/>
      <c r="KT183" s="53"/>
      <c r="KU183" s="53"/>
      <c r="KV183" s="53"/>
      <c r="KW183" s="53"/>
      <c r="KX183" s="53"/>
      <c r="KY183" s="53"/>
      <c r="KZ183" s="53"/>
      <c r="LA183" s="53"/>
      <c r="LB183" s="53"/>
      <c r="LC183" s="53"/>
      <c r="LD183" s="53"/>
      <c r="LE183" s="53"/>
      <c r="LF183" s="53"/>
      <c r="LG183" s="53"/>
      <c r="LH183" s="53"/>
      <c r="LI183" s="53"/>
      <c r="LJ183" s="53"/>
      <c r="LK183" s="53"/>
      <c r="LL183" s="53"/>
      <c r="LM183" s="53"/>
      <c r="LN183" s="53"/>
      <c r="LO183" s="53"/>
      <c r="LP183" s="53"/>
      <c r="LQ183" s="53"/>
      <c r="LR183" s="53"/>
      <c r="LS183" s="53"/>
      <c r="LT183" s="53"/>
      <c r="LU183" s="53"/>
      <c r="LV183" s="53"/>
      <c r="LW183" s="53"/>
      <c r="LX183" s="53"/>
      <c r="LY183" s="53"/>
      <c r="LZ183" s="53"/>
      <c r="MA183" s="53"/>
      <c r="MB183" s="53"/>
      <c r="MC183" s="53"/>
      <c r="MD183" s="53"/>
      <c r="ME183" s="53"/>
      <c r="MF183" s="53"/>
      <c r="MG183" s="53"/>
      <c r="MH183" s="53"/>
      <c r="MI183" s="53"/>
      <c r="MJ183" s="53"/>
      <c r="MK183" s="53"/>
      <c r="ML183" s="53"/>
      <c r="MM183" s="53"/>
      <c r="MN183" s="53"/>
      <c r="MO183" s="53"/>
      <c r="MP183" s="53"/>
      <c r="MQ183" s="53"/>
      <c r="MR183" s="53"/>
      <c r="MS183" s="53"/>
      <c r="MT183" s="53"/>
      <c r="MU183" s="53"/>
      <c r="MV183" s="53"/>
      <c r="MW183" s="53"/>
      <c r="MX183" s="53"/>
      <c r="MY183" s="53"/>
      <c r="MZ183" s="53"/>
      <c r="NA183" s="53"/>
      <c r="NB183" s="53"/>
      <c r="NC183" s="53"/>
      <c r="ND183" s="53"/>
      <c r="NE183" s="53"/>
      <c r="NF183" s="53"/>
      <c r="NG183" s="53"/>
      <c r="NH183" s="53"/>
      <c r="NI183" s="53"/>
      <c r="NJ183" s="53"/>
      <c r="NK183" s="53"/>
      <c r="NL183" s="53"/>
      <c r="NM183" s="53"/>
      <c r="NN183" s="53"/>
      <c r="NO183" s="53"/>
      <c r="NP183" s="53"/>
      <c r="NQ183" s="53"/>
      <c r="NR183" s="53"/>
      <c r="NS183" s="53"/>
      <c r="NT183" s="53"/>
      <c r="NU183" s="53"/>
      <c r="NV183" s="53"/>
      <c r="NW183" s="53"/>
      <c r="NX183" s="53"/>
      <c r="NY183" s="53"/>
      <c r="NZ183" s="53"/>
      <c r="OA183" s="53"/>
      <c r="OB183" s="53"/>
      <c r="OC183" s="53"/>
      <c r="OD183" s="53"/>
      <c r="OE183" s="53"/>
      <c r="OF183" s="53"/>
      <c r="OG183" s="53"/>
      <c r="OH183" s="53"/>
      <c r="OI183" s="53"/>
      <c r="OJ183" s="53"/>
      <c r="OK183" s="53"/>
      <c r="OL183" s="53"/>
      <c r="OM183" s="53"/>
      <c r="ON183" s="53"/>
      <c r="OO183" s="53"/>
      <c r="OP183" s="53"/>
      <c r="OQ183" s="53"/>
      <c r="OR183" s="53"/>
      <c r="OS183" s="53"/>
      <c r="OT183" s="53"/>
      <c r="OU183" s="53"/>
      <c r="OV183" s="53"/>
      <c r="OW183" s="53"/>
      <c r="OX183" s="53"/>
      <c r="OY183" s="53"/>
      <c r="OZ183" s="53"/>
      <c r="PA183" s="53"/>
      <c r="PB183" s="53"/>
      <c r="PC183" s="53"/>
      <c r="PD183" s="53"/>
      <c r="PE183" s="53"/>
      <c r="PF183" s="53"/>
      <c r="PG183" s="53"/>
      <c r="PH183" s="53"/>
      <c r="PI183" s="53"/>
      <c r="PJ183" s="53"/>
      <c r="PK183" s="53"/>
      <c r="PL183" s="53"/>
      <c r="PM183" s="53"/>
      <c r="PN183" s="53"/>
      <c r="PO183" s="53"/>
      <c r="PP183" s="53"/>
      <c r="PQ183" s="53"/>
      <c r="PR183" s="53"/>
      <c r="PS183" s="53"/>
      <c r="PT183" s="53"/>
      <c r="PU183" s="53"/>
      <c r="PV183" s="53"/>
      <c r="PW183" s="53"/>
      <c r="PX183" s="53"/>
      <c r="PY183" s="53"/>
      <c r="PZ183" s="53"/>
      <c r="QA183" s="53"/>
      <c r="QB183" s="53"/>
      <c r="QC183" s="53"/>
      <c r="QD183" s="53"/>
      <c r="QE183" s="53"/>
      <c r="QF183" s="53"/>
      <c r="QG183" s="53"/>
      <c r="QH183" s="53"/>
      <c r="QI183" s="53"/>
      <c r="QJ183" s="53"/>
      <c r="QK183" s="53"/>
      <c r="QL183" s="53"/>
      <c r="QM183" s="53"/>
      <c r="QN183" s="53"/>
      <c r="QO183" s="53"/>
      <c r="QP183" s="53"/>
      <c r="QQ183" s="53"/>
      <c r="QR183" s="53"/>
      <c r="QS183" s="53"/>
      <c r="QT183" s="53"/>
      <c r="QU183" s="53"/>
      <c r="QV183" s="53"/>
      <c r="QW183" s="53"/>
      <c r="QX183" s="53"/>
      <c r="QY183" s="53"/>
      <c r="QZ183" s="53"/>
      <c r="RA183" s="53"/>
      <c r="RB183" s="53"/>
      <c r="RC183" s="53"/>
      <c r="RD183" s="53"/>
      <c r="RE183" s="53"/>
      <c r="RF183" s="53"/>
      <c r="RG183" s="53"/>
      <c r="RH183" s="53"/>
      <c r="RI183" s="53"/>
      <c r="RJ183" s="53"/>
      <c r="RK183" s="53"/>
      <c r="RL183" s="53"/>
      <c r="RM183" s="53"/>
      <c r="RN183" s="53"/>
      <c r="RO183" s="53"/>
      <c r="RP183" s="53"/>
      <c r="RQ183" s="53"/>
      <c r="RR183" s="53"/>
      <c r="RS183" s="53"/>
      <c r="RT183" s="53"/>
      <c r="RU183" s="53"/>
      <c r="RV183" s="53"/>
      <c r="RW183" s="53"/>
      <c r="RX183" s="53"/>
      <c r="RY183" s="53"/>
      <c r="RZ183" s="53"/>
      <c r="SA183" s="53"/>
      <c r="SB183" s="53"/>
      <c r="SC183" s="53"/>
      <c r="SD183" s="53"/>
      <c r="SE183" s="53"/>
      <c r="SF183" s="53"/>
      <c r="SG183" s="53"/>
      <c r="SH183" s="53"/>
      <c r="SI183" s="53"/>
      <c r="SJ183" s="53"/>
      <c r="SK183" s="53"/>
      <c r="SL183" s="53"/>
      <c r="SM183" s="53"/>
      <c r="SN183" s="53"/>
      <c r="SO183" s="53"/>
      <c r="SP183" s="53"/>
      <c r="SQ183" s="53"/>
      <c r="SR183" s="53"/>
      <c r="SS183" s="53"/>
      <c r="ST183" s="53"/>
      <c r="SU183" s="53"/>
      <c r="SV183" s="53"/>
      <c r="SW183" s="53"/>
      <c r="SX183" s="53"/>
      <c r="SY183" s="53"/>
      <c r="SZ183" s="53"/>
      <c r="TA183" s="53"/>
      <c r="TB183" s="53"/>
      <c r="TC183" s="53"/>
      <c r="TD183" s="53"/>
      <c r="TE183" s="53"/>
      <c r="TF183" s="53"/>
      <c r="TG183" s="53"/>
      <c r="TH183" s="53"/>
      <c r="TI183" s="53"/>
      <c r="TJ183" s="53"/>
      <c r="TK183" s="53"/>
      <c r="TL183" s="53"/>
      <c r="TM183" s="53"/>
      <c r="TN183" s="53"/>
      <c r="TO183" s="53"/>
      <c r="TP183" s="53"/>
      <c r="TQ183" s="53"/>
      <c r="TR183" s="53"/>
      <c r="TS183" s="53"/>
      <c r="TT183" s="53"/>
      <c r="TU183" s="53"/>
      <c r="TV183" s="53"/>
      <c r="TW183" s="53"/>
      <c r="TX183" s="53"/>
      <c r="TY183" s="53"/>
      <c r="TZ183" s="53"/>
      <c r="UA183" s="53"/>
      <c r="UB183" s="53"/>
      <c r="UC183" s="53"/>
      <c r="UD183" s="53"/>
      <c r="UE183" s="53"/>
      <c r="UF183" s="53"/>
      <c r="UG183" s="53"/>
      <c r="UH183" s="53"/>
      <c r="UI183" s="53"/>
      <c r="UJ183" s="53"/>
      <c r="UK183" s="53"/>
      <c r="UL183" s="53"/>
      <c r="UM183" s="53"/>
      <c r="UN183" s="53"/>
      <c r="UO183" s="53"/>
      <c r="UP183" s="53"/>
      <c r="UQ183" s="53"/>
      <c r="UR183" s="53"/>
      <c r="US183" s="53"/>
      <c r="UT183" s="53"/>
      <c r="UU183" s="53"/>
      <c r="UV183" s="53"/>
      <c r="UW183" s="53"/>
      <c r="UX183" s="53"/>
      <c r="UY183" s="53"/>
      <c r="UZ183" s="53"/>
      <c r="VA183" s="53"/>
      <c r="VB183" s="53"/>
      <c r="VC183" s="53"/>
      <c r="VD183" s="53"/>
      <c r="VE183" s="53"/>
      <c r="VF183" s="53"/>
      <c r="VG183" s="53"/>
      <c r="VH183" s="53"/>
      <c r="VI183" s="53"/>
      <c r="VJ183" s="53"/>
      <c r="VK183" s="53"/>
      <c r="VL183" s="53"/>
    </row>
    <row r="184" spans="1:584" s="47" customFormat="1" ht="33" customHeight="1" x14ac:dyDescent="0.25">
      <c r="A184" s="45" t="s">
        <v>400</v>
      </c>
      <c r="B184" s="91" t="str">
        <f>'дод 3'!A129</f>
        <v>3242</v>
      </c>
      <c r="C184" s="91" t="str">
        <f>'дод 3'!B129</f>
        <v>1090</v>
      </c>
      <c r="D184" s="48" t="str">
        <f>'дод 3'!C129</f>
        <v>Інші заходи у сфері соціального захисту і соціального забезпечення</v>
      </c>
      <c r="E184" s="115">
        <v>37020313</v>
      </c>
      <c r="F184" s="115"/>
      <c r="G184" s="115"/>
      <c r="H184" s="115">
        <v>26961659.800000001</v>
      </c>
      <c r="I184" s="115"/>
      <c r="J184" s="115"/>
      <c r="K184" s="164">
        <f t="shared" si="38"/>
        <v>72.829367488059873</v>
      </c>
      <c r="L184" s="115">
        <f t="shared" si="42"/>
        <v>42000</v>
      </c>
      <c r="M184" s="115">
        <f>42000</f>
        <v>42000</v>
      </c>
      <c r="N184" s="115"/>
      <c r="O184" s="115"/>
      <c r="P184" s="115"/>
      <c r="Q184" s="115">
        <f>42000</f>
        <v>42000</v>
      </c>
      <c r="R184" s="115">
        <f t="shared" si="39"/>
        <v>32400</v>
      </c>
      <c r="S184" s="115">
        <v>32400</v>
      </c>
      <c r="T184" s="115"/>
      <c r="U184" s="115"/>
      <c r="V184" s="115"/>
      <c r="W184" s="115">
        <v>32400</v>
      </c>
      <c r="X184" s="166">
        <f t="shared" si="40"/>
        <v>77.142857142857153</v>
      </c>
      <c r="Y184" s="115">
        <f t="shared" si="41"/>
        <v>26994059.800000001</v>
      </c>
      <c r="Z184" s="187"/>
      <c r="AA184" s="53"/>
      <c r="AB184" s="53"/>
      <c r="AC184" s="53"/>
      <c r="AD184" s="53"/>
      <c r="AE184" s="79"/>
      <c r="AF184" s="79"/>
      <c r="AG184" s="79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  <c r="IW184" s="53"/>
      <c r="IX184" s="53"/>
      <c r="IY184" s="53"/>
      <c r="IZ184" s="53"/>
      <c r="JA184" s="53"/>
      <c r="JB184" s="53"/>
      <c r="JC184" s="53"/>
      <c r="JD184" s="53"/>
      <c r="JE184" s="53"/>
      <c r="JF184" s="53"/>
      <c r="JG184" s="53"/>
      <c r="JH184" s="53"/>
      <c r="JI184" s="53"/>
      <c r="JJ184" s="53"/>
      <c r="JK184" s="53"/>
      <c r="JL184" s="53"/>
      <c r="JM184" s="53"/>
      <c r="JN184" s="53"/>
      <c r="JO184" s="53"/>
      <c r="JP184" s="53"/>
      <c r="JQ184" s="53"/>
      <c r="JR184" s="53"/>
      <c r="JS184" s="53"/>
      <c r="JT184" s="53"/>
      <c r="JU184" s="53"/>
      <c r="JV184" s="53"/>
      <c r="JW184" s="53"/>
      <c r="JX184" s="53"/>
      <c r="JY184" s="53"/>
      <c r="JZ184" s="53"/>
      <c r="KA184" s="53"/>
      <c r="KB184" s="53"/>
      <c r="KC184" s="53"/>
      <c r="KD184" s="53"/>
      <c r="KE184" s="53"/>
      <c r="KF184" s="53"/>
      <c r="KG184" s="53"/>
      <c r="KH184" s="53"/>
      <c r="KI184" s="53"/>
      <c r="KJ184" s="53"/>
      <c r="KK184" s="53"/>
      <c r="KL184" s="53"/>
      <c r="KM184" s="53"/>
      <c r="KN184" s="53"/>
      <c r="KO184" s="53"/>
      <c r="KP184" s="53"/>
      <c r="KQ184" s="53"/>
      <c r="KR184" s="53"/>
      <c r="KS184" s="53"/>
      <c r="KT184" s="53"/>
      <c r="KU184" s="53"/>
      <c r="KV184" s="53"/>
      <c r="KW184" s="53"/>
      <c r="KX184" s="53"/>
      <c r="KY184" s="53"/>
      <c r="KZ184" s="53"/>
      <c r="LA184" s="53"/>
      <c r="LB184" s="53"/>
      <c r="LC184" s="53"/>
      <c r="LD184" s="53"/>
      <c r="LE184" s="53"/>
      <c r="LF184" s="53"/>
      <c r="LG184" s="53"/>
      <c r="LH184" s="53"/>
      <c r="LI184" s="53"/>
      <c r="LJ184" s="53"/>
      <c r="LK184" s="53"/>
      <c r="LL184" s="53"/>
      <c r="LM184" s="53"/>
      <c r="LN184" s="53"/>
      <c r="LO184" s="53"/>
      <c r="LP184" s="53"/>
      <c r="LQ184" s="53"/>
      <c r="LR184" s="53"/>
      <c r="LS184" s="53"/>
      <c r="LT184" s="53"/>
      <c r="LU184" s="53"/>
      <c r="LV184" s="53"/>
      <c r="LW184" s="53"/>
      <c r="LX184" s="53"/>
      <c r="LY184" s="53"/>
      <c r="LZ184" s="53"/>
      <c r="MA184" s="53"/>
      <c r="MB184" s="53"/>
      <c r="MC184" s="53"/>
      <c r="MD184" s="53"/>
      <c r="ME184" s="53"/>
      <c r="MF184" s="53"/>
      <c r="MG184" s="53"/>
      <c r="MH184" s="53"/>
      <c r="MI184" s="53"/>
      <c r="MJ184" s="53"/>
      <c r="MK184" s="53"/>
      <c r="ML184" s="53"/>
      <c r="MM184" s="53"/>
      <c r="MN184" s="53"/>
      <c r="MO184" s="53"/>
      <c r="MP184" s="53"/>
      <c r="MQ184" s="53"/>
      <c r="MR184" s="53"/>
      <c r="MS184" s="53"/>
      <c r="MT184" s="53"/>
      <c r="MU184" s="53"/>
      <c r="MV184" s="53"/>
      <c r="MW184" s="53"/>
      <c r="MX184" s="53"/>
      <c r="MY184" s="53"/>
      <c r="MZ184" s="53"/>
      <c r="NA184" s="53"/>
      <c r="NB184" s="53"/>
      <c r="NC184" s="53"/>
      <c r="ND184" s="53"/>
      <c r="NE184" s="53"/>
      <c r="NF184" s="53"/>
      <c r="NG184" s="53"/>
      <c r="NH184" s="53"/>
      <c r="NI184" s="53"/>
      <c r="NJ184" s="53"/>
      <c r="NK184" s="53"/>
      <c r="NL184" s="53"/>
      <c r="NM184" s="53"/>
      <c r="NN184" s="53"/>
      <c r="NO184" s="53"/>
      <c r="NP184" s="53"/>
      <c r="NQ184" s="53"/>
      <c r="NR184" s="53"/>
      <c r="NS184" s="53"/>
      <c r="NT184" s="53"/>
      <c r="NU184" s="53"/>
      <c r="NV184" s="53"/>
      <c r="NW184" s="53"/>
      <c r="NX184" s="53"/>
      <c r="NY184" s="53"/>
      <c r="NZ184" s="53"/>
      <c r="OA184" s="53"/>
      <c r="OB184" s="53"/>
      <c r="OC184" s="53"/>
      <c r="OD184" s="53"/>
      <c r="OE184" s="53"/>
      <c r="OF184" s="53"/>
      <c r="OG184" s="53"/>
      <c r="OH184" s="53"/>
      <c r="OI184" s="53"/>
      <c r="OJ184" s="53"/>
      <c r="OK184" s="53"/>
      <c r="OL184" s="53"/>
      <c r="OM184" s="53"/>
      <c r="ON184" s="53"/>
      <c r="OO184" s="53"/>
      <c r="OP184" s="53"/>
      <c r="OQ184" s="53"/>
      <c r="OR184" s="53"/>
      <c r="OS184" s="53"/>
      <c r="OT184" s="53"/>
      <c r="OU184" s="53"/>
      <c r="OV184" s="53"/>
      <c r="OW184" s="53"/>
      <c r="OX184" s="53"/>
      <c r="OY184" s="53"/>
      <c r="OZ184" s="53"/>
      <c r="PA184" s="53"/>
      <c r="PB184" s="53"/>
      <c r="PC184" s="53"/>
      <c r="PD184" s="53"/>
      <c r="PE184" s="53"/>
      <c r="PF184" s="53"/>
      <c r="PG184" s="53"/>
      <c r="PH184" s="53"/>
      <c r="PI184" s="53"/>
      <c r="PJ184" s="53"/>
      <c r="PK184" s="53"/>
      <c r="PL184" s="53"/>
      <c r="PM184" s="53"/>
      <c r="PN184" s="53"/>
      <c r="PO184" s="53"/>
      <c r="PP184" s="53"/>
      <c r="PQ184" s="53"/>
      <c r="PR184" s="53"/>
      <c r="PS184" s="53"/>
      <c r="PT184" s="53"/>
      <c r="PU184" s="53"/>
      <c r="PV184" s="53"/>
      <c r="PW184" s="53"/>
      <c r="PX184" s="53"/>
      <c r="PY184" s="53"/>
      <c r="PZ184" s="53"/>
      <c r="QA184" s="53"/>
      <c r="QB184" s="53"/>
      <c r="QC184" s="53"/>
      <c r="QD184" s="53"/>
      <c r="QE184" s="53"/>
      <c r="QF184" s="53"/>
      <c r="QG184" s="53"/>
      <c r="QH184" s="53"/>
      <c r="QI184" s="53"/>
      <c r="QJ184" s="53"/>
      <c r="QK184" s="53"/>
      <c r="QL184" s="53"/>
      <c r="QM184" s="53"/>
      <c r="QN184" s="53"/>
      <c r="QO184" s="53"/>
      <c r="QP184" s="53"/>
      <c r="QQ184" s="53"/>
      <c r="QR184" s="53"/>
      <c r="QS184" s="53"/>
      <c r="QT184" s="53"/>
      <c r="QU184" s="53"/>
      <c r="QV184" s="53"/>
      <c r="QW184" s="53"/>
      <c r="QX184" s="53"/>
      <c r="QY184" s="53"/>
      <c r="QZ184" s="53"/>
      <c r="RA184" s="53"/>
      <c r="RB184" s="53"/>
      <c r="RC184" s="53"/>
      <c r="RD184" s="53"/>
      <c r="RE184" s="53"/>
      <c r="RF184" s="53"/>
      <c r="RG184" s="53"/>
      <c r="RH184" s="53"/>
      <c r="RI184" s="53"/>
      <c r="RJ184" s="53"/>
      <c r="RK184" s="53"/>
      <c r="RL184" s="53"/>
      <c r="RM184" s="53"/>
      <c r="RN184" s="53"/>
      <c r="RO184" s="53"/>
      <c r="RP184" s="53"/>
      <c r="RQ184" s="53"/>
      <c r="RR184" s="53"/>
      <c r="RS184" s="53"/>
      <c r="RT184" s="53"/>
      <c r="RU184" s="53"/>
      <c r="RV184" s="53"/>
      <c r="RW184" s="53"/>
      <c r="RX184" s="53"/>
      <c r="RY184" s="53"/>
      <c r="RZ184" s="53"/>
      <c r="SA184" s="53"/>
      <c r="SB184" s="53"/>
      <c r="SC184" s="53"/>
      <c r="SD184" s="53"/>
      <c r="SE184" s="53"/>
      <c r="SF184" s="53"/>
      <c r="SG184" s="53"/>
      <c r="SH184" s="53"/>
      <c r="SI184" s="53"/>
      <c r="SJ184" s="53"/>
      <c r="SK184" s="53"/>
      <c r="SL184" s="53"/>
      <c r="SM184" s="53"/>
      <c r="SN184" s="53"/>
      <c r="SO184" s="53"/>
      <c r="SP184" s="53"/>
      <c r="SQ184" s="53"/>
      <c r="SR184" s="53"/>
      <c r="SS184" s="53"/>
      <c r="ST184" s="53"/>
      <c r="SU184" s="53"/>
      <c r="SV184" s="53"/>
      <c r="SW184" s="53"/>
      <c r="SX184" s="53"/>
      <c r="SY184" s="53"/>
      <c r="SZ184" s="53"/>
      <c r="TA184" s="53"/>
      <c r="TB184" s="53"/>
      <c r="TC184" s="53"/>
      <c r="TD184" s="53"/>
      <c r="TE184" s="53"/>
      <c r="TF184" s="53"/>
      <c r="TG184" s="53"/>
      <c r="TH184" s="53"/>
      <c r="TI184" s="53"/>
      <c r="TJ184" s="53"/>
      <c r="TK184" s="53"/>
      <c r="TL184" s="53"/>
      <c r="TM184" s="53"/>
      <c r="TN184" s="53"/>
      <c r="TO184" s="53"/>
      <c r="TP184" s="53"/>
      <c r="TQ184" s="53"/>
      <c r="TR184" s="53"/>
      <c r="TS184" s="53"/>
      <c r="TT184" s="53"/>
      <c r="TU184" s="53"/>
      <c r="TV184" s="53"/>
      <c r="TW184" s="53"/>
      <c r="TX184" s="53"/>
      <c r="TY184" s="53"/>
      <c r="TZ184" s="53"/>
      <c r="UA184" s="53"/>
      <c r="UB184" s="53"/>
      <c r="UC184" s="53"/>
      <c r="UD184" s="53"/>
      <c r="UE184" s="53"/>
      <c r="UF184" s="53"/>
      <c r="UG184" s="53"/>
      <c r="UH184" s="53"/>
      <c r="UI184" s="53"/>
      <c r="UJ184" s="53"/>
      <c r="UK184" s="53"/>
      <c r="UL184" s="53"/>
      <c r="UM184" s="53"/>
      <c r="UN184" s="53"/>
      <c r="UO184" s="53"/>
      <c r="UP184" s="53"/>
      <c r="UQ184" s="53"/>
      <c r="UR184" s="53"/>
      <c r="US184" s="53"/>
      <c r="UT184" s="53"/>
      <c r="UU184" s="53"/>
      <c r="UV184" s="53"/>
      <c r="UW184" s="53"/>
      <c r="UX184" s="53"/>
      <c r="UY184" s="53"/>
      <c r="UZ184" s="53"/>
      <c r="VA184" s="53"/>
      <c r="VB184" s="53"/>
      <c r="VC184" s="53"/>
      <c r="VD184" s="53"/>
      <c r="VE184" s="53"/>
      <c r="VF184" s="53"/>
      <c r="VG184" s="53"/>
      <c r="VH184" s="53"/>
      <c r="VI184" s="53"/>
      <c r="VJ184" s="53"/>
      <c r="VK184" s="53"/>
      <c r="VL184" s="53"/>
    </row>
    <row r="185" spans="1:584" s="47" customFormat="1" ht="62.25" customHeight="1" x14ac:dyDescent="0.25">
      <c r="A185" s="71" t="s">
        <v>602</v>
      </c>
      <c r="B185" s="71" t="s">
        <v>547</v>
      </c>
      <c r="C185" s="93" t="s">
        <v>97</v>
      </c>
      <c r="D185" s="106" t="s">
        <v>546</v>
      </c>
      <c r="E185" s="115">
        <v>0</v>
      </c>
      <c r="F185" s="115"/>
      <c r="G185" s="115"/>
      <c r="H185" s="115"/>
      <c r="I185" s="115"/>
      <c r="J185" s="115"/>
      <c r="K185" s="164"/>
      <c r="L185" s="115">
        <f t="shared" si="42"/>
        <v>1033788</v>
      </c>
      <c r="M185" s="115">
        <v>1033788</v>
      </c>
      <c r="N185" s="115"/>
      <c r="O185" s="115"/>
      <c r="P185" s="115"/>
      <c r="Q185" s="115">
        <v>1033788</v>
      </c>
      <c r="R185" s="115">
        <f t="shared" si="39"/>
        <v>1033788</v>
      </c>
      <c r="S185" s="115">
        <v>1033788</v>
      </c>
      <c r="T185" s="115"/>
      <c r="U185" s="115"/>
      <c r="V185" s="115"/>
      <c r="W185" s="115">
        <v>1033788</v>
      </c>
      <c r="X185" s="166">
        <f t="shared" si="40"/>
        <v>100</v>
      </c>
      <c r="Y185" s="115">
        <f t="shared" si="41"/>
        <v>1033788</v>
      </c>
      <c r="Z185" s="187"/>
      <c r="AA185" s="53"/>
      <c r="AB185" s="53"/>
      <c r="AC185" s="53"/>
      <c r="AD185" s="53"/>
      <c r="AE185" s="79"/>
      <c r="AF185" s="79"/>
      <c r="AG185" s="79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  <c r="IW185" s="53"/>
      <c r="IX185" s="53"/>
      <c r="IY185" s="53"/>
      <c r="IZ185" s="53"/>
      <c r="JA185" s="53"/>
      <c r="JB185" s="53"/>
      <c r="JC185" s="53"/>
      <c r="JD185" s="53"/>
      <c r="JE185" s="53"/>
      <c r="JF185" s="53"/>
      <c r="JG185" s="53"/>
      <c r="JH185" s="53"/>
      <c r="JI185" s="53"/>
      <c r="JJ185" s="53"/>
      <c r="JK185" s="53"/>
      <c r="JL185" s="53"/>
      <c r="JM185" s="53"/>
      <c r="JN185" s="53"/>
      <c r="JO185" s="53"/>
      <c r="JP185" s="53"/>
      <c r="JQ185" s="53"/>
      <c r="JR185" s="53"/>
      <c r="JS185" s="53"/>
      <c r="JT185" s="53"/>
      <c r="JU185" s="53"/>
      <c r="JV185" s="53"/>
      <c r="JW185" s="53"/>
      <c r="JX185" s="53"/>
      <c r="JY185" s="53"/>
      <c r="JZ185" s="53"/>
      <c r="KA185" s="53"/>
      <c r="KB185" s="53"/>
      <c r="KC185" s="53"/>
      <c r="KD185" s="53"/>
      <c r="KE185" s="53"/>
      <c r="KF185" s="53"/>
      <c r="KG185" s="53"/>
      <c r="KH185" s="53"/>
      <c r="KI185" s="53"/>
      <c r="KJ185" s="53"/>
      <c r="KK185" s="53"/>
      <c r="KL185" s="53"/>
      <c r="KM185" s="53"/>
      <c r="KN185" s="53"/>
      <c r="KO185" s="53"/>
      <c r="KP185" s="53"/>
      <c r="KQ185" s="53"/>
      <c r="KR185" s="53"/>
      <c r="KS185" s="53"/>
      <c r="KT185" s="53"/>
      <c r="KU185" s="53"/>
      <c r="KV185" s="53"/>
      <c r="KW185" s="53"/>
      <c r="KX185" s="53"/>
      <c r="KY185" s="53"/>
      <c r="KZ185" s="53"/>
      <c r="LA185" s="53"/>
      <c r="LB185" s="53"/>
      <c r="LC185" s="53"/>
      <c r="LD185" s="53"/>
      <c r="LE185" s="53"/>
      <c r="LF185" s="53"/>
      <c r="LG185" s="53"/>
      <c r="LH185" s="53"/>
      <c r="LI185" s="53"/>
      <c r="LJ185" s="53"/>
      <c r="LK185" s="53"/>
      <c r="LL185" s="53"/>
      <c r="LM185" s="53"/>
      <c r="LN185" s="53"/>
      <c r="LO185" s="53"/>
      <c r="LP185" s="53"/>
      <c r="LQ185" s="53"/>
      <c r="LR185" s="53"/>
      <c r="LS185" s="53"/>
      <c r="LT185" s="53"/>
      <c r="LU185" s="53"/>
      <c r="LV185" s="53"/>
      <c r="LW185" s="53"/>
      <c r="LX185" s="53"/>
      <c r="LY185" s="53"/>
      <c r="LZ185" s="53"/>
      <c r="MA185" s="53"/>
      <c r="MB185" s="53"/>
      <c r="MC185" s="53"/>
      <c r="MD185" s="53"/>
      <c r="ME185" s="53"/>
      <c r="MF185" s="53"/>
      <c r="MG185" s="53"/>
      <c r="MH185" s="53"/>
      <c r="MI185" s="53"/>
      <c r="MJ185" s="53"/>
      <c r="MK185" s="53"/>
      <c r="ML185" s="53"/>
      <c r="MM185" s="53"/>
      <c r="MN185" s="53"/>
      <c r="MO185" s="53"/>
      <c r="MP185" s="53"/>
      <c r="MQ185" s="53"/>
      <c r="MR185" s="53"/>
      <c r="MS185" s="53"/>
      <c r="MT185" s="53"/>
      <c r="MU185" s="53"/>
      <c r="MV185" s="53"/>
      <c r="MW185" s="53"/>
      <c r="MX185" s="53"/>
      <c r="MY185" s="53"/>
      <c r="MZ185" s="53"/>
      <c r="NA185" s="53"/>
      <c r="NB185" s="53"/>
      <c r="NC185" s="53"/>
      <c r="ND185" s="53"/>
      <c r="NE185" s="53"/>
      <c r="NF185" s="53"/>
      <c r="NG185" s="53"/>
      <c r="NH185" s="53"/>
      <c r="NI185" s="53"/>
      <c r="NJ185" s="53"/>
      <c r="NK185" s="53"/>
      <c r="NL185" s="53"/>
      <c r="NM185" s="53"/>
      <c r="NN185" s="53"/>
      <c r="NO185" s="53"/>
      <c r="NP185" s="53"/>
      <c r="NQ185" s="53"/>
      <c r="NR185" s="53"/>
      <c r="NS185" s="53"/>
      <c r="NT185" s="53"/>
      <c r="NU185" s="53"/>
      <c r="NV185" s="53"/>
      <c r="NW185" s="53"/>
      <c r="NX185" s="53"/>
      <c r="NY185" s="53"/>
      <c r="NZ185" s="53"/>
      <c r="OA185" s="53"/>
      <c r="OB185" s="53"/>
      <c r="OC185" s="53"/>
      <c r="OD185" s="53"/>
      <c r="OE185" s="53"/>
      <c r="OF185" s="53"/>
      <c r="OG185" s="53"/>
      <c r="OH185" s="53"/>
      <c r="OI185" s="53"/>
      <c r="OJ185" s="53"/>
      <c r="OK185" s="53"/>
      <c r="OL185" s="53"/>
      <c r="OM185" s="53"/>
      <c r="ON185" s="53"/>
      <c r="OO185" s="53"/>
      <c r="OP185" s="53"/>
      <c r="OQ185" s="53"/>
      <c r="OR185" s="53"/>
      <c r="OS185" s="53"/>
      <c r="OT185" s="53"/>
      <c r="OU185" s="53"/>
      <c r="OV185" s="53"/>
      <c r="OW185" s="53"/>
      <c r="OX185" s="53"/>
      <c r="OY185" s="53"/>
      <c r="OZ185" s="53"/>
      <c r="PA185" s="53"/>
      <c r="PB185" s="53"/>
      <c r="PC185" s="53"/>
      <c r="PD185" s="53"/>
      <c r="PE185" s="53"/>
      <c r="PF185" s="53"/>
      <c r="PG185" s="53"/>
      <c r="PH185" s="53"/>
      <c r="PI185" s="53"/>
      <c r="PJ185" s="53"/>
      <c r="PK185" s="53"/>
      <c r="PL185" s="53"/>
      <c r="PM185" s="53"/>
      <c r="PN185" s="53"/>
      <c r="PO185" s="53"/>
      <c r="PP185" s="53"/>
      <c r="PQ185" s="53"/>
      <c r="PR185" s="53"/>
      <c r="PS185" s="53"/>
      <c r="PT185" s="53"/>
      <c r="PU185" s="53"/>
      <c r="PV185" s="53"/>
      <c r="PW185" s="53"/>
      <c r="PX185" s="53"/>
      <c r="PY185" s="53"/>
      <c r="PZ185" s="53"/>
      <c r="QA185" s="53"/>
      <c r="QB185" s="53"/>
      <c r="QC185" s="53"/>
      <c r="QD185" s="53"/>
      <c r="QE185" s="53"/>
      <c r="QF185" s="53"/>
      <c r="QG185" s="53"/>
      <c r="QH185" s="53"/>
      <c r="QI185" s="53"/>
      <c r="QJ185" s="53"/>
      <c r="QK185" s="53"/>
      <c r="QL185" s="53"/>
      <c r="QM185" s="53"/>
      <c r="QN185" s="53"/>
      <c r="QO185" s="53"/>
      <c r="QP185" s="53"/>
      <c r="QQ185" s="53"/>
      <c r="QR185" s="53"/>
      <c r="QS185" s="53"/>
      <c r="QT185" s="53"/>
      <c r="QU185" s="53"/>
      <c r="QV185" s="53"/>
      <c r="QW185" s="53"/>
      <c r="QX185" s="53"/>
      <c r="QY185" s="53"/>
      <c r="QZ185" s="53"/>
      <c r="RA185" s="53"/>
      <c r="RB185" s="53"/>
      <c r="RC185" s="53"/>
      <c r="RD185" s="53"/>
      <c r="RE185" s="53"/>
      <c r="RF185" s="53"/>
      <c r="RG185" s="53"/>
      <c r="RH185" s="53"/>
      <c r="RI185" s="53"/>
      <c r="RJ185" s="53"/>
      <c r="RK185" s="53"/>
      <c r="RL185" s="53"/>
      <c r="RM185" s="53"/>
      <c r="RN185" s="53"/>
      <c r="RO185" s="53"/>
      <c r="RP185" s="53"/>
      <c r="RQ185" s="53"/>
      <c r="RR185" s="53"/>
      <c r="RS185" s="53"/>
      <c r="RT185" s="53"/>
      <c r="RU185" s="53"/>
      <c r="RV185" s="53"/>
      <c r="RW185" s="53"/>
      <c r="RX185" s="53"/>
      <c r="RY185" s="53"/>
      <c r="RZ185" s="53"/>
      <c r="SA185" s="53"/>
      <c r="SB185" s="53"/>
      <c r="SC185" s="53"/>
      <c r="SD185" s="53"/>
      <c r="SE185" s="53"/>
      <c r="SF185" s="53"/>
      <c r="SG185" s="53"/>
      <c r="SH185" s="53"/>
      <c r="SI185" s="53"/>
      <c r="SJ185" s="53"/>
      <c r="SK185" s="53"/>
      <c r="SL185" s="53"/>
      <c r="SM185" s="53"/>
      <c r="SN185" s="53"/>
      <c r="SO185" s="53"/>
      <c r="SP185" s="53"/>
      <c r="SQ185" s="53"/>
      <c r="SR185" s="53"/>
      <c r="SS185" s="53"/>
      <c r="ST185" s="53"/>
      <c r="SU185" s="53"/>
      <c r="SV185" s="53"/>
      <c r="SW185" s="53"/>
      <c r="SX185" s="53"/>
      <c r="SY185" s="53"/>
      <c r="SZ185" s="53"/>
      <c r="TA185" s="53"/>
      <c r="TB185" s="53"/>
      <c r="TC185" s="53"/>
      <c r="TD185" s="53"/>
      <c r="TE185" s="53"/>
      <c r="TF185" s="53"/>
      <c r="TG185" s="53"/>
      <c r="TH185" s="53"/>
      <c r="TI185" s="53"/>
      <c r="TJ185" s="53"/>
      <c r="TK185" s="53"/>
      <c r="TL185" s="53"/>
      <c r="TM185" s="53"/>
      <c r="TN185" s="53"/>
      <c r="TO185" s="53"/>
      <c r="TP185" s="53"/>
      <c r="TQ185" s="53"/>
      <c r="TR185" s="53"/>
      <c r="TS185" s="53"/>
      <c r="TT185" s="53"/>
      <c r="TU185" s="53"/>
      <c r="TV185" s="53"/>
      <c r="TW185" s="53"/>
      <c r="TX185" s="53"/>
      <c r="TY185" s="53"/>
      <c r="TZ185" s="53"/>
      <c r="UA185" s="53"/>
      <c r="UB185" s="53"/>
      <c r="UC185" s="53"/>
      <c r="UD185" s="53"/>
      <c r="UE185" s="53"/>
      <c r="UF185" s="53"/>
      <c r="UG185" s="53"/>
      <c r="UH185" s="53"/>
      <c r="UI185" s="53"/>
      <c r="UJ185" s="53"/>
      <c r="UK185" s="53"/>
      <c r="UL185" s="53"/>
      <c r="UM185" s="53"/>
      <c r="UN185" s="53"/>
      <c r="UO185" s="53"/>
      <c r="UP185" s="53"/>
      <c r="UQ185" s="53"/>
      <c r="UR185" s="53"/>
      <c r="US185" s="53"/>
      <c r="UT185" s="53"/>
      <c r="UU185" s="53"/>
      <c r="UV185" s="53"/>
      <c r="UW185" s="53"/>
      <c r="UX185" s="53"/>
      <c r="UY185" s="53"/>
      <c r="UZ185" s="53"/>
      <c r="VA185" s="53"/>
      <c r="VB185" s="53"/>
      <c r="VC185" s="53"/>
      <c r="VD185" s="53"/>
      <c r="VE185" s="53"/>
      <c r="VF185" s="53"/>
      <c r="VG185" s="53"/>
      <c r="VH185" s="53"/>
      <c r="VI185" s="53"/>
      <c r="VJ185" s="53"/>
      <c r="VK185" s="53"/>
      <c r="VL185" s="53"/>
    </row>
    <row r="186" spans="1:584" s="47" customFormat="1" ht="20.25" customHeight="1" x14ac:dyDescent="0.25">
      <c r="A186" s="71"/>
      <c r="B186" s="71"/>
      <c r="C186" s="71"/>
      <c r="D186" s="106" t="s">
        <v>342</v>
      </c>
      <c r="E186" s="115">
        <v>0</v>
      </c>
      <c r="F186" s="115"/>
      <c r="G186" s="115"/>
      <c r="H186" s="115"/>
      <c r="I186" s="115"/>
      <c r="J186" s="115"/>
      <c r="K186" s="164"/>
      <c r="L186" s="115">
        <f t="shared" si="42"/>
        <v>1033788</v>
      </c>
      <c r="M186" s="115">
        <v>1033788</v>
      </c>
      <c r="N186" s="115"/>
      <c r="O186" s="115"/>
      <c r="P186" s="115"/>
      <c r="Q186" s="115">
        <v>1033788</v>
      </c>
      <c r="R186" s="115">
        <f t="shared" si="39"/>
        <v>1033788</v>
      </c>
      <c r="S186" s="115">
        <v>1033788</v>
      </c>
      <c r="T186" s="115"/>
      <c r="U186" s="115"/>
      <c r="V186" s="115"/>
      <c r="W186" s="115">
        <v>1033788</v>
      </c>
      <c r="X186" s="166">
        <f t="shared" si="40"/>
        <v>100</v>
      </c>
      <c r="Y186" s="115">
        <f t="shared" si="41"/>
        <v>1033788</v>
      </c>
      <c r="Z186" s="187"/>
      <c r="AA186" s="53"/>
      <c r="AB186" s="53"/>
      <c r="AC186" s="53"/>
      <c r="AD186" s="53"/>
      <c r="AE186" s="79"/>
      <c r="AF186" s="79"/>
      <c r="AG186" s="79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  <c r="IW186" s="53"/>
      <c r="IX186" s="53"/>
      <c r="IY186" s="53"/>
      <c r="IZ186" s="53"/>
      <c r="JA186" s="53"/>
      <c r="JB186" s="53"/>
      <c r="JC186" s="53"/>
      <c r="JD186" s="53"/>
      <c r="JE186" s="53"/>
      <c r="JF186" s="53"/>
      <c r="JG186" s="53"/>
      <c r="JH186" s="53"/>
      <c r="JI186" s="53"/>
      <c r="JJ186" s="53"/>
      <c r="JK186" s="53"/>
      <c r="JL186" s="53"/>
      <c r="JM186" s="53"/>
      <c r="JN186" s="53"/>
      <c r="JO186" s="53"/>
      <c r="JP186" s="53"/>
      <c r="JQ186" s="53"/>
      <c r="JR186" s="53"/>
      <c r="JS186" s="53"/>
      <c r="JT186" s="53"/>
      <c r="JU186" s="53"/>
      <c r="JV186" s="53"/>
      <c r="JW186" s="53"/>
      <c r="JX186" s="53"/>
      <c r="JY186" s="53"/>
      <c r="JZ186" s="53"/>
      <c r="KA186" s="53"/>
      <c r="KB186" s="53"/>
      <c r="KC186" s="53"/>
      <c r="KD186" s="53"/>
      <c r="KE186" s="53"/>
      <c r="KF186" s="53"/>
      <c r="KG186" s="53"/>
      <c r="KH186" s="53"/>
      <c r="KI186" s="53"/>
      <c r="KJ186" s="53"/>
      <c r="KK186" s="53"/>
      <c r="KL186" s="53"/>
      <c r="KM186" s="53"/>
      <c r="KN186" s="53"/>
      <c r="KO186" s="53"/>
      <c r="KP186" s="53"/>
      <c r="KQ186" s="53"/>
      <c r="KR186" s="53"/>
      <c r="KS186" s="53"/>
      <c r="KT186" s="53"/>
      <c r="KU186" s="53"/>
      <c r="KV186" s="53"/>
      <c r="KW186" s="53"/>
      <c r="KX186" s="53"/>
      <c r="KY186" s="53"/>
      <c r="KZ186" s="53"/>
      <c r="LA186" s="53"/>
      <c r="LB186" s="53"/>
      <c r="LC186" s="53"/>
      <c r="LD186" s="53"/>
      <c r="LE186" s="53"/>
      <c r="LF186" s="53"/>
      <c r="LG186" s="53"/>
      <c r="LH186" s="53"/>
      <c r="LI186" s="53"/>
      <c r="LJ186" s="53"/>
      <c r="LK186" s="53"/>
      <c r="LL186" s="53"/>
      <c r="LM186" s="53"/>
      <c r="LN186" s="53"/>
      <c r="LO186" s="53"/>
      <c r="LP186" s="53"/>
      <c r="LQ186" s="53"/>
      <c r="LR186" s="53"/>
      <c r="LS186" s="53"/>
      <c r="LT186" s="53"/>
      <c r="LU186" s="53"/>
      <c r="LV186" s="53"/>
      <c r="LW186" s="53"/>
      <c r="LX186" s="53"/>
      <c r="LY186" s="53"/>
      <c r="LZ186" s="53"/>
      <c r="MA186" s="53"/>
      <c r="MB186" s="53"/>
      <c r="MC186" s="53"/>
      <c r="MD186" s="53"/>
      <c r="ME186" s="53"/>
      <c r="MF186" s="53"/>
      <c r="MG186" s="53"/>
      <c r="MH186" s="53"/>
      <c r="MI186" s="53"/>
      <c r="MJ186" s="53"/>
      <c r="MK186" s="53"/>
      <c r="ML186" s="53"/>
      <c r="MM186" s="53"/>
      <c r="MN186" s="53"/>
      <c r="MO186" s="53"/>
      <c r="MP186" s="53"/>
      <c r="MQ186" s="53"/>
      <c r="MR186" s="53"/>
      <c r="MS186" s="53"/>
      <c r="MT186" s="53"/>
      <c r="MU186" s="53"/>
      <c r="MV186" s="53"/>
      <c r="MW186" s="53"/>
      <c r="MX186" s="53"/>
      <c r="MY186" s="53"/>
      <c r="MZ186" s="53"/>
      <c r="NA186" s="53"/>
      <c r="NB186" s="53"/>
      <c r="NC186" s="53"/>
      <c r="ND186" s="53"/>
      <c r="NE186" s="53"/>
      <c r="NF186" s="53"/>
      <c r="NG186" s="53"/>
      <c r="NH186" s="53"/>
      <c r="NI186" s="53"/>
      <c r="NJ186" s="53"/>
      <c r="NK186" s="53"/>
      <c r="NL186" s="53"/>
      <c r="NM186" s="53"/>
      <c r="NN186" s="53"/>
      <c r="NO186" s="53"/>
      <c r="NP186" s="53"/>
      <c r="NQ186" s="53"/>
      <c r="NR186" s="53"/>
      <c r="NS186" s="53"/>
      <c r="NT186" s="53"/>
      <c r="NU186" s="53"/>
      <c r="NV186" s="53"/>
      <c r="NW186" s="53"/>
      <c r="NX186" s="53"/>
      <c r="NY186" s="53"/>
      <c r="NZ186" s="53"/>
      <c r="OA186" s="53"/>
      <c r="OB186" s="53"/>
      <c r="OC186" s="53"/>
      <c r="OD186" s="53"/>
      <c r="OE186" s="53"/>
      <c r="OF186" s="53"/>
      <c r="OG186" s="53"/>
      <c r="OH186" s="53"/>
      <c r="OI186" s="53"/>
      <c r="OJ186" s="53"/>
      <c r="OK186" s="53"/>
      <c r="OL186" s="53"/>
      <c r="OM186" s="53"/>
      <c r="ON186" s="53"/>
      <c r="OO186" s="53"/>
      <c r="OP186" s="53"/>
      <c r="OQ186" s="53"/>
      <c r="OR186" s="53"/>
      <c r="OS186" s="53"/>
      <c r="OT186" s="53"/>
      <c r="OU186" s="53"/>
      <c r="OV186" s="53"/>
      <c r="OW186" s="53"/>
      <c r="OX186" s="53"/>
      <c r="OY186" s="53"/>
      <c r="OZ186" s="53"/>
      <c r="PA186" s="53"/>
      <c r="PB186" s="53"/>
      <c r="PC186" s="53"/>
      <c r="PD186" s="53"/>
      <c r="PE186" s="53"/>
      <c r="PF186" s="53"/>
      <c r="PG186" s="53"/>
      <c r="PH186" s="53"/>
      <c r="PI186" s="53"/>
      <c r="PJ186" s="53"/>
      <c r="PK186" s="53"/>
      <c r="PL186" s="53"/>
      <c r="PM186" s="53"/>
      <c r="PN186" s="53"/>
      <c r="PO186" s="53"/>
      <c r="PP186" s="53"/>
      <c r="PQ186" s="53"/>
      <c r="PR186" s="53"/>
      <c r="PS186" s="53"/>
      <c r="PT186" s="53"/>
      <c r="PU186" s="53"/>
      <c r="PV186" s="53"/>
      <c r="PW186" s="53"/>
      <c r="PX186" s="53"/>
      <c r="PY186" s="53"/>
      <c r="PZ186" s="53"/>
      <c r="QA186" s="53"/>
      <c r="QB186" s="53"/>
      <c r="QC186" s="53"/>
      <c r="QD186" s="53"/>
      <c r="QE186" s="53"/>
      <c r="QF186" s="53"/>
      <c r="QG186" s="53"/>
      <c r="QH186" s="53"/>
      <c r="QI186" s="53"/>
      <c r="QJ186" s="53"/>
      <c r="QK186" s="53"/>
      <c r="QL186" s="53"/>
      <c r="QM186" s="53"/>
      <c r="QN186" s="53"/>
      <c r="QO186" s="53"/>
      <c r="QP186" s="53"/>
      <c r="QQ186" s="53"/>
      <c r="QR186" s="53"/>
      <c r="QS186" s="53"/>
      <c r="QT186" s="53"/>
      <c r="QU186" s="53"/>
      <c r="QV186" s="53"/>
      <c r="QW186" s="53"/>
      <c r="QX186" s="53"/>
      <c r="QY186" s="53"/>
      <c r="QZ186" s="53"/>
      <c r="RA186" s="53"/>
      <c r="RB186" s="53"/>
      <c r="RC186" s="53"/>
      <c r="RD186" s="53"/>
      <c r="RE186" s="53"/>
      <c r="RF186" s="53"/>
      <c r="RG186" s="53"/>
      <c r="RH186" s="53"/>
      <c r="RI186" s="53"/>
      <c r="RJ186" s="53"/>
      <c r="RK186" s="53"/>
      <c r="RL186" s="53"/>
      <c r="RM186" s="53"/>
      <c r="RN186" s="53"/>
      <c r="RO186" s="53"/>
      <c r="RP186" s="53"/>
      <c r="RQ186" s="53"/>
      <c r="RR186" s="53"/>
      <c r="RS186" s="53"/>
      <c r="RT186" s="53"/>
      <c r="RU186" s="53"/>
      <c r="RV186" s="53"/>
      <c r="RW186" s="53"/>
      <c r="RX186" s="53"/>
      <c r="RY186" s="53"/>
      <c r="RZ186" s="53"/>
      <c r="SA186" s="53"/>
      <c r="SB186" s="53"/>
      <c r="SC186" s="53"/>
      <c r="SD186" s="53"/>
      <c r="SE186" s="53"/>
      <c r="SF186" s="53"/>
      <c r="SG186" s="53"/>
      <c r="SH186" s="53"/>
      <c r="SI186" s="53"/>
      <c r="SJ186" s="53"/>
      <c r="SK186" s="53"/>
      <c r="SL186" s="53"/>
      <c r="SM186" s="53"/>
      <c r="SN186" s="53"/>
      <c r="SO186" s="53"/>
      <c r="SP186" s="53"/>
      <c r="SQ186" s="53"/>
      <c r="SR186" s="53"/>
      <c r="SS186" s="53"/>
      <c r="ST186" s="53"/>
      <c r="SU186" s="53"/>
      <c r="SV186" s="53"/>
      <c r="SW186" s="53"/>
      <c r="SX186" s="53"/>
      <c r="SY186" s="53"/>
      <c r="SZ186" s="53"/>
      <c r="TA186" s="53"/>
      <c r="TB186" s="53"/>
      <c r="TC186" s="53"/>
      <c r="TD186" s="53"/>
      <c r="TE186" s="53"/>
      <c r="TF186" s="53"/>
      <c r="TG186" s="53"/>
      <c r="TH186" s="53"/>
      <c r="TI186" s="53"/>
      <c r="TJ186" s="53"/>
      <c r="TK186" s="53"/>
      <c r="TL186" s="53"/>
      <c r="TM186" s="53"/>
      <c r="TN186" s="53"/>
      <c r="TO186" s="53"/>
      <c r="TP186" s="53"/>
      <c r="TQ186" s="53"/>
      <c r="TR186" s="53"/>
      <c r="TS186" s="53"/>
      <c r="TT186" s="53"/>
      <c r="TU186" s="53"/>
      <c r="TV186" s="53"/>
      <c r="TW186" s="53"/>
      <c r="TX186" s="53"/>
      <c r="TY186" s="53"/>
      <c r="TZ186" s="53"/>
      <c r="UA186" s="53"/>
      <c r="UB186" s="53"/>
      <c r="UC186" s="53"/>
      <c r="UD186" s="53"/>
      <c r="UE186" s="53"/>
      <c r="UF186" s="53"/>
      <c r="UG186" s="53"/>
      <c r="UH186" s="53"/>
      <c r="UI186" s="53"/>
      <c r="UJ186" s="53"/>
      <c r="UK186" s="53"/>
      <c r="UL186" s="53"/>
      <c r="UM186" s="53"/>
      <c r="UN186" s="53"/>
      <c r="UO186" s="53"/>
      <c r="UP186" s="53"/>
      <c r="UQ186" s="53"/>
      <c r="UR186" s="53"/>
      <c r="US186" s="53"/>
      <c r="UT186" s="53"/>
      <c r="UU186" s="53"/>
      <c r="UV186" s="53"/>
      <c r="UW186" s="53"/>
      <c r="UX186" s="53"/>
      <c r="UY186" s="53"/>
      <c r="UZ186" s="53"/>
      <c r="VA186" s="53"/>
      <c r="VB186" s="53"/>
      <c r="VC186" s="53"/>
      <c r="VD186" s="53"/>
      <c r="VE186" s="53"/>
      <c r="VF186" s="53"/>
      <c r="VG186" s="53"/>
      <c r="VH186" s="53"/>
      <c r="VI186" s="53"/>
      <c r="VJ186" s="53"/>
      <c r="VK186" s="53"/>
      <c r="VL186" s="53"/>
    </row>
    <row r="187" spans="1:584" s="47" customFormat="1" ht="20.25" hidden="1" customHeight="1" x14ac:dyDescent="0.25">
      <c r="A187" s="45" t="s">
        <v>252</v>
      </c>
      <c r="B187" s="91" t="str">
        <f>'дод 3'!A189</f>
        <v>7640</v>
      </c>
      <c r="C187" s="91" t="str">
        <f>'дод 3'!B189</f>
        <v>0470</v>
      </c>
      <c r="D187" s="48" t="str">
        <f>'дод 3'!C189</f>
        <v>Заходи з енергозбереження</v>
      </c>
      <c r="E187" s="115">
        <v>0</v>
      </c>
      <c r="F187" s="115"/>
      <c r="G187" s="115"/>
      <c r="H187" s="115"/>
      <c r="I187" s="115"/>
      <c r="J187" s="115"/>
      <c r="K187" s="164" t="e">
        <f t="shared" si="38"/>
        <v>#DIV/0!</v>
      </c>
      <c r="L187" s="115">
        <f t="shared" si="42"/>
        <v>0</v>
      </c>
      <c r="M187" s="115"/>
      <c r="N187" s="115"/>
      <c r="O187" s="115"/>
      <c r="P187" s="115"/>
      <c r="Q187" s="115"/>
      <c r="R187" s="115">
        <f t="shared" si="39"/>
        <v>0</v>
      </c>
      <c r="S187" s="115"/>
      <c r="T187" s="115"/>
      <c r="U187" s="115"/>
      <c r="V187" s="115"/>
      <c r="W187" s="115"/>
      <c r="X187" s="166" t="e">
        <f t="shared" si="40"/>
        <v>#DIV/0!</v>
      </c>
      <c r="Y187" s="115">
        <f t="shared" si="41"/>
        <v>0</v>
      </c>
      <c r="Z187" s="187"/>
      <c r="AA187" s="53"/>
      <c r="AB187" s="53"/>
      <c r="AC187" s="53"/>
      <c r="AD187" s="53"/>
      <c r="AE187" s="79"/>
      <c r="AF187" s="79"/>
      <c r="AG187" s="79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  <c r="IW187" s="53"/>
      <c r="IX187" s="53"/>
      <c r="IY187" s="53"/>
      <c r="IZ187" s="53"/>
      <c r="JA187" s="53"/>
      <c r="JB187" s="53"/>
      <c r="JC187" s="53"/>
      <c r="JD187" s="53"/>
      <c r="JE187" s="53"/>
      <c r="JF187" s="53"/>
      <c r="JG187" s="53"/>
      <c r="JH187" s="53"/>
      <c r="JI187" s="53"/>
      <c r="JJ187" s="53"/>
      <c r="JK187" s="53"/>
      <c r="JL187" s="53"/>
      <c r="JM187" s="53"/>
      <c r="JN187" s="53"/>
      <c r="JO187" s="53"/>
      <c r="JP187" s="53"/>
      <c r="JQ187" s="53"/>
      <c r="JR187" s="53"/>
      <c r="JS187" s="53"/>
      <c r="JT187" s="53"/>
      <c r="JU187" s="53"/>
      <c r="JV187" s="53"/>
      <c r="JW187" s="53"/>
      <c r="JX187" s="53"/>
      <c r="JY187" s="53"/>
      <c r="JZ187" s="53"/>
      <c r="KA187" s="53"/>
      <c r="KB187" s="53"/>
      <c r="KC187" s="53"/>
      <c r="KD187" s="53"/>
      <c r="KE187" s="53"/>
      <c r="KF187" s="53"/>
      <c r="KG187" s="53"/>
      <c r="KH187" s="53"/>
      <c r="KI187" s="53"/>
      <c r="KJ187" s="53"/>
      <c r="KK187" s="53"/>
      <c r="KL187" s="53"/>
      <c r="KM187" s="53"/>
      <c r="KN187" s="53"/>
      <c r="KO187" s="53"/>
      <c r="KP187" s="53"/>
      <c r="KQ187" s="53"/>
      <c r="KR187" s="53"/>
      <c r="KS187" s="53"/>
      <c r="KT187" s="53"/>
      <c r="KU187" s="53"/>
      <c r="KV187" s="53"/>
      <c r="KW187" s="53"/>
      <c r="KX187" s="53"/>
      <c r="KY187" s="53"/>
      <c r="KZ187" s="53"/>
      <c r="LA187" s="53"/>
      <c r="LB187" s="53"/>
      <c r="LC187" s="53"/>
      <c r="LD187" s="53"/>
      <c r="LE187" s="53"/>
      <c r="LF187" s="53"/>
      <c r="LG187" s="53"/>
      <c r="LH187" s="53"/>
      <c r="LI187" s="53"/>
      <c r="LJ187" s="53"/>
      <c r="LK187" s="53"/>
      <c r="LL187" s="53"/>
      <c r="LM187" s="53"/>
      <c r="LN187" s="53"/>
      <c r="LO187" s="53"/>
      <c r="LP187" s="53"/>
      <c r="LQ187" s="53"/>
      <c r="LR187" s="53"/>
      <c r="LS187" s="53"/>
      <c r="LT187" s="53"/>
      <c r="LU187" s="53"/>
      <c r="LV187" s="53"/>
      <c r="LW187" s="53"/>
      <c r="LX187" s="53"/>
      <c r="LY187" s="53"/>
      <c r="LZ187" s="53"/>
      <c r="MA187" s="53"/>
      <c r="MB187" s="53"/>
      <c r="MC187" s="53"/>
      <c r="MD187" s="53"/>
      <c r="ME187" s="53"/>
      <c r="MF187" s="53"/>
      <c r="MG187" s="53"/>
      <c r="MH187" s="53"/>
      <c r="MI187" s="53"/>
      <c r="MJ187" s="53"/>
      <c r="MK187" s="53"/>
      <c r="ML187" s="53"/>
      <c r="MM187" s="53"/>
      <c r="MN187" s="53"/>
      <c r="MO187" s="53"/>
      <c r="MP187" s="53"/>
      <c r="MQ187" s="53"/>
      <c r="MR187" s="53"/>
      <c r="MS187" s="53"/>
      <c r="MT187" s="53"/>
      <c r="MU187" s="53"/>
      <c r="MV187" s="53"/>
      <c r="MW187" s="53"/>
      <c r="MX187" s="53"/>
      <c r="MY187" s="53"/>
      <c r="MZ187" s="53"/>
      <c r="NA187" s="53"/>
      <c r="NB187" s="53"/>
      <c r="NC187" s="53"/>
      <c r="ND187" s="53"/>
      <c r="NE187" s="53"/>
      <c r="NF187" s="53"/>
      <c r="NG187" s="53"/>
      <c r="NH187" s="53"/>
      <c r="NI187" s="53"/>
      <c r="NJ187" s="53"/>
      <c r="NK187" s="53"/>
      <c r="NL187" s="53"/>
      <c r="NM187" s="53"/>
      <c r="NN187" s="53"/>
      <c r="NO187" s="53"/>
      <c r="NP187" s="53"/>
      <c r="NQ187" s="53"/>
      <c r="NR187" s="53"/>
      <c r="NS187" s="53"/>
      <c r="NT187" s="53"/>
      <c r="NU187" s="53"/>
      <c r="NV187" s="53"/>
      <c r="NW187" s="53"/>
      <c r="NX187" s="53"/>
      <c r="NY187" s="53"/>
      <c r="NZ187" s="53"/>
      <c r="OA187" s="53"/>
      <c r="OB187" s="53"/>
      <c r="OC187" s="53"/>
      <c r="OD187" s="53"/>
      <c r="OE187" s="53"/>
      <c r="OF187" s="53"/>
      <c r="OG187" s="53"/>
      <c r="OH187" s="53"/>
      <c r="OI187" s="53"/>
      <c r="OJ187" s="53"/>
      <c r="OK187" s="53"/>
      <c r="OL187" s="53"/>
      <c r="OM187" s="53"/>
      <c r="ON187" s="53"/>
      <c r="OO187" s="53"/>
      <c r="OP187" s="53"/>
      <c r="OQ187" s="53"/>
      <c r="OR187" s="53"/>
      <c r="OS187" s="53"/>
      <c r="OT187" s="53"/>
      <c r="OU187" s="53"/>
      <c r="OV187" s="53"/>
      <c r="OW187" s="53"/>
      <c r="OX187" s="53"/>
      <c r="OY187" s="53"/>
      <c r="OZ187" s="53"/>
      <c r="PA187" s="53"/>
      <c r="PB187" s="53"/>
      <c r="PC187" s="53"/>
      <c r="PD187" s="53"/>
      <c r="PE187" s="53"/>
      <c r="PF187" s="53"/>
      <c r="PG187" s="53"/>
      <c r="PH187" s="53"/>
      <c r="PI187" s="53"/>
      <c r="PJ187" s="53"/>
      <c r="PK187" s="53"/>
      <c r="PL187" s="53"/>
      <c r="PM187" s="53"/>
      <c r="PN187" s="53"/>
      <c r="PO187" s="53"/>
      <c r="PP187" s="53"/>
      <c r="PQ187" s="53"/>
      <c r="PR187" s="53"/>
      <c r="PS187" s="53"/>
      <c r="PT187" s="53"/>
      <c r="PU187" s="53"/>
      <c r="PV187" s="53"/>
      <c r="PW187" s="53"/>
      <c r="PX187" s="53"/>
      <c r="PY187" s="53"/>
      <c r="PZ187" s="53"/>
      <c r="QA187" s="53"/>
      <c r="QB187" s="53"/>
      <c r="QC187" s="53"/>
      <c r="QD187" s="53"/>
      <c r="QE187" s="53"/>
      <c r="QF187" s="53"/>
      <c r="QG187" s="53"/>
      <c r="QH187" s="53"/>
      <c r="QI187" s="53"/>
      <c r="QJ187" s="53"/>
      <c r="QK187" s="53"/>
      <c r="QL187" s="53"/>
      <c r="QM187" s="53"/>
      <c r="QN187" s="53"/>
      <c r="QO187" s="53"/>
      <c r="QP187" s="53"/>
      <c r="QQ187" s="53"/>
      <c r="QR187" s="53"/>
      <c r="QS187" s="53"/>
      <c r="QT187" s="53"/>
      <c r="QU187" s="53"/>
      <c r="QV187" s="53"/>
      <c r="QW187" s="53"/>
      <c r="QX187" s="53"/>
      <c r="QY187" s="53"/>
      <c r="QZ187" s="53"/>
      <c r="RA187" s="53"/>
      <c r="RB187" s="53"/>
      <c r="RC187" s="53"/>
      <c r="RD187" s="53"/>
      <c r="RE187" s="53"/>
      <c r="RF187" s="53"/>
      <c r="RG187" s="53"/>
      <c r="RH187" s="53"/>
      <c r="RI187" s="53"/>
      <c r="RJ187" s="53"/>
      <c r="RK187" s="53"/>
      <c r="RL187" s="53"/>
      <c r="RM187" s="53"/>
      <c r="RN187" s="53"/>
      <c r="RO187" s="53"/>
      <c r="RP187" s="53"/>
      <c r="RQ187" s="53"/>
      <c r="RR187" s="53"/>
      <c r="RS187" s="53"/>
      <c r="RT187" s="53"/>
      <c r="RU187" s="53"/>
      <c r="RV187" s="53"/>
      <c r="RW187" s="53"/>
      <c r="RX187" s="53"/>
      <c r="RY187" s="53"/>
      <c r="RZ187" s="53"/>
      <c r="SA187" s="53"/>
      <c r="SB187" s="53"/>
      <c r="SC187" s="53"/>
      <c r="SD187" s="53"/>
      <c r="SE187" s="53"/>
      <c r="SF187" s="53"/>
      <c r="SG187" s="53"/>
      <c r="SH187" s="53"/>
      <c r="SI187" s="53"/>
      <c r="SJ187" s="53"/>
      <c r="SK187" s="53"/>
      <c r="SL187" s="53"/>
      <c r="SM187" s="53"/>
      <c r="SN187" s="53"/>
      <c r="SO187" s="53"/>
      <c r="SP187" s="53"/>
      <c r="SQ187" s="53"/>
      <c r="SR187" s="53"/>
      <c r="SS187" s="53"/>
      <c r="ST187" s="53"/>
      <c r="SU187" s="53"/>
      <c r="SV187" s="53"/>
      <c r="SW187" s="53"/>
      <c r="SX187" s="53"/>
      <c r="SY187" s="53"/>
      <c r="SZ187" s="53"/>
      <c r="TA187" s="53"/>
      <c r="TB187" s="53"/>
      <c r="TC187" s="53"/>
      <c r="TD187" s="53"/>
      <c r="TE187" s="53"/>
      <c r="TF187" s="53"/>
      <c r="TG187" s="53"/>
      <c r="TH187" s="53"/>
      <c r="TI187" s="53"/>
      <c r="TJ187" s="53"/>
      <c r="TK187" s="53"/>
      <c r="TL187" s="53"/>
      <c r="TM187" s="53"/>
      <c r="TN187" s="53"/>
      <c r="TO187" s="53"/>
      <c r="TP187" s="53"/>
      <c r="TQ187" s="53"/>
      <c r="TR187" s="53"/>
      <c r="TS187" s="53"/>
      <c r="TT187" s="53"/>
      <c r="TU187" s="53"/>
      <c r="TV187" s="53"/>
      <c r="TW187" s="53"/>
      <c r="TX187" s="53"/>
      <c r="TY187" s="53"/>
      <c r="TZ187" s="53"/>
      <c r="UA187" s="53"/>
      <c r="UB187" s="53"/>
      <c r="UC187" s="53"/>
      <c r="UD187" s="53"/>
      <c r="UE187" s="53"/>
      <c r="UF187" s="53"/>
      <c r="UG187" s="53"/>
      <c r="UH187" s="53"/>
      <c r="UI187" s="53"/>
      <c r="UJ187" s="53"/>
      <c r="UK187" s="53"/>
      <c r="UL187" s="53"/>
      <c r="UM187" s="53"/>
      <c r="UN187" s="53"/>
      <c r="UO187" s="53"/>
      <c r="UP187" s="53"/>
      <c r="UQ187" s="53"/>
      <c r="UR187" s="53"/>
      <c r="US187" s="53"/>
      <c r="UT187" s="53"/>
      <c r="UU187" s="53"/>
      <c r="UV187" s="53"/>
      <c r="UW187" s="53"/>
      <c r="UX187" s="53"/>
      <c r="UY187" s="53"/>
      <c r="UZ187" s="53"/>
      <c r="VA187" s="53"/>
      <c r="VB187" s="53"/>
      <c r="VC187" s="53"/>
      <c r="VD187" s="53"/>
      <c r="VE187" s="53"/>
      <c r="VF187" s="53"/>
      <c r="VG187" s="53"/>
      <c r="VH187" s="53"/>
      <c r="VI187" s="53"/>
      <c r="VJ187" s="53"/>
      <c r="VK187" s="53"/>
      <c r="VL187" s="53"/>
    </row>
    <row r="188" spans="1:584" s="47" customFormat="1" ht="30" hidden="1" customHeight="1" x14ac:dyDescent="0.25">
      <c r="A188" s="45" t="s">
        <v>510</v>
      </c>
      <c r="B188" s="91" t="str">
        <f>'дод 3'!A201</f>
        <v>8110</v>
      </c>
      <c r="C188" s="91" t="str">
        <f>'дод 3'!B201</f>
        <v>0320</v>
      </c>
      <c r="D188" s="48" t="str">
        <f>'дод 3'!C201</f>
        <v>Заходи із запобігання та ліквідації надзвичайних ситуацій та наслідків стихійного лиха</v>
      </c>
      <c r="E188" s="115">
        <v>0</v>
      </c>
      <c r="F188" s="115"/>
      <c r="G188" s="115"/>
      <c r="H188" s="115"/>
      <c r="I188" s="115"/>
      <c r="J188" s="115"/>
      <c r="K188" s="164" t="e">
        <f t="shared" si="38"/>
        <v>#DIV/0!</v>
      </c>
      <c r="L188" s="115">
        <f t="shared" si="42"/>
        <v>0</v>
      </c>
      <c r="M188" s="115"/>
      <c r="N188" s="115"/>
      <c r="O188" s="115"/>
      <c r="P188" s="115"/>
      <c r="Q188" s="115"/>
      <c r="R188" s="115">
        <f t="shared" si="39"/>
        <v>0</v>
      </c>
      <c r="S188" s="115"/>
      <c r="T188" s="115"/>
      <c r="U188" s="115"/>
      <c r="V188" s="115"/>
      <c r="W188" s="115"/>
      <c r="X188" s="166" t="e">
        <f t="shared" si="40"/>
        <v>#DIV/0!</v>
      </c>
      <c r="Y188" s="115">
        <f t="shared" si="41"/>
        <v>0</v>
      </c>
      <c r="Z188" s="187"/>
      <c r="AA188" s="53"/>
      <c r="AB188" s="53"/>
      <c r="AC188" s="53"/>
      <c r="AD188" s="53"/>
      <c r="AE188" s="79"/>
      <c r="AF188" s="79"/>
      <c r="AG188" s="79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  <c r="IU188" s="53"/>
      <c r="IV188" s="53"/>
      <c r="IW188" s="53"/>
      <c r="IX188" s="53"/>
      <c r="IY188" s="53"/>
      <c r="IZ188" s="53"/>
      <c r="JA188" s="53"/>
      <c r="JB188" s="53"/>
      <c r="JC188" s="53"/>
      <c r="JD188" s="53"/>
      <c r="JE188" s="53"/>
      <c r="JF188" s="53"/>
      <c r="JG188" s="53"/>
      <c r="JH188" s="53"/>
      <c r="JI188" s="53"/>
      <c r="JJ188" s="53"/>
      <c r="JK188" s="53"/>
      <c r="JL188" s="53"/>
      <c r="JM188" s="53"/>
      <c r="JN188" s="53"/>
      <c r="JO188" s="53"/>
      <c r="JP188" s="53"/>
      <c r="JQ188" s="53"/>
      <c r="JR188" s="53"/>
      <c r="JS188" s="53"/>
      <c r="JT188" s="53"/>
      <c r="JU188" s="53"/>
      <c r="JV188" s="53"/>
      <c r="JW188" s="53"/>
      <c r="JX188" s="53"/>
      <c r="JY188" s="53"/>
      <c r="JZ188" s="53"/>
      <c r="KA188" s="53"/>
      <c r="KB188" s="53"/>
      <c r="KC188" s="53"/>
      <c r="KD188" s="53"/>
      <c r="KE188" s="53"/>
      <c r="KF188" s="53"/>
      <c r="KG188" s="53"/>
      <c r="KH188" s="53"/>
      <c r="KI188" s="53"/>
      <c r="KJ188" s="53"/>
      <c r="KK188" s="53"/>
      <c r="KL188" s="53"/>
      <c r="KM188" s="53"/>
      <c r="KN188" s="53"/>
      <c r="KO188" s="53"/>
      <c r="KP188" s="53"/>
      <c r="KQ188" s="53"/>
      <c r="KR188" s="53"/>
      <c r="KS188" s="53"/>
      <c r="KT188" s="53"/>
      <c r="KU188" s="53"/>
      <c r="KV188" s="53"/>
      <c r="KW188" s="53"/>
      <c r="KX188" s="53"/>
      <c r="KY188" s="53"/>
      <c r="KZ188" s="53"/>
      <c r="LA188" s="53"/>
      <c r="LB188" s="53"/>
      <c r="LC188" s="53"/>
      <c r="LD188" s="53"/>
      <c r="LE188" s="53"/>
      <c r="LF188" s="53"/>
      <c r="LG188" s="53"/>
      <c r="LH188" s="53"/>
      <c r="LI188" s="53"/>
      <c r="LJ188" s="53"/>
      <c r="LK188" s="53"/>
      <c r="LL188" s="53"/>
      <c r="LM188" s="53"/>
      <c r="LN188" s="53"/>
      <c r="LO188" s="53"/>
      <c r="LP188" s="53"/>
      <c r="LQ188" s="53"/>
      <c r="LR188" s="53"/>
      <c r="LS188" s="53"/>
      <c r="LT188" s="53"/>
      <c r="LU188" s="53"/>
      <c r="LV188" s="53"/>
      <c r="LW188" s="53"/>
      <c r="LX188" s="53"/>
      <c r="LY188" s="53"/>
      <c r="LZ188" s="53"/>
      <c r="MA188" s="53"/>
      <c r="MB188" s="53"/>
      <c r="MC188" s="53"/>
      <c r="MD188" s="53"/>
      <c r="ME188" s="53"/>
      <c r="MF188" s="53"/>
      <c r="MG188" s="53"/>
      <c r="MH188" s="53"/>
      <c r="MI188" s="53"/>
      <c r="MJ188" s="53"/>
      <c r="MK188" s="53"/>
      <c r="ML188" s="53"/>
      <c r="MM188" s="53"/>
      <c r="MN188" s="53"/>
      <c r="MO188" s="53"/>
      <c r="MP188" s="53"/>
      <c r="MQ188" s="53"/>
      <c r="MR188" s="53"/>
      <c r="MS188" s="53"/>
      <c r="MT188" s="53"/>
      <c r="MU188" s="53"/>
      <c r="MV188" s="53"/>
      <c r="MW188" s="53"/>
      <c r="MX188" s="53"/>
      <c r="MY188" s="53"/>
      <c r="MZ188" s="53"/>
      <c r="NA188" s="53"/>
      <c r="NB188" s="53"/>
      <c r="NC188" s="53"/>
      <c r="ND188" s="53"/>
      <c r="NE188" s="53"/>
      <c r="NF188" s="53"/>
      <c r="NG188" s="53"/>
      <c r="NH188" s="53"/>
      <c r="NI188" s="53"/>
      <c r="NJ188" s="53"/>
      <c r="NK188" s="53"/>
      <c r="NL188" s="53"/>
      <c r="NM188" s="53"/>
      <c r="NN188" s="53"/>
      <c r="NO188" s="53"/>
      <c r="NP188" s="53"/>
      <c r="NQ188" s="53"/>
      <c r="NR188" s="53"/>
      <c r="NS188" s="53"/>
      <c r="NT188" s="53"/>
      <c r="NU188" s="53"/>
      <c r="NV188" s="53"/>
      <c r="NW188" s="53"/>
      <c r="NX188" s="53"/>
      <c r="NY188" s="53"/>
      <c r="NZ188" s="53"/>
      <c r="OA188" s="53"/>
      <c r="OB188" s="53"/>
      <c r="OC188" s="53"/>
      <c r="OD188" s="53"/>
      <c r="OE188" s="53"/>
      <c r="OF188" s="53"/>
      <c r="OG188" s="53"/>
      <c r="OH188" s="53"/>
      <c r="OI188" s="53"/>
      <c r="OJ188" s="53"/>
      <c r="OK188" s="53"/>
      <c r="OL188" s="53"/>
      <c r="OM188" s="53"/>
      <c r="ON188" s="53"/>
      <c r="OO188" s="53"/>
      <c r="OP188" s="53"/>
      <c r="OQ188" s="53"/>
      <c r="OR188" s="53"/>
      <c r="OS188" s="53"/>
      <c r="OT188" s="53"/>
      <c r="OU188" s="53"/>
      <c r="OV188" s="53"/>
      <c r="OW188" s="53"/>
      <c r="OX188" s="53"/>
      <c r="OY188" s="53"/>
      <c r="OZ188" s="53"/>
      <c r="PA188" s="53"/>
      <c r="PB188" s="53"/>
      <c r="PC188" s="53"/>
      <c r="PD188" s="53"/>
      <c r="PE188" s="53"/>
      <c r="PF188" s="53"/>
      <c r="PG188" s="53"/>
      <c r="PH188" s="53"/>
      <c r="PI188" s="53"/>
      <c r="PJ188" s="53"/>
      <c r="PK188" s="53"/>
      <c r="PL188" s="53"/>
      <c r="PM188" s="53"/>
      <c r="PN188" s="53"/>
      <c r="PO188" s="53"/>
      <c r="PP188" s="53"/>
      <c r="PQ188" s="53"/>
      <c r="PR188" s="53"/>
      <c r="PS188" s="53"/>
      <c r="PT188" s="53"/>
      <c r="PU188" s="53"/>
      <c r="PV188" s="53"/>
      <c r="PW188" s="53"/>
      <c r="PX188" s="53"/>
      <c r="PY188" s="53"/>
      <c r="PZ188" s="53"/>
      <c r="QA188" s="53"/>
      <c r="QB188" s="53"/>
      <c r="QC188" s="53"/>
      <c r="QD188" s="53"/>
      <c r="QE188" s="53"/>
      <c r="QF188" s="53"/>
      <c r="QG188" s="53"/>
      <c r="QH188" s="53"/>
      <c r="QI188" s="53"/>
      <c r="QJ188" s="53"/>
      <c r="QK188" s="53"/>
      <c r="QL188" s="53"/>
      <c r="QM188" s="53"/>
      <c r="QN188" s="53"/>
      <c r="QO188" s="53"/>
      <c r="QP188" s="53"/>
      <c r="QQ188" s="53"/>
      <c r="QR188" s="53"/>
      <c r="QS188" s="53"/>
      <c r="QT188" s="53"/>
      <c r="QU188" s="53"/>
      <c r="QV188" s="53"/>
      <c r="QW188" s="53"/>
      <c r="QX188" s="53"/>
      <c r="QY188" s="53"/>
      <c r="QZ188" s="53"/>
      <c r="RA188" s="53"/>
      <c r="RB188" s="53"/>
      <c r="RC188" s="53"/>
      <c r="RD188" s="53"/>
      <c r="RE188" s="53"/>
      <c r="RF188" s="53"/>
      <c r="RG188" s="53"/>
      <c r="RH188" s="53"/>
      <c r="RI188" s="53"/>
      <c r="RJ188" s="53"/>
      <c r="RK188" s="53"/>
      <c r="RL188" s="53"/>
      <c r="RM188" s="53"/>
      <c r="RN188" s="53"/>
      <c r="RO188" s="53"/>
      <c r="RP188" s="53"/>
      <c r="RQ188" s="53"/>
      <c r="RR188" s="53"/>
      <c r="RS188" s="53"/>
      <c r="RT188" s="53"/>
      <c r="RU188" s="53"/>
      <c r="RV188" s="53"/>
      <c r="RW188" s="53"/>
      <c r="RX188" s="53"/>
      <c r="RY188" s="53"/>
      <c r="RZ188" s="53"/>
      <c r="SA188" s="53"/>
      <c r="SB188" s="53"/>
      <c r="SC188" s="53"/>
      <c r="SD188" s="53"/>
      <c r="SE188" s="53"/>
      <c r="SF188" s="53"/>
      <c r="SG188" s="53"/>
      <c r="SH188" s="53"/>
      <c r="SI188" s="53"/>
      <c r="SJ188" s="53"/>
      <c r="SK188" s="53"/>
      <c r="SL188" s="53"/>
      <c r="SM188" s="53"/>
      <c r="SN188" s="53"/>
      <c r="SO188" s="53"/>
      <c r="SP188" s="53"/>
      <c r="SQ188" s="53"/>
      <c r="SR188" s="53"/>
      <c r="SS188" s="53"/>
      <c r="ST188" s="53"/>
      <c r="SU188" s="53"/>
      <c r="SV188" s="53"/>
      <c r="SW188" s="53"/>
      <c r="SX188" s="53"/>
      <c r="SY188" s="53"/>
      <c r="SZ188" s="53"/>
      <c r="TA188" s="53"/>
      <c r="TB188" s="53"/>
      <c r="TC188" s="53"/>
      <c r="TD188" s="53"/>
      <c r="TE188" s="53"/>
      <c r="TF188" s="53"/>
      <c r="TG188" s="53"/>
      <c r="TH188" s="53"/>
      <c r="TI188" s="53"/>
      <c r="TJ188" s="53"/>
      <c r="TK188" s="53"/>
      <c r="TL188" s="53"/>
      <c r="TM188" s="53"/>
      <c r="TN188" s="53"/>
      <c r="TO188" s="53"/>
      <c r="TP188" s="53"/>
      <c r="TQ188" s="53"/>
      <c r="TR188" s="53"/>
      <c r="TS188" s="53"/>
      <c r="TT188" s="53"/>
      <c r="TU188" s="53"/>
      <c r="TV188" s="53"/>
      <c r="TW188" s="53"/>
      <c r="TX188" s="53"/>
      <c r="TY188" s="53"/>
      <c r="TZ188" s="53"/>
      <c r="UA188" s="53"/>
      <c r="UB188" s="53"/>
      <c r="UC188" s="53"/>
      <c r="UD188" s="53"/>
      <c r="UE188" s="53"/>
      <c r="UF188" s="53"/>
      <c r="UG188" s="53"/>
      <c r="UH188" s="53"/>
      <c r="UI188" s="53"/>
      <c r="UJ188" s="53"/>
      <c r="UK188" s="53"/>
      <c r="UL188" s="53"/>
      <c r="UM188" s="53"/>
      <c r="UN188" s="53"/>
      <c r="UO188" s="53"/>
      <c r="UP188" s="53"/>
      <c r="UQ188" s="53"/>
      <c r="UR188" s="53"/>
      <c r="US188" s="53"/>
      <c r="UT188" s="53"/>
      <c r="UU188" s="53"/>
      <c r="UV188" s="53"/>
      <c r="UW188" s="53"/>
      <c r="UX188" s="53"/>
      <c r="UY188" s="53"/>
      <c r="UZ188" s="53"/>
      <c r="VA188" s="53"/>
      <c r="VB188" s="53"/>
      <c r="VC188" s="53"/>
      <c r="VD188" s="53"/>
      <c r="VE188" s="53"/>
      <c r="VF188" s="53"/>
      <c r="VG188" s="53"/>
      <c r="VH188" s="53"/>
      <c r="VI188" s="53"/>
      <c r="VJ188" s="53"/>
      <c r="VK188" s="53"/>
      <c r="VL188" s="53"/>
    </row>
    <row r="189" spans="1:584" s="47" customFormat="1" ht="34.5" customHeight="1" x14ac:dyDescent="0.25">
      <c r="A189" s="71" t="s">
        <v>577</v>
      </c>
      <c r="B189" s="91">
        <v>7363</v>
      </c>
      <c r="C189" s="91" t="s">
        <v>112</v>
      </c>
      <c r="D189" s="48" t="s">
        <v>496</v>
      </c>
      <c r="E189" s="115">
        <v>0</v>
      </c>
      <c r="F189" s="115"/>
      <c r="G189" s="115"/>
      <c r="H189" s="115"/>
      <c r="I189" s="115"/>
      <c r="J189" s="115"/>
      <c r="K189" s="164"/>
      <c r="L189" s="115">
        <f t="shared" si="42"/>
        <v>119789</v>
      </c>
      <c r="M189" s="115">
        <f>3489+116300+20000-20000</f>
        <v>119789</v>
      </c>
      <c r="N189" s="115"/>
      <c r="O189" s="115"/>
      <c r="P189" s="115"/>
      <c r="Q189" s="115">
        <f>3489+116300+20000-20000</f>
        <v>119789</v>
      </c>
      <c r="R189" s="115">
        <f t="shared" si="39"/>
        <v>119789</v>
      </c>
      <c r="S189" s="115">
        <v>119789</v>
      </c>
      <c r="T189" s="115"/>
      <c r="U189" s="115"/>
      <c r="V189" s="115"/>
      <c r="W189" s="115">
        <v>119789</v>
      </c>
      <c r="X189" s="166">
        <f t="shared" si="40"/>
        <v>100</v>
      </c>
      <c r="Y189" s="115">
        <f t="shared" si="41"/>
        <v>119789</v>
      </c>
      <c r="Z189" s="187"/>
      <c r="AA189" s="53"/>
      <c r="AB189" s="53"/>
      <c r="AC189" s="53"/>
      <c r="AD189" s="53"/>
      <c r="AE189" s="79"/>
      <c r="AF189" s="79"/>
      <c r="AG189" s="79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  <c r="IU189" s="53"/>
      <c r="IV189" s="53"/>
      <c r="IW189" s="53"/>
      <c r="IX189" s="53"/>
      <c r="IY189" s="53"/>
      <c r="IZ189" s="53"/>
      <c r="JA189" s="53"/>
      <c r="JB189" s="53"/>
      <c r="JC189" s="53"/>
      <c r="JD189" s="53"/>
      <c r="JE189" s="53"/>
      <c r="JF189" s="53"/>
      <c r="JG189" s="53"/>
      <c r="JH189" s="53"/>
      <c r="JI189" s="53"/>
      <c r="JJ189" s="53"/>
      <c r="JK189" s="53"/>
      <c r="JL189" s="53"/>
      <c r="JM189" s="53"/>
      <c r="JN189" s="53"/>
      <c r="JO189" s="53"/>
      <c r="JP189" s="53"/>
      <c r="JQ189" s="53"/>
      <c r="JR189" s="53"/>
      <c r="JS189" s="53"/>
      <c r="JT189" s="53"/>
      <c r="JU189" s="53"/>
      <c r="JV189" s="53"/>
      <c r="JW189" s="53"/>
      <c r="JX189" s="53"/>
      <c r="JY189" s="53"/>
      <c r="JZ189" s="53"/>
      <c r="KA189" s="53"/>
      <c r="KB189" s="53"/>
      <c r="KC189" s="53"/>
      <c r="KD189" s="53"/>
      <c r="KE189" s="53"/>
      <c r="KF189" s="53"/>
      <c r="KG189" s="53"/>
      <c r="KH189" s="53"/>
      <c r="KI189" s="53"/>
      <c r="KJ189" s="53"/>
      <c r="KK189" s="53"/>
      <c r="KL189" s="53"/>
      <c r="KM189" s="53"/>
      <c r="KN189" s="53"/>
      <c r="KO189" s="53"/>
      <c r="KP189" s="53"/>
      <c r="KQ189" s="53"/>
      <c r="KR189" s="53"/>
      <c r="KS189" s="53"/>
      <c r="KT189" s="53"/>
      <c r="KU189" s="53"/>
      <c r="KV189" s="53"/>
      <c r="KW189" s="53"/>
      <c r="KX189" s="53"/>
      <c r="KY189" s="53"/>
      <c r="KZ189" s="53"/>
      <c r="LA189" s="53"/>
      <c r="LB189" s="53"/>
      <c r="LC189" s="53"/>
      <c r="LD189" s="53"/>
      <c r="LE189" s="53"/>
      <c r="LF189" s="53"/>
      <c r="LG189" s="53"/>
      <c r="LH189" s="53"/>
      <c r="LI189" s="53"/>
      <c r="LJ189" s="53"/>
      <c r="LK189" s="53"/>
      <c r="LL189" s="53"/>
      <c r="LM189" s="53"/>
      <c r="LN189" s="53"/>
      <c r="LO189" s="53"/>
      <c r="LP189" s="53"/>
      <c r="LQ189" s="53"/>
      <c r="LR189" s="53"/>
      <c r="LS189" s="53"/>
      <c r="LT189" s="53"/>
      <c r="LU189" s="53"/>
      <c r="LV189" s="53"/>
      <c r="LW189" s="53"/>
      <c r="LX189" s="53"/>
      <c r="LY189" s="53"/>
      <c r="LZ189" s="53"/>
      <c r="MA189" s="53"/>
      <c r="MB189" s="53"/>
      <c r="MC189" s="53"/>
      <c r="MD189" s="53"/>
      <c r="ME189" s="53"/>
      <c r="MF189" s="53"/>
      <c r="MG189" s="53"/>
      <c r="MH189" s="53"/>
      <c r="MI189" s="53"/>
      <c r="MJ189" s="53"/>
      <c r="MK189" s="53"/>
      <c r="ML189" s="53"/>
      <c r="MM189" s="53"/>
      <c r="MN189" s="53"/>
      <c r="MO189" s="53"/>
      <c r="MP189" s="53"/>
      <c r="MQ189" s="53"/>
      <c r="MR189" s="53"/>
      <c r="MS189" s="53"/>
      <c r="MT189" s="53"/>
      <c r="MU189" s="53"/>
      <c r="MV189" s="53"/>
      <c r="MW189" s="53"/>
      <c r="MX189" s="53"/>
      <c r="MY189" s="53"/>
      <c r="MZ189" s="53"/>
      <c r="NA189" s="53"/>
      <c r="NB189" s="53"/>
      <c r="NC189" s="53"/>
      <c r="ND189" s="53"/>
      <c r="NE189" s="53"/>
      <c r="NF189" s="53"/>
      <c r="NG189" s="53"/>
      <c r="NH189" s="53"/>
      <c r="NI189" s="53"/>
      <c r="NJ189" s="53"/>
      <c r="NK189" s="53"/>
      <c r="NL189" s="53"/>
      <c r="NM189" s="53"/>
      <c r="NN189" s="53"/>
      <c r="NO189" s="53"/>
      <c r="NP189" s="53"/>
      <c r="NQ189" s="53"/>
      <c r="NR189" s="53"/>
      <c r="NS189" s="53"/>
      <c r="NT189" s="53"/>
      <c r="NU189" s="53"/>
      <c r="NV189" s="53"/>
      <c r="NW189" s="53"/>
      <c r="NX189" s="53"/>
      <c r="NY189" s="53"/>
      <c r="NZ189" s="53"/>
      <c r="OA189" s="53"/>
      <c r="OB189" s="53"/>
      <c r="OC189" s="53"/>
      <c r="OD189" s="53"/>
      <c r="OE189" s="53"/>
      <c r="OF189" s="53"/>
      <c r="OG189" s="53"/>
      <c r="OH189" s="53"/>
      <c r="OI189" s="53"/>
      <c r="OJ189" s="53"/>
      <c r="OK189" s="53"/>
      <c r="OL189" s="53"/>
      <c r="OM189" s="53"/>
      <c r="ON189" s="53"/>
      <c r="OO189" s="53"/>
      <c r="OP189" s="53"/>
      <c r="OQ189" s="53"/>
      <c r="OR189" s="53"/>
      <c r="OS189" s="53"/>
      <c r="OT189" s="53"/>
      <c r="OU189" s="53"/>
      <c r="OV189" s="53"/>
      <c r="OW189" s="53"/>
      <c r="OX189" s="53"/>
      <c r="OY189" s="53"/>
      <c r="OZ189" s="53"/>
      <c r="PA189" s="53"/>
      <c r="PB189" s="53"/>
      <c r="PC189" s="53"/>
      <c r="PD189" s="53"/>
      <c r="PE189" s="53"/>
      <c r="PF189" s="53"/>
      <c r="PG189" s="53"/>
      <c r="PH189" s="53"/>
      <c r="PI189" s="53"/>
      <c r="PJ189" s="53"/>
      <c r="PK189" s="53"/>
      <c r="PL189" s="53"/>
      <c r="PM189" s="53"/>
      <c r="PN189" s="53"/>
      <c r="PO189" s="53"/>
      <c r="PP189" s="53"/>
      <c r="PQ189" s="53"/>
      <c r="PR189" s="53"/>
      <c r="PS189" s="53"/>
      <c r="PT189" s="53"/>
      <c r="PU189" s="53"/>
      <c r="PV189" s="53"/>
      <c r="PW189" s="53"/>
      <c r="PX189" s="53"/>
      <c r="PY189" s="53"/>
      <c r="PZ189" s="53"/>
      <c r="QA189" s="53"/>
      <c r="QB189" s="53"/>
      <c r="QC189" s="53"/>
      <c r="QD189" s="53"/>
      <c r="QE189" s="53"/>
      <c r="QF189" s="53"/>
      <c r="QG189" s="53"/>
      <c r="QH189" s="53"/>
      <c r="QI189" s="53"/>
      <c r="QJ189" s="53"/>
      <c r="QK189" s="53"/>
      <c r="QL189" s="53"/>
      <c r="QM189" s="53"/>
      <c r="QN189" s="53"/>
      <c r="QO189" s="53"/>
      <c r="QP189" s="53"/>
      <c r="QQ189" s="53"/>
      <c r="QR189" s="53"/>
      <c r="QS189" s="53"/>
      <c r="QT189" s="53"/>
      <c r="QU189" s="53"/>
      <c r="QV189" s="53"/>
      <c r="QW189" s="53"/>
      <c r="QX189" s="53"/>
      <c r="QY189" s="53"/>
      <c r="QZ189" s="53"/>
      <c r="RA189" s="53"/>
      <c r="RB189" s="53"/>
      <c r="RC189" s="53"/>
      <c r="RD189" s="53"/>
      <c r="RE189" s="53"/>
      <c r="RF189" s="53"/>
      <c r="RG189" s="53"/>
      <c r="RH189" s="53"/>
      <c r="RI189" s="53"/>
      <c r="RJ189" s="53"/>
      <c r="RK189" s="53"/>
      <c r="RL189" s="53"/>
      <c r="RM189" s="53"/>
      <c r="RN189" s="53"/>
      <c r="RO189" s="53"/>
      <c r="RP189" s="53"/>
      <c r="RQ189" s="53"/>
      <c r="RR189" s="53"/>
      <c r="RS189" s="53"/>
      <c r="RT189" s="53"/>
      <c r="RU189" s="53"/>
      <c r="RV189" s="53"/>
      <c r="RW189" s="53"/>
      <c r="RX189" s="53"/>
      <c r="RY189" s="53"/>
      <c r="RZ189" s="53"/>
      <c r="SA189" s="53"/>
      <c r="SB189" s="53"/>
      <c r="SC189" s="53"/>
      <c r="SD189" s="53"/>
      <c r="SE189" s="53"/>
      <c r="SF189" s="53"/>
      <c r="SG189" s="53"/>
      <c r="SH189" s="53"/>
      <c r="SI189" s="53"/>
      <c r="SJ189" s="53"/>
      <c r="SK189" s="53"/>
      <c r="SL189" s="53"/>
      <c r="SM189" s="53"/>
      <c r="SN189" s="53"/>
      <c r="SO189" s="53"/>
      <c r="SP189" s="53"/>
      <c r="SQ189" s="53"/>
      <c r="SR189" s="53"/>
      <c r="SS189" s="53"/>
      <c r="ST189" s="53"/>
      <c r="SU189" s="53"/>
      <c r="SV189" s="53"/>
      <c r="SW189" s="53"/>
      <c r="SX189" s="53"/>
      <c r="SY189" s="53"/>
      <c r="SZ189" s="53"/>
      <c r="TA189" s="53"/>
      <c r="TB189" s="53"/>
      <c r="TC189" s="53"/>
      <c r="TD189" s="53"/>
      <c r="TE189" s="53"/>
      <c r="TF189" s="53"/>
      <c r="TG189" s="53"/>
      <c r="TH189" s="53"/>
      <c r="TI189" s="53"/>
      <c r="TJ189" s="53"/>
      <c r="TK189" s="53"/>
      <c r="TL189" s="53"/>
      <c r="TM189" s="53"/>
      <c r="TN189" s="53"/>
      <c r="TO189" s="53"/>
      <c r="TP189" s="53"/>
      <c r="TQ189" s="53"/>
      <c r="TR189" s="53"/>
      <c r="TS189" s="53"/>
      <c r="TT189" s="53"/>
      <c r="TU189" s="53"/>
      <c r="TV189" s="53"/>
      <c r="TW189" s="53"/>
      <c r="TX189" s="53"/>
      <c r="TY189" s="53"/>
      <c r="TZ189" s="53"/>
      <c r="UA189" s="53"/>
      <c r="UB189" s="53"/>
      <c r="UC189" s="53"/>
      <c r="UD189" s="53"/>
      <c r="UE189" s="53"/>
      <c r="UF189" s="53"/>
      <c r="UG189" s="53"/>
      <c r="UH189" s="53"/>
      <c r="UI189" s="53"/>
      <c r="UJ189" s="53"/>
      <c r="UK189" s="53"/>
      <c r="UL189" s="53"/>
      <c r="UM189" s="53"/>
      <c r="UN189" s="53"/>
      <c r="UO189" s="53"/>
      <c r="UP189" s="53"/>
      <c r="UQ189" s="53"/>
      <c r="UR189" s="53"/>
      <c r="US189" s="53"/>
      <c r="UT189" s="53"/>
      <c r="UU189" s="53"/>
      <c r="UV189" s="53"/>
      <c r="UW189" s="53"/>
      <c r="UX189" s="53"/>
      <c r="UY189" s="53"/>
      <c r="UZ189" s="53"/>
      <c r="VA189" s="53"/>
      <c r="VB189" s="53"/>
      <c r="VC189" s="53"/>
      <c r="VD189" s="53"/>
      <c r="VE189" s="53"/>
      <c r="VF189" s="53"/>
      <c r="VG189" s="53"/>
      <c r="VH189" s="53"/>
      <c r="VI189" s="53"/>
      <c r="VJ189" s="53"/>
      <c r="VK189" s="53"/>
      <c r="VL189" s="53"/>
    </row>
    <row r="190" spans="1:584" s="47" customFormat="1" ht="20.25" customHeight="1" x14ac:dyDescent="0.25">
      <c r="A190" s="71"/>
      <c r="B190" s="91"/>
      <c r="C190" s="91"/>
      <c r="D190" s="48" t="s">
        <v>342</v>
      </c>
      <c r="E190" s="115">
        <v>0</v>
      </c>
      <c r="F190" s="115"/>
      <c r="G190" s="115"/>
      <c r="H190" s="115"/>
      <c r="I190" s="115"/>
      <c r="J190" s="115"/>
      <c r="K190" s="164"/>
      <c r="L190" s="115">
        <f t="shared" si="42"/>
        <v>116300</v>
      </c>
      <c r="M190" s="115">
        <f>116300+20000-20000</f>
        <v>116300</v>
      </c>
      <c r="N190" s="115"/>
      <c r="O190" s="115"/>
      <c r="P190" s="115"/>
      <c r="Q190" s="115">
        <f>116300+20000-20000</f>
        <v>116300</v>
      </c>
      <c r="R190" s="115">
        <f t="shared" si="39"/>
        <v>116300</v>
      </c>
      <c r="S190" s="115">
        <v>116300</v>
      </c>
      <c r="T190" s="115"/>
      <c r="U190" s="115"/>
      <c r="V190" s="115"/>
      <c r="W190" s="115">
        <v>116300</v>
      </c>
      <c r="X190" s="166">
        <f t="shared" si="40"/>
        <v>100</v>
      </c>
      <c r="Y190" s="115">
        <f t="shared" si="41"/>
        <v>116300</v>
      </c>
      <c r="Z190" s="187"/>
      <c r="AA190" s="53"/>
      <c r="AB190" s="53"/>
      <c r="AC190" s="53"/>
      <c r="AD190" s="53"/>
      <c r="AE190" s="79"/>
      <c r="AF190" s="79"/>
      <c r="AG190" s="79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  <c r="IU190" s="53"/>
      <c r="IV190" s="53"/>
      <c r="IW190" s="53"/>
      <c r="IX190" s="53"/>
      <c r="IY190" s="53"/>
      <c r="IZ190" s="53"/>
      <c r="JA190" s="53"/>
      <c r="JB190" s="53"/>
      <c r="JC190" s="53"/>
      <c r="JD190" s="53"/>
      <c r="JE190" s="53"/>
      <c r="JF190" s="53"/>
      <c r="JG190" s="53"/>
      <c r="JH190" s="53"/>
      <c r="JI190" s="53"/>
      <c r="JJ190" s="53"/>
      <c r="JK190" s="53"/>
      <c r="JL190" s="53"/>
      <c r="JM190" s="53"/>
      <c r="JN190" s="53"/>
      <c r="JO190" s="53"/>
      <c r="JP190" s="53"/>
      <c r="JQ190" s="53"/>
      <c r="JR190" s="53"/>
      <c r="JS190" s="53"/>
      <c r="JT190" s="53"/>
      <c r="JU190" s="53"/>
      <c r="JV190" s="53"/>
      <c r="JW190" s="53"/>
      <c r="JX190" s="53"/>
      <c r="JY190" s="53"/>
      <c r="JZ190" s="53"/>
      <c r="KA190" s="53"/>
      <c r="KB190" s="53"/>
      <c r="KC190" s="53"/>
      <c r="KD190" s="53"/>
      <c r="KE190" s="53"/>
      <c r="KF190" s="53"/>
      <c r="KG190" s="53"/>
      <c r="KH190" s="53"/>
      <c r="KI190" s="53"/>
      <c r="KJ190" s="53"/>
      <c r="KK190" s="53"/>
      <c r="KL190" s="53"/>
      <c r="KM190" s="53"/>
      <c r="KN190" s="53"/>
      <c r="KO190" s="53"/>
      <c r="KP190" s="53"/>
      <c r="KQ190" s="53"/>
      <c r="KR190" s="53"/>
      <c r="KS190" s="53"/>
      <c r="KT190" s="53"/>
      <c r="KU190" s="53"/>
      <c r="KV190" s="53"/>
      <c r="KW190" s="53"/>
      <c r="KX190" s="53"/>
      <c r="KY190" s="53"/>
      <c r="KZ190" s="53"/>
      <c r="LA190" s="53"/>
      <c r="LB190" s="53"/>
      <c r="LC190" s="53"/>
      <c r="LD190" s="53"/>
      <c r="LE190" s="53"/>
      <c r="LF190" s="53"/>
      <c r="LG190" s="53"/>
      <c r="LH190" s="53"/>
      <c r="LI190" s="53"/>
      <c r="LJ190" s="53"/>
      <c r="LK190" s="53"/>
      <c r="LL190" s="53"/>
      <c r="LM190" s="53"/>
      <c r="LN190" s="53"/>
      <c r="LO190" s="53"/>
      <c r="LP190" s="53"/>
      <c r="LQ190" s="53"/>
      <c r="LR190" s="53"/>
      <c r="LS190" s="53"/>
      <c r="LT190" s="53"/>
      <c r="LU190" s="53"/>
      <c r="LV190" s="53"/>
      <c r="LW190" s="53"/>
      <c r="LX190" s="53"/>
      <c r="LY190" s="53"/>
      <c r="LZ190" s="53"/>
      <c r="MA190" s="53"/>
      <c r="MB190" s="53"/>
      <c r="MC190" s="53"/>
      <c r="MD190" s="53"/>
      <c r="ME190" s="53"/>
      <c r="MF190" s="53"/>
      <c r="MG190" s="53"/>
      <c r="MH190" s="53"/>
      <c r="MI190" s="53"/>
      <c r="MJ190" s="53"/>
      <c r="MK190" s="53"/>
      <c r="ML190" s="53"/>
      <c r="MM190" s="53"/>
      <c r="MN190" s="53"/>
      <c r="MO190" s="53"/>
      <c r="MP190" s="53"/>
      <c r="MQ190" s="53"/>
      <c r="MR190" s="53"/>
      <c r="MS190" s="53"/>
      <c r="MT190" s="53"/>
      <c r="MU190" s="53"/>
      <c r="MV190" s="53"/>
      <c r="MW190" s="53"/>
      <c r="MX190" s="53"/>
      <c r="MY190" s="53"/>
      <c r="MZ190" s="53"/>
      <c r="NA190" s="53"/>
      <c r="NB190" s="53"/>
      <c r="NC190" s="53"/>
      <c r="ND190" s="53"/>
      <c r="NE190" s="53"/>
      <c r="NF190" s="53"/>
      <c r="NG190" s="53"/>
      <c r="NH190" s="53"/>
      <c r="NI190" s="53"/>
      <c r="NJ190" s="53"/>
      <c r="NK190" s="53"/>
      <c r="NL190" s="53"/>
      <c r="NM190" s="53"/>
      <c r="NN190" s="53"/>
      <c r="NO190" s="53"/>
      <c r="NP190" s="53"/>
      <c r="NQ190" s="53"/>
      <c r="NR190" s="53"/>
      <c r="NS190" s="53"/>
      <c r="NT190" s="53"/>
      <c r="NU190" s="53"/>
      <c r="NV190" s="53"/>
      <c r="NW190" s="53"/>
      <c r="NX190" s="53"/>
      <c r="NY190" s="53"/>
      <c r="NZ190" s="53"/>
      <c r="OA190" s="53"/>
      <c r="OB190" s="53"/>
      <c r="OC190" s="53"/>
      <c r="OD190" s="53"/>
      <c r="OE190" s="53"/>
      <c r="OF190" s="53"/>
      <c r="OG190" s="53"/>
      <c r="OH190" s="53"/>
      <c r="OI190" s="53"/>
      <c r="OJ190" s="53"/>
      <c r="OK190" s="53"/>
      <c r="OL190" s="53"/>
      <c r="OM190" s="53"/>
      <c r="ON190" s="53"/>
      <c r="OO190" s="53"/>
      <c r="OP190" s="53"/>
      <c r="OQ190" s="53"/>
      <c r="OR190" s="53"/>
      <c r="OS190" s="53"/>
      <c r="OT190" s="53"/>
      <c r="OU190" s="53"/>
      <c r="OV190" s="53"/>
      <c r="OW190" s="53"/>
      <c r="OX190" s="53"/>
      <c r="OY190" s="53"/>
      <c r="OZ190" s="53"/>
      <c r="PA190" s="53"/>
      <c r="PB190" s="53"/>
      <c r="PC190" s="53"/>
      <c r="PD190" s="53"/>
      <c r="PE190" s="53"/>
      <c r="PF190" s="53"/>
      <c r="PG190" s="53"/>
      <c r="PH190" s="53"/>
      <c r="PI190" s="53"/>
      <c r="PJ190" s="53"/>
      <c r="PK190" s="53"/>
      <c r="PL190" s="53"/>
      <c r="PM190" s="53"/>
      <c r="PN190" s="53"/>
      <c r="PO190" s="53"/>
      <c r="PP190" s="53"/>
      <c r="PQ190" s="53"/>
      <c r="PR190" s="53"/>
      <c r="PS190" s="53"/>
      <c r="PT190" s="53"/>
      <c r="PU190" s="53"/>
      <c r="PV190" s="53"/>
      <c r="PW190" s="53"/>
      <c r="PX190" s="53"/>
      <c r="PY190" s="53"/>
      <c r="PZ190" s="53"/>
      <c r="QA190" s="53"/>
      <c r="QB190" s="53"/>
      <c r="QC190" s="53"/>
      <c r="QD190" s="53"/>
      <c r="QE190" s="53"/>
      <c r="QF190" s="53"/>
      <c r="QG190" s="53"/>
      <c r="QH190" s="53"/>
      <c r="QI190" s="53"/>
      <c r="QJ190" s="53"/>
      <c r="QK190" s="53"/>
      <c r="QL190" s="53"/>
      <c r="QM190" s="53"/>
      <c r="QN190" s="53"/>
      <c r="QO190" s="53"/>
      <c r="QP190" s="53"/>
      <c r="QQ190" s="53"/>
      <c r="QR190" s="53"/>
      <c r="QS190" s="53"/>
      <c r="QT190" s="53"/>
      <c r="QU190" s="53"/>
      <c r="QV190" s="53"/>
      <c r="QW190" s="53"/>
      <c r="QX190" s="53"/>
      <c r="QY190" s="53"/>
      <c r="QZ190" s="53"/>
      <c r="RA190" s="53"/>
      <c r="RB190" s="53"/>
      <c r="RC190" s="53"/>
      <c r="RD190" s="53"/>
      <c r="RE190" s="53"/>
      <c r="RF190" s="53"/>
      <c r="RG190" s="53"/>
      <c r="RH190" s="53"/>
      <c r="RI190" s="53"/>
      <c r="RJ190" s="53"/>
      <c r="RK190" s="53"/>
      <c r="RL190" s="53"/>
      <c r="RM190" s="53"/>
      <c r="RN190" s="53"/>
      <c r="RO190" s="53"/>
      <c r="RP190" s="53"/>
      <c r="RQ190" s="53"/>
      <c r="RR190" s="53"/>
      <c r="RS190" s="53"/>
      <c r="RT190" s="53"/>
      <c r="RU190" s="53"/>
      <c r="RV190" s="53"/>
      <c r="RW190" s="53"/>
      <c r="RX190" s="53"/>
      <c r="RY190" s="53"/>
      <c r="RZ190" s="53"/>
      <c r="SA190" s="53"/>
      <c r="SB190" s="53"/>
      <c r="SC190" s="53"/>
      <c r="SD190" s="53"/>
      <c r="SE190" s="53"/>
      <c r="SF190" s="53"/>
      <c r="SG190" s="53"/>
      <c r="SH190" s="53"/>
      <c r="SI190" s="53"/>
      <c r="SJ190" s="53"/>
      <c r="SK190" s="53"/>
      <c r="SL190" s="53"/>
      <c r="SM190" s="53"/>
      <c r="SN190" s="53"/>
      <c r="SO190" s="53"/>
      <c r="SP190" s="53"/>
      <c r="SQ190" s="53"/>
      <c r="SR190" s="53"/>
      <c r="SS190" s="53"/>
      <c r="ST190" s="53"/>
      <c r="SU190" s="53"/>
      <c r="SV190" s="53"/>
      <c r="SW190" s="53"/>
      <c r="SX190" s="53"/>
      <c r="SY190" s="53"/>
      <c r="SZ190" s="53"/>
      <c r="TA190" s="53"/>
      <c r="TB190" s="53"/>
      <c r="TC190" s="53"/>
      <c r="TD190" s="53"/>
      <c r="TE190" s="53"/>
      <c r="TF190" s="53"/>
      <c r="TG190" s="53"/>
      <c r="TH190" s="53"/>
      <c r="TI190" s="53"/>
      <c r="TJ190" s="53"/>
      <c r="TK190" s="53"/>
      <c r="TL190" s="53"/>
      <c r="TM190" s="53"/>
      <c r="TN190" s="53"/>
      <c r="TO190" s="53"/>
      <c r="TP190" s="53"/>
      <c r="TQ190" s="53"/>
      <c r="TR190" s="53"/>
      <c r="TS190" s="53"/>
      <c r="TT190" s="53"/>
      <c r="TU190" s="53"/>
      <c r="TV190" s="53"/>
      <c r="TW190" s="53"/>
      <c r="TX190" s="53"/>
      <c r="TY190" s="53"/>
      <c r="TZ190" s="53"/>
      <c r="UA190" s="53"/>
      <c r="UB190" s="53"/>
      <c r="UC190" s="53"/>
      <c r="UD190" s="53"/>
      <c r="UE190" s="53"/>
      <c r="UF190" s="53"/>
      <c r="UG190" s="53"/>
      <c r="UH190" s="53"/>
      <c r="UI190" s="53"/>
      <c r="UJ190" s="53"/>
      <c r="UK190" s="53"/>
      <c r="UL190" s="53"/>
      <c r="UM190" s="53"/>
      <c r="UN190" s="53"/>
      <c r="UO190" s="53"/>
      <c r="UP190" s="53"/>
      <c r="UQ190" s="53"/>
      <c r="UR190" s="53"/>
      <c r="US190" s="53"/>
      <c r="UT190" s="53"/>
      <c r="UU190" s="53"/>
      <c r="UV190" s="53"/>
      <c r="UW190" s="53"/>
      <c r="UX190" s="53"/>
      <c r="UY190" s="53"/>
      <c r="UZ190" s="53"/>
      <c r="VA190" s="53"/>
      <c r="VB190" s="53"/>
      <c r="VC190" s="53"/>
      <c r="VD190" s="53"/>
      <c r="VE190" s="53"/>
      <c r="VF190" s="53"/>
      <c r="VG190" s="53"/>
      <c r="VH190" s="53"/>
      <c r="VI190" s="53"/>
      <c r="VJ190" s="53"/>
      <c r="VK190" s="53"/>
      <c r="VL190" s="53"/>
    </row>
    <row r="191" spans="1:584" s="47" customFormat="1" ht="23.25" customHeight="1" x14ac:dyDescent="0.25">
      <c r="A191" s="45" t="s">
        <v>340</v>
      </c>
      <c r="B191" s="91" t="str">
        <f>'дод 3'!A227</f>
        <v>9770</v>
      </c>
      <c r="C191" s="91" t="str">
        <f>'дод 3'!B227</f>
        <v>0180</v>
      </c>
      <c r="D191" s="48" t="str">
        <f>'дод 3'!C227</f>
        <v xml:space="preserve">Інші субвенції з місцевого бюджету </v>
      </c>
      <c r="E191" s="115">
        <v>814000</v>
      </c>
      <c r="F191" s="115"/>
      <c r="G191" s="115"/>
      <c r="H191" s="115">
        <v>814000</v>
      </c>
      <c r="I191" s="115"/>
      <c r="J191" s="115"/>
      <c r="K191" s="164">
        <f t="shared" si="38"/>
        <v>100</v>
      </c>
      <c r="L191" s="115">
        <f t="shared" si="42"/>
        <v>0</v>
      </c>
      <c r="M191" s="115"/>
      <c r="N191" s="115"/>
      <c r="O191" s="115"/>
      <c r="P191" s="115"/>
      <c r="Q191" s="115"/>
      <c r="R191" s="115">
        <f t="shared" si="39"/>
        <v>0</v>
      </c>
      <c r="S191" s="115"/>
      <c r="T191" s="115"/>
      <c r="U191" s="115"/>
      <c r="V191" s="115"/>
      <c r="W191" s="115"/>
      <c r="X191" s="166"/>
      <c r="Y191" s="115">
        <f t="shared" si="41"/>
        <v>814000</v>
      </c>
      <c r="Z191" s="187"/>
      <c r="AA191" s="53"/>
      <c r="AB191" s="53"/>
      <c r="AC191" s="53"/>
      <c r="AD191" s="53"/>
      <c r="AE191" s="79"/>
      <c r="AF191" s="79"/>
      <c r="AG191" s="79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  <c r="IQ191" s="53"/>
      <c r="IR191" s="53"/>
      <c r="IS191" s="53"/>
      <c r="IT191" s="53"/>
      <c r="IU191" s="53"/>
      <c r="IV191" s="53"/>
      <c r="IW191" s="53"/>
      <c r="IX191" s="53"/>
      <c r="IY191" s="53"/>
      <c r="IZ191" s="53"/>
      <c r="JA191" s="53"/>
      <c r="JB191" s="53"/>
      <c r="JC191" s="53"/>
      <c r="JD191" s="53"/>
      <c r="JE191" s="53"/>
      <c r="JF191" s="53"/>
      <c r="JG191" s="53"/>
      <c r="JH191" s="53"/>
      <c r="JI191" s="53"/>
      <c r="JJ191" s="53"/>
      <c r="JK191" s="53"/>
      <c r="JL191" s="53"/>
      <c r="JM191" s="53"/>
      <c r="JN191" s="53"/>
      <c r="JO191" s="53"/>
      <c r="JP191" s="53"/>
      <c r="JQ191" s="53"/>
      <c r="JR191" s="53"/>
      <c r="JS191" s="53"/>
      <c r="JT191" s="53"/>
      <c r="JU191" s="53"/>
      <c r="JV191" s="53"/>
      <c r="JW191" s="53"/>
      <c r="JX191" s="53"/>
      <c r="JY191" s="53"/>
      <c r="JZ191" s="53"/>
      <c r="KA191" s="53"/>
      <c r="KB191" s="53"/>
      <c r="KC191" s="53"/>
      <c r="KD191" s="53"/>
      <c r="KE191" s="53"/>
      <c r="KF191" s="53"/>
      <c r="KG191" s="53"/>
      <c r="KH191" s="53"/>
      <c r="KI191" s="53"/>
      <c r="KJ191" s="53"/>
      <c r="KK191" s="53"/>
      <c r="KL191" s="53"/>
      <c r="KM191" s="53"/>
      <c r="KN191" s="53"/>
      <c r="KO191" s="53"/>
      <c r="KP191" s="53"/>
      <c r="KQ191" s="53"/>
      <c r="KR191" s="53"/>
      <c r="KS191" s="53"/>
      <c r="KT191" s="53"/>
      <c r="KU191" s="53"/>
      <c r="KV191" s="53"/>
      <c r="KW191" s="53"/>
      <c r="KX191" s="53"/>
      <c r="KY191" s="53"/>
      <c r="KZ191" s="53"/>
      <c r="LA191" s="53"/>
      <c r="LB191" s="53"/>
      <c r="LC191" s="53"/>
      <c r="LD191" s="53"/>
      <c r="LE191" s="53"/>
      <c r="LF191" s="53"/>
      <c r="LG191" s="53"/>
      <c r="LH191" s="53"/>
      <c r="LI191" s="53"/>
      <c r="LJ191" s="53"/>
      <c r="LK191" s="53"/>
      <c r="LL191" s="53"/>
      <c r="LM191" s="53"/>
      <c r="LN191" s="53"/>
      <c r="LO191" s="53"/>
      <c r="LP191" s="53"/>
      <c r="LQ191" s="53"/>
      <c r="LR191" s="53"/>
      <c r="LS191" s="53"/>
      <c r="LT191" s="53"/>
      <c r="LU191" s="53"/>
      <c r="LV191" s="53"/>
      <c r="LW191" s="53"/>
      <c r="LX191" s="53"/>
      <c r="LY191" s="53"/>
      <c r="LZ191" s="53"/>
      <c r="MA191" s="53"/>
      <c r="MB191" s="53"/>
      <c r="MC191" s="53"/>
      <c r="MD191" s="53"/>
      <c r="ME191" s="53"/>
      <c r="MF191" s="53"/>
      <c r="MG191" s="53"/>
      <c r="MH191" s="53"/>
      <c r="MI191" s="53"/>
      <c r="MJ191" s="53"/>
      <c r="MK191" s="53"/>
      <c r="ML191" s="53"/>
      <c r="MM191" s="53"/>
      <c r="MN191" s="53"/>
      <c r="MO191" s="53"/>
      <c r="MP191" s="53"/>
      <c r="MQ191" s="53"/>
      <c r="MR191" s="53"/>
      <c r="MS191" s="53"/>
      <c r="MT191" s="53"/>
      <c r="MU191" s="53"/>
      <c r="MV191" s="53"/>
      <c r="MW191" s="53"/>
      <c r="MX191" s="53"/>
      <c r="MY191" s="53"/>
      <c r="MZ191" s="53"/>
      <c r="NA191" s="53"/>
      <c r="NB191" s="53"/>
      <c r="NC191" s="53"/>
      <c r="ND191" s="53"/>
      <c r="NE191" s="53"/>
      <c r="NF191" s="53"/>
      <c r="NG191" s="53"/>
      <c r="NH191" s="53"/>
      <c r="NI191" s="53"/>
      <c r="NJ191" s="53"/>
      <c r="NK191" s="53"/>
      <c r="NL191" s="53"/>
      <c r="NM191" s="53"/>
      <c r="NN191" s="53"/>
      <c r="NO191" s="53"/>
      <c r="NP191" s="53"/>
      <c r="NQ191" s="53"/>
      <c r="NR191" s="53"/>
      <c r="NS191" s="53"/>
      <c r="NT191" s="53"/>
      <c r="NU191" s="53"/>
      <c r="NV191" s="53"/>
      <c r="NW191" s="53"/>
      <c r="NX191" s="53"/>
      <c r="NY191" s="53"/>
      <c r="NZ191" s="53"/>
      <c r="OA191" s="53"/>
      <c r="OB191" s="53"/>
      <c r="OC191" s="53"/>
      <c r="OD191" s="53"/>
      <c r="OE191" s="53"/>
      <c r="OF191" s="53"/>
      <c r="OG191" s="53"/>
      <c r="OH191" s="53"/>
      <c r="OI191" s="53"/>
      <c r="OJ191" s="53"/>
      <c r="OK191" s="53"/>
      <c r="OL191" s="53"/>
      <c r="OM191" s="53"/>
      <c r="ON191" s="53"/>
      <c r="OO191" s="53"/>
      <c r="OP191" s="53"/>
      <c r="OQ191" s="53"/>
      <c r="OR191" s="53"/>
      <c r="OS191" s="53"/>
      <c r="OT191" s="53"/>
      <c r="OU191" s="53"/>
      <c r="OV191" s="53"/>
      <c r="OW191" s="53"/>
      <c r="OX191" s="53"/>
      <c r="OY191" s="53"/>
      <c r="OZ191" s="53"/>
      <c r="PA191" s="53"/>
      <c r="PB191" s="53"/>
      <c r="PC191" s="53"/>
      <c r="PD191" s="53"/>
      <c r="PE191" s="53"/>
      <c r="PF191" s="53"/>
      <c r="PG191" s="53"/>
      <c r="PH191" s="53"/>
      <c r="PI191" s="53"/>
      <c r="PJ191" s="53"/>
      <c r="PK191" s="53"/>
      <c r="PL191" s="53"/>
      <c r="PM191" s="53"/>
      <c r="PN191" s="53"/>
      <c r="PO191" s="53"/>
      <c r="PP191" s="53"/>
      <c r="PQ191" s="53"/>
      <c r="PR191" s="53"/>
      <c r="PS191" s="53"/>
      <c r="PT191" s="53"/>
      <c r="PU191" s="53"/>
      <c r="PV191" s="53"/>
      <c r="PW191" s="53"/>
      <c r="PX191" s="53"/>
      <c r="PY191" s="53"/>
      <c r="PZ191" s="53"/>
      <c r="QA191" s="53"/>
      <c r="QB191" s="53"/>
      <c r="QC191" s="53"/>
      <c r="QD191" s="53"/>
      <c r="QE191" s="53"/>
      <c r="QF191" s="53"/>
      <c r="QG191" s="53"/>
      <c r="QH191" s="53"/>
      <c r="QI191" s="53"/>
      <c r="QJ191" s="53"/>
      <c r="QK191" s="53"/>
      <c r="QL191" s="53"/>
      <c r="QM191" s="53"/>
      <c r="QN191" s="53"/>
      <c r="QO191" s="53"/>
      <c r="QP191" s="53"/>
      <c r="QQ191" s="53"/>
      <c r="QR191" s="53"/>
      <c r="QS191" s="53"/>
      <c r="QT191" s="53"/>
      <c r="QU191" s="53"/>
      <c r="QV191" s="53"/>
      <c r="QW191" s="53"/>
      <c r="QX191" s="53"/>
      <c r="QY191" s="53"/>
      <c r="QZ191" s="53"/>
      <c r="RA191" s="53"/>
      <c r="RB191" s="53"/>
      <c r="RC191" s="53"/>
      <c r="RD191" s="53"/>
      <c r="RE191" s="53"/>
      <c r="RF191" s="53"/>
      <c r="RG191" s="53"/>
      <c r="RH191" s="53"/>
      <c r="RI191" s="53"/>
      <c r="RJ191" s="53"/>
      <c r="RK191" s="53"/>
      <c r="RL191" s="53"/>
      <c r="RM191" s="53"/>
      <c r="RN191" s="53"/>
      <c r="RO191" s="53"/>
      <c r="RP191" s="53"/>
      <c r="RQ191" s="53"/>
      <c r="RR191" s="53"/>
      <c r="RS191" s="53"/>
      <c r="RT191" s="53"/>
      <c r="RU191" s="53"/>
      <c r="RV191" s="53"/>
      <c r="RW191" s="53"/>
      <c r="RX191" s="53"/>
      <c r="RY191" s="53"/>
      <c r="RZ191" s="53"/>
      <c r="SA191" s="53"/>
      <c r="SB191" s="53"/>
      <c r="SC191" s="53"/>
      <c r="SD191" s="53"/>
      <c r="SE191" s="53"/>
      <c r="SF191" s="53"/>
      <c r="SG191" s="53"/>
      <c r="SH191" s="53"/>
      <c r="SI191" s="53"/>
      <c r="SJ191" s="53"/>
      <c r="SK191" s="53"/>
      <c r="SL191" s="53"/>
      <c r="SM191" s="53"/>
      <c r="SN191" s="53"/>
      <c r="SO191" s="53"/>
      <c r="SP191" s="53"/>
      <c r="SQ191" s="53"/>
      <c r="SR191" s="53"/>
      <c r="SS191" s="53"/>
      <c r="ST191" s="53"/>
      <c r="SU191" s="53"/>
      <c r="SV191" s="53"/>
      <c r="SW191" s="53"/>
      <c r="SX191" s="53"/>
      <c r="SY191" s="53"/>
      <c r="SZ191" s="53"/>
      <c r="TA191" s="53"/>
      <c r="TB191" s="53"/>
      <c r="TC191" s="53"/>
      <c r="TD191" s="53"/>
      <c r="TE191" s="53"/>
      <c r="TF191" s="53"/>
      <c r="TG191" s="53"/>
      <c r="TH191" s="53"/>
      <c r="TI191" s="53"/>
      <c r="TJ191" s="53"/>
      <c r="TK191" s="53"/>
      <c r="TL191" s="53"/>
      <c r="TM191" s="53"/>
      <c r="TN191" s="53"/>
      <c r="TO191" s="53"/>
      <c r="TP191" s="53"/>
      <c r="TQ191" s="53"/>
      <c r="TR191" s="53"/>
      <c r="TS191" s="53"/>
      <c r="TT191" s="53"/>
      <c r="TU191" s="53"/>
      <c r="TV191" s="53"/>
      <c r="TW191" s="53"/>
      <c r="TX191" s="53"/>
      <c r="TY191" s="53"/>
      <c r="TZ191" s="53"/>
      <c r="UA191" s="53"/>
      <c r="UB191" s="53"/>
      <c r="UC191" s="53"/>
      <c r="UD191" s="53"/>
      <c r="UE191" s="53"/>
      <c r="UF191" s="53"/>
      <c r="UG191" s="53"/>
      <c r="UH191" s="53"/>
      <c r="UI191" s="53"/>
      <c r="UJ191" s="53"/>
      <c r="UK191" s="53"/>
      <c r="UL191" s="53"/>
      <c r="UM191" s="53"/>
      <c r="UN191" s="53"/>
      <c r="UO191" s="53"/>
      <c r="UP191" s="53"/>
      <c r="UQ191" s="53"/>
      <c r="UR191" s="53"/>
      <c r="US191" s="53"/>
      <c r="UT191" s="53"/>
      <c r="UU191" s="53"/>
      <c r="UV191" s="53"/>
      <c r="UW191" s="53"/>
      <c r="UX191" s="53"/>
      <c r="UY191" s="53"/>
      <c r="UZ191" s="53"/>
      <c r="VA191" s="53"/>
      <c r="VB191" s="53"/>
      <c r="VC191" s="53"/>
      <c r="VD191" s="53"/>
      <c r="VE191" s="53"/>
      <c r="VF191" s="53"/>
      <c r="VG191" s="53"/>
      <c r="VH191" s="53"/>
      <c r="VI191" s="53"/>
      <c r="VJ191" s="53"/>
      <c r="VK191" s="53"/>
      <c r="VL191" s="53"/>
    </row>
    <row r="192" spans="1:584" s="64" customFormat="1" ht="21" customHeight="1" x14ac:dyDescent="0.25">
      <c r="A192" s="69" t="s">
        <v>253</v>
      </c>
      <c r="B192" s="95"/>
      <c r="C192" s="95"/>
      <c r="D192" s="63" t="s">
        <v>51</v>
      </c>
      <c r="E192" s="116">
        <f>E193</f>
        <v>4549036</v>
      </c>
      <c r="F192" s="116">
        <f t="shared" ref="F192:Y192" si="43">F193</f>
        <v>3447375</v>
      </c>
      <c r="G192" s="116">
        <f t="shared" si="43"/>
        <v>46720</v>
      </c>
      <c r="H192" s="116">
        <f>H193</f>
        <v>4470055.4800000004</v>
      </c>
      <c r="I192" s="116">
        <f t="shared" si="43"/>
        <v>3447276.06</v>
      </c>
      <c r="J192" s="116">
        <f t="shared" si="43"/>
        <v>39160.980000000003</v>
      </c>
      <c r="K192" s="135">
        <f t="shared" si="38"/>
        <v>98.263796549422793</v>
      </c>
      <c r="L192" s="116">
        <f t="shared" si="43"/>
        <v>570300</v>
      </c>
      <c r="M192" s="116">
        <f t="shared" si="43"/>
        <v>570300</v>
      </c>
      <c r="N192" s="116">
        <f t="shared" si="43"/>
        <v>0</v>
      </c>
      <c r="O192" s="116">
        <f t="shared" si="43"/>
        <v>0</v>
      </c>
      <c r="P192" s="116">
        <f t="shared" si="43"/>
        <v>0</v>
      </c>
      <c r="Q192" s="116">
        <f t="shared" si="43"/>
        <v>570300</v>
      </c>
      <c r="R192" s="116">
        <f t="shared" si="43"/>
        <v>557183.33000000007</v>
      </c>
      <c r="S192" s="116">
        <f t="shared" si="43"/>
        <v>557183.33000000007</v>
      </c>
      <c r="T192" s="116">
        <f t="shared" si="43"/>
        <v>0</v>
      </c>
      <c r="U192" s="116">
        <f t="shared" si="43"/>
        <v>0</v>
      </c>
      <c r="V192" s="116">
        <f t="shared" si="43"/>
        <v>0</v>
      </c>
      <c r="W192" s="116">
        <f t="shared" si="43"/>
        <v>557183.33000000007</v>
      </c>
      <c r="X192" s="149">
        <f t="shared" si="40"/>
        <v>97.700040329651074</v>
      </c>
      <c r="Y192" s="116">
        <f t="shared" si="43"/>
        <v>5027238.8100000005</v>
      </c>
      <c r="Z192" s="187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79"/>
      <c r="FC192" s="79"/>
      <c r="FD192" s="79"/>
      <c r="FE192" s="79"/>
      <c r="FF192" s="79"/>
      <c r="FG192" s="79"/>
      <c r="FH192" s="79"/>
      <c r="FI192" s="79"/>
      <c r="FJ192" s="79"/>
      <c r="FK192" s="79"/>
      <c r="FL192" s="79"/>
      <c r="FM192" s="79"/>
      <c r="FN192" s="79"/>
      <c r="FO192" s="79"/>
      <c r="FP192" s="79"/>
      <c r="FQ192" s="79"/>
      <c r="FR192" s="79"/>
      <c r="FS192" s="79"/>
      <c r="FT192" s="79"/>
      <c r="FU192" s="79"/>
      <c r="FV192" s="79"/>
      <c r="FW192" s="79"/>
      <c r="FX192" s="79"/>
      <c r="FY192" s="79"/>
      <c r="FZ192" s="79"/>
      <c r="GA192" s="79"/>
      <c r="GB192" s="79"/>
      <c r="GC192" s="79"/>
      <c r="GD192" s="79"/>
      <c r="GE192" s="79"/>
      <c r="GF192" s="79"/>
      <c r="GG192" s="79"/>
      <c r="GH192" s="79"/>
      <c r="GI192" s="79"/>
      <c r="GJ192" s="79"/>
      <c r="GK192" s="79"/>
      <c r="GL192" s="79"/>
      <c r="GM192" s="79"/>
      <c r="GN192" s="79"/>
      <c r="GO192" s="79"/>
      <c r="GP192" s="79"/>
      <c r="GQ192" s="79"/>
      <c r="GR192" s="79"/>
      <c r="GS192" s="79"/>
      <c r="GT192" s="79"/>
      <c r="GU192" s="79"/>
      <c r="GV192" s="79"/>
      <c r="GW192" s="79"/>
      <c r="GX192" s="79"/>
      <c r="GY192" s="79"/>
      <c r="GZ192" s="79"/>
      <c r="HA192" s="79"/>
      <c r="HB192" s="79"/>
      <c r="HC192" s="79"/>
      <c r="HD192" s="79"/>
      <c r="HE192" s="79"/>
      <c r="HF192" s="79"/>
      <c r="HG192" s="79"/>
      <c r="HH192" s="79"/>
      <c r="HI192" s="79"/>
      <c r="HJ192" s="79"/>
      <c r="HK192" s="79"/>
      <c r="HL192" s="79"/>
      <c r="HM192" s="79"/>
      <c r="HN192" s="79"/>
      <c r="HO192" s="79"/>
      <c r="HP192" s="79"/>
      <c r="HQ192" s="79"/>
      <c r="HR192" s="79"/>
      <c r="HS192" s="79"/>
      <c r="HT192" s="79"/>
      <c r="HU192" s="79"/>
      <c r="HV192" s="79"/>
      <c r="HW192" s="79"/>
      <c r="HX192" s="79"/>
      <c r="HY192" s="79"/>
      <c r="HZ192" s="79"/>
      <c r="IA192" s="79"/>
      <c r="IB192" s="79"/>
      <c r="IC192" s="79"/>
      <c r="ID192" s="79"/>
      <c r="IE192" s="79"/>
      <c r="IF192" s="79"/>
      <c r="IG192" s="79"/>
      <c r="IH192" s="79"/>
      <c r="II192" s="79"/>
      <c r="IJ192" s="79"/>
      <c r="IK192" s="79"/>
      <c r="IL192" s="79"/>
      <c r="IM192" s="79"/>
      <c r="IN192" s="79"/>
      <c r="IO192" s="79"/>
      <c r="IP192" s="79"/>
      <c r="IQ192" s="79"/>
      <c r="IR192" s="79"/>
      <c r="IS192" s="79"/>
      <c r="IT192" s="79"/>
      <c r="IU192" s="79"/>
      <c r="IV192" s="79"/>
      <c r="IW192" s="79"/>
      <c r="IX192" s="79"/>
      <c r="IY192" s="79"/>
      <c r="IZ192" s="79"/>
      <c r="JA192" s="79"/>
      <c r="JB192" s="79"/>
      <c r="JC192" s="79"/>
      <c r="JD192" s="79"/>
      <c r="JE192" s="79"/>
      <c r="JF192" s="79"/>
      <c r="JG192" s="79"/>
      <c r="JH192" s="79"/>
      <c r="JI192" s="79"/>
      <c r="JJ192" s="79"/>
      <c r="JK192" s="79"/>
      <c r="JL192" s="79"/>
      <c r="JM192" s="79"/>
      <c r="JN192" s="79"/>
      <c r="JO192" s="79"/>
      <c r="JP192" s="79"/>
      <c r="JQ192" s="79"/>
      <c r="JR192" s="79"/>
      <c r="JS192" s="79"/>
      <c r="JT192" s="79"/>
      <c r="JU192" s="79"/>
      <c r="JV192" s="79"/>
      <c r="JW192" s="79"/>
      <c r="JX192" s="79"/>
      <c r="JY192" s="79"/>
      <c r="JZ192" s="79"/>
      <c r="KA192" s="79"/>
      <c r="KB192" s="79"/>
      <c r="KC192" s="79"/>
      <c r="KD192" s="79"/>
      <c r="KE192" s="79"/>
      <c r="KF192" s="79"/>
      <c r="KG192" s="79"/>
      <c r="KH192" s="79"/>
      <c r="KI192" s="79"/>
      <c r="KJ192" s="79"/>
      <c r="KK192" s="79"/>
      <c r="KL192" s="79"/>
      <c r="KM192" s="79"/>
      <c r="KN192" s="79"/>
      <c r="KO192" s="79"/>
      <c r="KP192" s="79"/>
      <c r="KQ192" s="79"/>
      <c r="KR192" s="79"/>
      <c r="KS192" s="79"/>
      <c r="KT192" s="79"/>
      <c r="KU192" s="79"/>
      <c r="KV192" s="79"/>
      <c r="KW192" s="79"/>
      <c r="KX192" s="79"/>
      <c r="KY192" s="79"/>
      <c r="KZ192" s="79"/>
      <c r="LA192" s="79"/>
      <c r="LB192" s="79"/>
      <c r="LC192" s="79"/>
      <c r="LD192" s="79"/>
      <c r="LE192" s="79"/>
      <c r="LF192" s="79"/>
      <c r="LG192" s="79"/>
      <c r="LH192" s="79"/>
      <c r="LI192" s="79"/>
      <c r="LJ192" s="79"/>
      <c r="LK192" s="79"/>
      <c r="LL192" s="79"/>
      <c r="LM192" s="79"/>
      <c r="LN192" s="79"/>
      <c r="LO192" s="79"/>
      <c r="LP192" s="79"/>
      <c r="LQ192" s="79"/>
      <c r="LR192" s="79"/>
      <c r="LS192" s="79"/>
      <c r="LT192" s="79"/>
      <c r="LU192" s="79"/>
      <c r="LV192" s="79"/>
      <c r="LW192" s="79"/>
      <c r="LX192" s="79"/>
      <c r="LY192" s="79"/>
      <c r="LZ192" s="79"/>
      <c r="MA192" s="79"/>
      <c r="MB192" s="79"/>
      <c r="MC192" s="79"/>
      <c r="MD192" s="79"/>
      <c r="ME192" s="79"/>
      <c r="MF192" s="79"/>
      <c r="MG192" s="79"/>
      <c r="MH192" s="79"/>
      <c r="MI192" s="79"/>
      <c r="MJ192" s="79"/>
      <c r="MK192" s="79"/>
      <c r="ML192" s="79"/>
      <c r="MM192" s="79"/>
      <c r="MN192" s="79"/>
      <c r="MO192" s="79"/>
      <c r="MP192" s="79"/>
      <c r="MQ192" s="79"/>
      <c r="MR192" s="79"/>
      <c r="MS192" s="79"/>
      <c r="MT192" s="79"/>
      <c r="MU192" s="79"/>
      <c r="MV192" s="79"/>
      <c r="MW192" s="79"/>
      <c r="MX192" s="79"/>
      <c r="MY192" s="79"/>
      <c r="MZ192" s="79"/>
      <c r="NA192" s="79"/>
      <c r="NB192" s="79"/>
      <c r="NC192" s="79"/>
      <c r="ND192" s="79"/>
      <c r="NE192" s="79"/>
      <c r="NF192" s="79"/>
      <c r="NG192" s="79"/>
      <c r="NH192" s="79"/>
      <c r="NI192" s="79"/>
      <c r="NJ192" s="79"/>
      <c r="NK192" s="79"/>
      <c r="NL192" s="79"/>
      <c r="NM192" s="79"/>
      <c r="NN192" s="79"/>
      <c r="NO192" s="79"/>
      <c r="NP192" s="79"/>
      <c r="NQ192" s="79"/>
      <c r="NR192" s="79"/>
      <c r="NS192" s="79"/>
      <c r="NT192" s="79"/>
      <c r="NU192" s="79"/>
      <c r="NV192" s="79"/>
      <c r="NW192" s="79"/>
      <c r="NX192" s="79"/>
      <c r="NY192" s="79"/>
      <c r="NZ192" s="79"/>
      <c r="OA192" s="79"/>
      <c r="OB192" s="79"/>
      <c r="OC192" s="79"/>
      <c r="OD192" s="79"/>
      <c r="OE192" s="79"/>
      <c r="OF192" s="79"/>
      <c r="OG192" s="79"/>
      <c r="OH192" s="79"/>
      <c r="OI192" s="79"/>
      <c r="OJ192" s="79"/>
      <c r="OK192" s="79"/>
      <c r="OL192" s="79"/>
      <c r="OM192" s="79"/>
      <c r="ON192" s="79"/>
      <c r="OO192" s="79"/>
      <c r="OP192" s="79"/>
      <c r="OQ192" s="79"/>
      <c r="OR192" s="79"/>
      <c r="OS192" s="79"/>
      <c r="OT192" s="79"/>
      <c r="OU192" s="79"/>
      <c r="OV192" s="79"/>
      <c r="OW192" s="79"/>
      <c r="OX192" s="79"/>
      <c r="OY192" s="79"/>
      <c r="OZ192" s="79"/>
      <c r="PA192" s="79"/>
      <c r="PB192" s="79"/>
      <c r="PC192" s="79"/>
      <c r="PD192" s="79"/>
      <c r="PE192" s="79"/>
      <c r="PF192" s="79"/>
      <c r="PG192" s="79"/>
      <c r="PH192" s="79"/>
      <c r="PI192" s="79"/>
      <c r="PJ192" s="79"/>
      <c r="PK192" s="79"/>
      <c r="PL192" s="79"/>
      <c r="PM192" s="79"/>
      <c r="PN192" s="79"/>
      <c r="PO192" s="79"/>
      <c r="PP192" s="79"/>
      <c r="PQ192" s="79"/>
      <c r="PR192" s="79"/>
      <c r="PS192" s="79"/>
      <c r="PT192" s="79"/>
      <c r="PU192" s="79"/>
      <c r="PV192" s="79"/>
      <c r="PW192" s="79"/>
      <c r="PX192" s="79"/>
      <c r="PY192" s="79"/>
      <c r="PZ192" s="79"/>
      <c r="QA192" s="79"/>
      <c r="QB192" s="79"/>
      <c r="QC192" s="79"/>
      <c r="QD192" s="79"/>
      <c r="QE192" s="79"/>
      <c r="QF192" s="79"/>
      <c r="QG192" s="79"/>
      <c r="QH192" s="79"/>
      <c r="QI192" s="79"/>
      <c r="QJ192" s="79"/>
      <c r="QK192" s="79"/>
      <c r="QL192" s="79"/>
      <c r="QM192" s="79"/>
      <c r="QN192" s="79"/>
      <c r="QO192" s="79"/>
      <c r="QP192" s="79"/>
      <c r="QQ192" s="79"/>
      <c r="QR192" s="79"/>
      <c r="QS192" s="79"/>
      <c r="QT192" s="79"/>
      <c r="QU192" s="79"/>
      <c r="QV192" s="79"/>
      <c r="QW192" s="79"/>
      <c r="QX192" s="79"/>
      <c r="QY192" s="79"/>
      <c r="QZ192" s="79"/>
      <c r="RA192" s="79"/>
      <c r="RB192" s="79"/>
      <c r="RC192" s="79"/>
      <c r="RD192" s="79"/>
      <c r="RE192" s="79"/>
      <c r="RF192" s="79"/>
      <c r="RG192" s="79"/>
      <c r="RH192" s="79"/>
      <c r="RI192" s="79"/>
      <c r="RJ192" s="79"/>
      <c r="RK192" s="79"/>
      <c r="RL192" s="79"/>
      <c r="RM192" s="79"/>
      <c r="RN192" s="79"/>
      <c r="RO192" s="79"/>
      <c r="RP192" s="79"/>
      <c r="RQ192" s="79"/>
      <c r="RR192" s="79"/>
      <c r="RS192" s="79"/>
      <c r="RT192" s="79"/>
      <c r="RU192" s="79"/>
      <c r="RV192" s="79"/>
      <c r="RW192" s="79"/>
      <c r="RX192" s="79"/>
      <c r="RY192" s="79"/>
      <c r="RZ192" s="79"/>
      <c r="SA192" s="79"/>
      <c r="SB192" s="79"/>
      <c r="SC192" s="79"/>
      <c r="SD192" s="79"/>
      <c r="SE192" s="79"/>
      <c r="SF192" s="79"/>
      <c r="SG192" s="79"/>
      <c r="SH192" s="79"/>
      <c r="SI192" s="79"/>
      <c r="SJ192" s="79"/>
      <c r="SK192" s="79"/>
      <c r="SL192" s="79"/>
      <c r="SM192" s="79"/>
      <c r="SN192" s="79"/>
      <c r="SO192" s="79"/>
      <c r="SP192" s="79"/>
      <c r="SQ192" s="79"/>
      <c r="SR192" s="79"/>
      <c r="SS192" s="79"/>
      <c r="ST192" s="79"/>
      <c r="SU192" s="79"/>
      <c r="SV192" s="79"/>
      <c r="SW192" s="79"/>
      <c r="SX192" s="79"/>
      <c r="SY192" s="79"/>
      <c r="SZ192" s="79"/>
      <c r="TA192" s="79"/>
      <c r="TB192" s="79"/>
      <c r="TC192" s="79"/>
      <c r="TD192" s="79"/>
      <c r="TE192" s="79"/>
      <c r="TF192" s="79"/>
      <c r="TG192" s="79"/>
      <c r="TH192" s="79"/>
      <c r="TI192" s="79"/>
      <c r="TJ192" s="79"/>
      <c r="TK192" s="79"/>
      <c r="TL192" s="79"/>
      <c r="TM192" s="79"/>
      <c r="TN192" s="79"/>
      <c r="TO192" s="79"/>
      <c r="TP192" s="79"/>
      <c r="TQ192" s="79"/>
      <c r="TR192" s="79"/>
      <c r="TS192" s="79"/>
      <c r="TT192" s="79"/>
      <c r="TU192" s="79"/>
      <c r="TV192" s="79"/>
      <c r="TW192" s="79"/>
      <c r="TX192" s="79"/>
      <c r="TY192" s="79"/>
      <c r="TZ192" s="79"/>
      <c r="UA192" s="79"/>
      <c r="UB192" s="79"/>
      <c r="UC192" s="79"/>
      <c r="UD192" s="79"/>
      <c r="UE192" s="79"/>
      <c r="UF192" s="79"/>
      <c r="UG192" s="79"/>
      <c r="UH192" s="79"/>
      <c r="UI192" s="79"/>
      <c r="UJ192" s="79"/>
      <c r="UK192" s="79"/>
      <c r="UL192" s="79"/>
      <c r="UM192" s="79"/>
      <c r="UN192" s="79"/>
      <c r="UO192" s="79"/>
      <c r="UP192" s="79"/>
      <c r="UQ192" s="79"/>
      <c r="UR192" s="79"/>
      <c r="US192" s="79"/>
      <c r="UT192" s="79"/>
      <c r="UU192" s="79"/>
      <c r="UV192" s="79"/>
      <c r="UW192" s="79"/>
      <c r="UX192" s="79"/>
      <c r="UY192" s="79"/>
      <c r="UZ192" s="79"/>
      <c r="VA192" s="79"/>
      <c r="VB192" s="79"/>
      <c r="VC192" s="79"/>
      <c r="VD192" s="79"/>
      <c r="VE192" s="79"/>
      <c r="VF192" s="79"/>
      <c r="VG192" s="79"/>
      <c r="VH192" s="79"/>
      <c r="VI192" s="79"/>
      <c r="VJ192" s="79"/>
      <c r="VK192" s="79"/>
      <c r="VL192" s="79"/>
    </row>
    <row r="193" spans="1:584" s="81" customFormat="1" ht="21.75" customHeight="1" x14ac:dyDescent="0.25">
      <c r="A193" s="70" t="s">
        <v>254</v>
      </c>
      <c r="B193" s="96"/>
      <c r="C193" s="96"/>
      <c r="D193" s="68" t="s">
        <v>51</v>
      </c>
      <c r="E193" s="114">
        <f>E195+E196+E197+E198</f>
        <v>4549036</v>
      </c>
      <c r="F193" s="114">
        <f t="shared" ref="F193:Y193" si="44">F195+F196+F197+F198</f>
        <v>3447375</v>
      </c>
      <c r="G193" s="114">
        <f t="shared" si="44"/>
        <v>46720</v>
      </c>
      <c r="H193" s="114">
        <f>H195+H196+H197+H198</f>
        <v>4470055.4800000004</v>
      </c>
      <c r="I193" s="114">
        <f t="shared" ref="I193:J193" si="45">I195+I196+I197+I198</f>
        <v>3447276.06</v>
      </c>
      <c r="J193" s="114">
        <f t="shared" si="45"/>
        <v>39160.980000000003</v>
      </c>
      <c r="K193" s="153">
        <f t="shared" si="38"/>
        <v>98.263796549422793</v>
      </c>
      <c r="L193" s="114">
        <f t="shared" si="44"/>
        <v>570300</v>
      </c>
      <c r="M193" s="114">
        <f>M195+M196+M197+M198</f>
        <v>570300</v>
      </c>
      <c r="N193" s="114">
        <f t="shared" si="44"/>
        <v>0</v>
      </c>
      <c r="O193" s="114">
        <f t="shared" si="44"/>
        <v>0</v>
      </c>
      <c r="P193" s="114">
        <f t="shared" si="44"/>
        <v>0</v>
      </c>
      <c r="Q193" s="114">
        <f t="shared" si="44"/>
        <v>570300</v>
      </c>
      <c r="R193" s="114">
        <f t="shared" ref="R193" si="46">R195+R196+R197+R198</f>
        <v>557183.33000000007</v>
      </c>
      <c r="S193" s="114">
        <f>S195+S196+S197+S198</f>
        <v>557183.33000000007</v>
      </c>
      <c r="T193" s="114">
        <f t="shared" ref="T193:W193" si="47">T195+T196+T197+T198</f>
        <v>0</v>
      </c>
      <c r="U193" s="114">
        <f t="shared" si="47"/>
        <v>0</v>
      </c>
      <c r="V193" s="114">
        <f t="shared" si="47"/>
        <v>0</v>
      </c>
      <c r="W193" s="114">
        <f t="shared" si="47"/>
        <v>557183.33000000007</v>
      </c>
      <c r="X193" s="165">
        <f t="shared" si="40"/>
        <v>97.700040329651074</v>
      </c>
      <c r="Y193" s="114">
        <f t="shared" si="44"/>
        <v>5027238.8100000005</v>
      </c>
      <c r="Z193" s="187"/>
      <c r="AA193" s="80"/>
      <c r="AB193" s="80"/>
      <c r="AC193" s="80"/>
      <c r="AD193" s="80"/>
      <c r="AE193" s="79"/>
      <c r="AF193" s="79"/>
      <c r="AG193" s="79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  <c r="FK193" s="80"/>
      <c r="FL193" s="80"/>
      <c r="FM193" s="80"/>
      <c r="FN193" s="80"/>
      <c r="FO193" s="80"/>
      <c r="FP193" s="80"/>
      <c r="FQ193" s="80"/>
      <c r="FR193" s="80"/>
      <c r="FS193" s="80"/>
      <c r="FT193" s="80"/>
      <c r="FU193" s="80"/>
      <c r="FV193" s="80"/>
      <c r="FW193" s="80"/>
      <c r="FX193" s="80"/>
      <c r="FY193" s="80"/>
      <c r="FZ193" s="80"/>
      <c r="GA193" s="80"/>
      <c r="GB193" s="80"/>
      <c r="GC193" s="80"/>
      <c r="GD193" s="80"/>
      <c r="GE193" s="80"/>
      <c r="GF193" s="80"/>
      <c r="GG193" s="80"/>
      <c r="GH193" s="80"/>
      <c r="GI193" s="80"/>
      <c r="GJ193" s="80"/>
      <c r="GK193" s="80"/>
      <c r="GL193" s="80"/>
      <c r="GM193" s="80"/>
      <c r="GN193" s="80"/>
      <c r="GO193" s="80"/>
      <c r="GP193" s="80"/>
      <c r="GQ193" s="80"/>
      <c r="GR193" s="80"/>
      <c r="GS193" s="80"/>
      <c r="GT193" s="80"/>
      <c r="GU193" s="80"/>
      <c r="GV193" s="80"/>
      <c r="GW193" s="80"/>
      <c r="GX193" s="80"/>
      <c r="GY193" s="80"/>
      <c r="GZ193" s="80"/>
      <c r="HA193" s="80"/>
      <c r="HB193" s="80"/>
      <c r="HC193" s="80"/>
      <c r="HD193" s="80"/>
      <c r="HE193" s="80"/>
      <c r="HF193" s="80"/>
      <c r="HG193" s="80"/>
      <c r="HH193" s="80"/>
      <c r="HI193" s="80"/>
      <c r="HJ193" s="80"/>
      <c r="HK193" s="80"/>
      <c r="HL193" s="80"/>
      <c r="HM193" s="80"/>
      <c r="HN193" s="80"/>
      <c r="HO193" s="80"/>
      <c r="HP193" s="80"/>
      <c r="HQ193" s="80"/>
      <c r="HR193" s="80"/>
      <c r="HS193" s="80"/>
      <c r="HT193" s="80"/>
      <c r="HU193" s="80"/>
      <c r="HV193" s="80"/>
      <c r="HW193" s="80"/>
      <c r="HX193" s="80"/>
      <c r="HY193" s="80"/>
      <c r="HZ193" s="80"/>
      <c r="IA193" s="80"/>
      <c r="IB193" s="80"/>
      <c r="IC193" s="80"/>
      <c r="ID193" s="80"/>
      <c r="IE193" s="80"/>
      <c r="IF193" s="80"/>
      <c r="IG193" s="80"/>
      <c r="IH193" s="80"/>
      <c r="II193" s="80"/>
      <c r="IJ193" s="80"/>
      <c r="IK193" s="80"/>
      <c r="IL193" s="80"/>
      <c r="IM193" s="80"/>
      <c r="IN193" s="80"/>
      <c r="IO193" s="80"/>
      <c r="IP193" s="80"/>
      <c r="IQ193" s="80"/>
      <c r="IR193" s="80"/>
      <c r="IS193" s="80"/>
      <c r="IT193" s="80"/>
      <c r="IU193" s="80"/>
      <c r="IV193" s="80"/>
      <c r="IW193" s="80"/>
      <c r="IX193" s="80"/>
      <c r="IY193" s="80"/>
      <c r="IZ193" s="80"/>
      <c r="JA193" s="80"/>
      <c r="JB193" s="80"/>
      <c r="JC193" s="80"/>
      <c r="JD193" s="80"/>
      <c r="JE193" s="80"/>
      <c r="JF193" s="80"/>
      <c r="JG193" s="80"/>
      <c r="JH193" s="80"/>
      <c r="JI193" s="80"/>
      <c r="JJ193" s="80"/>
      <c r="JK193" s="80"/>
      <c r="JL193" s="80"/>
      <c r="JM193" s="80"/>
      <c r="JN193" s="80"/>
      <c r="JO193" s="80"/>
      <c r="JP193" s="80"/>
      <c r="JQ193" s="80"/>
      <c r="JR193" s="80"/>
      <c r="JS193" s="80"/>
      <c r="JT193" s="80"/>
      <c r="JU193" s="80"/>
      <c r="JV193" s="80"/>
      <c r="JW193" s="80"/>
      <c r="JX193" s="80"/>
      <c r="JY193" s="80"/>
      <c r="JZ193" s="80"/>
      <c r="KA193" s="80"/>
      <c r="KB193" s="80"/>
      <c r="KC193" s="80"/>
      <c r="KD193" s="80"/>
      <c r="KE193" s="80"/>
      <c r="KF193" s="80"/>
      <c r="KG193" s="80"/>
      <c r="KH193" s="80"/>
      <c r="KI193" s="80"/>
      <c r="KJ193" s="80"/>
      <c r="KK193" s="80"/>
      <c r="KL193" s="80"/>
      <c r="KM193" s="80"/>
      <c r="KN193" s="80"/>
      <c r="KO193" s="80"/>
      <c r="KP193" s="80"/>
      <c r="KQ193" s="80"/>
      <c r="KR193" s="80"/>
      <c r="KS193" s="80"/>
      <c r="KT193" s="80"/>
      <c r="KU193" s="80"/>
      <c r="KV193" s="80"/>
      <c r="KW193" s="80"/>
      <c r="KX193" s="80"/>
      <c r="KY193" s="80"/>
      <c r="KZ193" s="80"/>
      <c r="LA193" s="80"/>
      <c r="LB193" s="80"/>
      <c r="LC193" s="80"/>
      <c r="LD193" s="80"/>
      <c r="LE193" s="80"/>
      <c r="LF193" s="80"/>
      <c r="LG193" s="80"/>
      <c r="LH193" s="80"/>
      <c r="LI193" s="80"/>
      <c r="LJ193" s="80"/>
      <c r="LK193" s="80"/>
      <c r="LL193" s="80"/>
      <c r="LM193" s="80"/>
      <c r="LN193" s="80"/>
      <c r="LO193" s="80"/>
      <c r="LP193" s="80"/>
      <c r="LQ193" s="80"/>
      <c r="LR193" s="80"/>
      <c r="LS193" s="80"/>
      <c r="LT193" s="80"/>
      <c r="LU193" s="80"/>
      <c r="LV193" s="80"/>
      <c r="LW193" s="80"/>
      <c r="LX193" s="80"/>
      <c r="LY193" s="80"/>
      <c r="LZ193" s="80"/>
      <c r="MA193" s="80"/>
      <c r="MB193" s="80"/>
      <c r="MC193" s="80"/>
      <c r="MD193" s="80"/>
      <c r="ME193" s="80"/>
      <c r="MF193" s="80"/>
      <c r="MG193" s="80"/>
      <c r="MH193" s="80"/>
      <c r="MI193" s="80"/>
      <c r="MJ193" s="80"/>
      <c r="MK193" s="80"/>
      <c r="ML193" s="80"/>
      <c r="MM193" s="80"/>
      <c r="MN193" s="80"/>
      <c r="MO193" s="80"/>
      <c r="MP193" s="80"/>
      <c r="MQ193" s="80"/>
      <c r="MR193" s="80"/>
      <c r="MS193" s="80"/>
      <c r="MT193" s="80"/>
      <c r="MU193" s="80"/>
      <c r="MV193" s="80"/>
      <c r="MW193" s="80"/>
      <c r="MX193" s="80"/>
      <c r="MY193" s="80"/>
      <c r="MZ193" s="80"/>
      <c r="NA193" s="80"/>
      <c r="NB193" s="80"/>
      <c r="NC193" s="80"/>
      <c r="ND193" s="80"/>
      <c r="NE193" s="80"/>
      <c r="NF193" s="80"/>
      <c r="NG193" s="80"/>
      <c r="NH193" s="80"/>
      <c r="NI193" s="80"/>
      <c r="NJ193" s="80"/>
      <c r="NK193" s="80"/>
      <c r="NL193" s="80"/>
      <c r="NM193" s="80"/>
      <c r="NN193" s="80"/>
      <c r="NO193" s="80"/>
      <c r="NP193" s="80"/>
      <c r="NQ193" s="80"/>
      <c r="NR193" s="80"/>
      <c r="NS193" s="80"/>
      <c r="NT193" s="80"/>
      <c r="NU193" s="80"/>
      <c r="NV193" s="80"/>
      <c r="NW193" s="80"/>
      <c r="NX193" s="80"/>
      <c r="NY193" s="80"/>
      <c r="NZ193" s="80"/>
      <c r="OA193" s="80"/>
      <c r="OB193" s="80"/>
      <c r="OC193" s="80"/>
      <c r="OD193" s="80"/>
      <c r="OE193" s="80"/>
      <c r="OF193" s="80"/>
      <c r="OG193" s="80"/>
      <c r="OH193" s="80"/>
      <c r="OI193" s="80"/>
      <c r="OJ193" s="80"/>
      <c r="OK193" s="80"/>
      <c r="OL193" s="80"/>
      <c r="OM193" s="80"/>
      <c r="ON193" s="80"/>
      <c r="OO193" s="80"/>
      <c r="OP193" s="80"/>
      <c r="OQ193" s="80"/>
      <c r="OR193" s="80"/>
      <c r="OS193" s="80"/>
      <c r="OT193" s="80"/>
      <c r="OU193" s="80"/>
      <c r="OV193" s="80"/>
      <c r="OW193" s="80"/>
      <c r="OX193" s="80"/>
      <c r="OY193" s="80"/>
      <c r="OZ193" s="80"/>
      <c r="PA193" s="80"/>
      <c r="PB193" s="80"/>
      <c r="PC193" s="80"/>
      <c r="PD193" s="80"/>
      <c r="PE193" s="80"/>
      <c r="PF193" s="80"/>
      <c r="PG193" s="80"/>
      <c r="PH193" s="80"/>
      <c r="PI193" s="80"/>
      <c r="PJ193" s="80"/>
      <c r="PK193" s="80"/>
      <c r="PL193" s="80"/>
      <c r="PM193" s="80"/>
      <c r="PN193" s="80"/>
      <c r="PO193" s="80"/>
      <c r="PP193" s="80"/>
      <c r="PQ193" s="80"/>
      <c r="PR193" s="80"/>
      <c r="PS193" s="80"/>
      <c r="PT193" s="80"/>
      <c r="PU193" s="80"/>
      <c r="PV193" s="80"/>
      <c r="PW193" s="80"/>
      <c r="PX193" s="80"/>
      <c r="PY193" s="80"/>
      <c r="PZ193" s="80"/>
      <c r="QA193" s="80"/>
      <c r="QB193" s="80"/>
      <c r="QC193" s="80"/>
      <c r="QD193" s="80"/>
      <c r="QE193" s="80"/>
      <c r="QF193" s="80"/>
      <c r="QG193" s="80"/>
      <c r="QH193" s="80"/>
      <c r="QI193" s="80"/>
      <c r="QJ193" s="80"/>
      <c r="QK193" s="80"/>
      <c r="QL193" s="80"/>
      <c r="QM193" s="80"/>
      <c r="QN193" s="80"/>
      <c r="QO193" s="80"/>
      <c r="QP193" s="80"/>
      <c r="QQ193" s="80"/>
      <c r="QR193" s="80"/>
      <c r="QS193" s="80"/>
      <c r="QT193" s="80"/>
      <c r="QU193" s="80"/>
      <c r="QV193" s="80"/>
      <c r="QW193" s="80"/>
      <c r="QX193" s="80"/>
      <c r="QY193" s="80"/>
      <c r="QZ193" s="80"/>
      <c r="RA193" s="80"/>
      <c r="RB193" s="80"/>
      <c r="RC193" s="80"/>
      <c r="RD193" s="80"/>
      <c r="RE193" s="80"/>
      <c r="RF193" s="80"/>
      <c r="RG193" s="80"/>
      <c r="RH193" s="80"/>
      <c r="RI193" s="80"/>
      <c r="RJ193" s="80"/>
      <c r="RK193" s="80"/>
      <c r="RL193" s="80"/>
      <c r="RM193" s="80"/>
      <c r="RN193" s="80"/>
      <c r="RO193" s="80"/>
      <c r="RP193" s="80"/>
      <c r="RQ193" s="80"/>
      <c r="RR193" s="80"/>
      <c r="RS193" s="80"/>
      <c r="RT193" s="80"/>
      <c r="RU193" s="80"/>
      <c r="RV193" s="80"/>
      <c r="RW193" s="80"/>
      <c r="RX193" s="80"/>
      <c r="RY193" s="80"/>
      <c r="RZ193" s="80"/>
      <c r="SA193" s="80"/>
      <c r="SB193" s="80"/>
      <c r="SC193" s="80"/>
      <c r="SD193" s="80"/>
      <c r="SE193" s="80"/>
      <c r="SF193" s="80"/>
      <c r="SG193" s="80"/>
      <c r="SH193" s="80"/>
      <c r="SI193" s="80"/>
      <c r="SJ193" s="80"/>
      <c r="SK193" s="80"/>
      <c r="SL193" s="80"/>
      <c r="SM193" s="80"/>
      <c r="SN193" s="80"/>
      <c r="SO193" s="80"/>
      <c r="SP193" s="80"/>
      <c r="SQ193" s="80"/>
      <c r="SR193" s="80"/>
      <c r="SS193" s="80"/>
      <c r="ST193" s="80"/>
      <c r="SU193" s="80"/>
      <c r="SV193" s="80"/>
      <c r="SW193" s="80"/>
      <c r="SX193" s="80"/>
      <c r="SY193" s="80"/>
      <c r="SZ193" s="80"/>
      <c r="TA193" s="80"/>
      <c r="TB193" s="80"/>
      <c r="TC193" s="80"/>
      <c r="TD193" s="80"/>
      <c r="TE193" s="80"/>
      <c r="TF193" s="80"/>
      <c r="TG193" s="80"/>
      <c r="TH193" s="80"/>
      <c r="TI193" s="80"/>
      <c r="TJ193" s="80"/>
      <c r="TK193" s="80"/>
      <c r="TL193" s="80"/>
      <c r="TM193" s="80"/>
      <c r="TN193" s="80"/>
      <c r="TO193" s="80"/>
      <c r="TP193" s="80"/>
      <c r="TQ193" s="80"/>
      <c r="TR193" s="80"/>
      <c r="TS193" s="80"/>
      <c r="TT193" s="80"/>
      <c r="TU193" s="80"/>
      <c r="TV193" s="80"/>
      <c r="TW193" s="80"/>
      <c r="TX193" s="80"/>
      <c r="TY193" s="80"/>
      <c r="TZ193" s="80"/>
      <c r="UA193" s="80"/>
      <c r="UB193" s="80"/>
      <c r="UC193" s="80"/>
      <c r="UD193" s="80"/>
      <c r="UE193" s="80"/>
      <c r="UF193" s="80"/>
      <c r="UG193" s="80"/>
      <c r="UH193" s="80"/>
      <c r="UI193" s="80"/>
      <c r="UJ193" s="80"/>
      <c r="UK193" s="80"/>
      <c r="UL193" s="80"/>
      <c r="UM193" s="80"/>
      <c r="UN193" s="80"/>
      <c r="UO193" s="80"/>
      <c r="UP193" s="80"/>
      <c r="UQ193" s="80"/>
      <c r="UR193" s="80"/>
      <c r="US193" s="80"/>
      <c r="UT193" s="80"/>
      <c r="UU193" s="80"/>
      <c r="UV193" s="80"/>
      <c r="UW193" s="80"/>
      <c r="UX193" s="80"/>
      <c r="UY193" s="80"/>
      <c r="UZ193" s="80"/>
      <c r="VA193" s="80"/>
      <c r="VB193" s="80"/>
      <c r="VC193" s="80"/>
      <c r="VD193" s="80"/>
      <c r="VE193" s="80"/>
      <c r="VF193" s="80"/>
      <c r="VG193" s="80"/>
      <c r="VH193" s="80"/>
      <c r="VI193" s="80"/>
      <c r="VJ193" s="80"/>
      <c r="VK193" s="80"/>
      <c r="VL193" s="80"/>
    </row>
    <row r="194" spans="1:584" s="81" customFormat="1" ht="20.25" hidden="1" customHeight="1" x14ac:dyDescent="0.25">
      <c r="A194" s="69"/>
      <c r="B194" s="95"/>
      <c r="C194" s="95"/>
      <c r="D194" s="63" t="s">
        <v>342</v>
      </c>
      <c r="E194" s="116">
        <f>E199</f>
        <v>0</v>
      </c>
      <c r="F194" s="116">
        <f t="shared" ref="F194:Y194" si="48">F199</f>
        <v>0</v>
      </c>
      <c r="G194" s="116">
        <f t="shared" si="48"/>
        <v>0</v>
      </c>
      <c r="H194" s="116"/>
      <c r="I194" s="116"/>
      <c r="J194" s="116"/>
      <c r="K194" s="135" t="e">
        <f t="shared" si="38"/>
        <v>#DIV/0!</v>
      </c>
      <c r="L194" s="116">
        <f t="shared" si="48"/>
        <v>0</v>
      </c>
      <c r="M194" s="116">
        <f t="shared" si="48"/>
        <v>0</v>
      </c>
      <c r="N194" s="116">
        <f t="shared" si="48"/>
        <v>0</v>
      </c>
      <c r="O194" s="116">
        <f t="shared" si="48"/>
        <v>0</v>
      </c>
      <c r="P194" s="116">
        <f t="shared" si="48"/>
        <v>0</v>
      </c>
      <c r="Q194" s="116">
        <f t="shared" si="48"/>
        <v>0</v>
      </c>
      <c r="R194" s="116">
        <f t="shared" ref="R194" si="49">R199</f>
        <v>0</v>
      </c>
      <c r="S194" s="116"/>
      <c r="T194" s="116"/>
      <c r="U194" s="116"/>
      <c r="V194" s="116"/>
      <c r="W194" s="116"/>
      <c r="X194" s="166" t="e">
        <f t="shared" si="40"/>
        <v>#DIV/0!</v>
      </c>
      <c r="Y194" s="114">
        <f t="shared" si="48"/>
        <v>0</v>
      </c>
      <c r="Z194" s="187"/>
      <c r="AA194" s="80"/>
      <c r="AB194" s="80"/>
      <c r="AC194" s="80"/>
      <c r="AD194" s="80"/>
      <c r="AE194" s="79"/>
      <c r="AF194" s="79"/>
      <c r="AG194" s="79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  <c r="EV194" s="80"/>
      <c r="EW194" s="80"/>
      <c r="EX194" s="80"/>
      <c r="EY194" s="80"/>
      <c r="EZ194" s="80"/>
      <c r="FA194" s="80"/>
      <c r="FB194" s="80"/>
      <c r="FC194" s="80"/>
      <c r="FD194" s="80"/>
      <c r="FE194" s="80"/>
      <c r="FF194" s="80"/>
      <c r="FG194" s="80"/>
      <c r="FH194" s="80"/>
      <c r="FI194" s="80"/>
      <c r="FJ194" s="80"/>
      <c r="FK194" s="80"/>
      <c r="FL194" s="80"/>
      <c r="FM194" s="80"/>
      <c r="FN194" s="80"/>
      <c r="FO194" s="80"/>
      <c r="FP194" s="80"/>
      <c r="FQ194" s="80"/>
      <c r="FR194" s="80"/>
      <c r="FS194" s="80"/>
      <c r="FT194" s="80"/>
      <c r="FU194" s="80"/>
      <c r="FV194" s="80"/>
      <c r="FW194" s="80"/>
      <c r="FX194" s="80"/>
      <c r="FY194" s="80"/>
      <c r="FZ194" s="80"/>
      <c r="GA194" s="80"/>
      <c r="GB194" s="80"/>
      <c r="GC194" s="80"/>
      <c r="GD194" s="80"/>
      <c r="GE194" s="80"/>
      <c r="GF194" s="80"/>
      <c r="GG194" s="80"/>
      <c r="GH194" s="80"/>
      <c r="GI194" s="80"/>
      <c r="GJ194" s="80"/>
      <c r="GK194" s="80"/>
      <c r="GL194" s="80"/>
      <c r="GM194" s="80"/>
      <c r="GN194" s="80"/>
      <c r="GO194" s="80"/>
      <c r="GP194" s="80"/>
      <c r="GQ194" s="80"/>
      <c r="GR194" s="80"/>
      <c r="GS194" s="80"/>
      <c r="GT194" s="80"/>
      <c r="GU194" s="80"/>
      <c r="GV194" s="80"/>
      <c r="GW194" s="80"/>
      <c r="GX194" s="80"/>
      <c r="GY194" s="80"/>
      <c r="GZ194" s="80"/>
      <c r="HA194" s="80"/>
      <c r="HB194" s="80"/>
      <c r="HC194" s="80"/>
      <c r="HD194" s="80"/>
      <c r="HE194" s="80"/>
      <c r="HF194" s="80"/>
      <c r="HG194" s="80"/>
      <c r="HH194" s="80"/>
      <c r="HI194" s="80"/>
      <c r="HJ194" s="80"/>
      <c r="HK194" s="80"/>
      <c r="HL194" s="80"/>
      <c r="HM194" s="80"/>
      <c r="HN194" s="80"/>
      <c r="HO194" s="80"/>
      <c r="HP194" s="80"/>
      <c r="HQ194" s="80"/>
      <c r="HR194" s="80"/>
      <c r="HS194" s="80"/>
      <c r="HT194" s="80"/>
      <c r="HU194" s="80"/>
      <c r="HV194" s="80"/>
      <c r="HW194" s="80"/>
      <c r="HX194" s="80"/>
      <c r="HY194" s="80"/>
      <c r="HZ194" s="80"/>
      <c r="IA194" s="80"/>
      <c r="IB194" s="80"/>
      <c r="IC194" s="80"/>
      <c r="ID194" s="80"/>
      <c r="IE194" s="80"/>
      <c r="IF194" s="80"/>
      <c r="IG194" s="80"/>
      <c r="IH194" s="80"/>
      <c r="II194" s="80"/>
      <c r="IJ194" s="80"/>
      <c r="IK194" s="80"/>
      <c r="IL194" s="80"/>
      <c r="IM194" s="80"/>
      <c r="IN194" s="80"/>
      <c r="IO194" s="80"/>
      <c r="IP194" s="80"/>
      <c r="IQ194" s="80"/>
      <c r="IR194" s="80"/>
      <c r="IS194" s="80"/>
      <c r="IT194" s="80"/>
      <c r="IU194" s="80"/>
      <c r="IV194" s="80"/>
      <c r="IW194" s="80"/>
      <c r="IX194" s="80"/>
      <c r="IY194" s="80"/>
      <c r="IZ194" s="80"/>
      <c r="JA194" s="80"/>
      <c r="JB194" s="80"/>
      <c r="JC194" s="80"/>
      <c r="JD194" s="80"/>
      <c r="JE194" s="80"/>
      <c r="JF194" s="80"/>
      <c r="JG194" s="80"/>
      <c r="JH194" s="80"/>
      <c r="JI194" s="80"/>
      <c r="JJ194" s="80"/>
      <c r="JK194" s="80"/>
      <c r="JL194" s="80"/>
      <c r="JM194" s="80"/>
      <c r="JN194" s="80"/>
      <c r="JO194" s="80"/>
      <c r="JP194" s="80"/>
      <c r="JQ194" s="80"/>
      <c r="JR194" s="80"/>
      <c r="JS194" s="80"/>
      <c r="JT194" s="80"/>
      <c r="JU194" s="80"/>
      <c r="JV194" s="80"/>
      <c r="JW194" s="80"/>
      <c r="JX194" s="80"/>
      <c r="JY194" s="80"/>
      <c r="JZ194" s="80"/>
      <c r="KA194" s="80"/>
      <c r="KB194" s="80"/>
      <c r="KC194" s="80"/>
      <c r="KD194" s="80"/>
      <c r="KE194" s="80"/>
      <c r="KF194" s="80"/>
      <c r="KG194" s="80"/>
      <c r="KH194" s="80"/>
      <c r="KI194" s="80"/>
      <c r="KJ194" s="80"/>
      <c r="KK194" s="80"/>
      <c r="KL194" s="80"/>
      <c r="KM194" s="80"/>
      <c r="KN194" s="80"/>
      <c r="KO194" s="80"/>
      <c r="KP194" s="80"/>
      <c r="KQ194" s="80"/>
      <c r="KR194" s="80"/>
      <c r="KS194" s="80"/>
      <c r="KT194" s="80"/>
      <c r="KU194" s="80"/>
      <c r="KV194" s="80"/>
      <c r="KW194" s="80"/>
      <c r="KX194" s="80"/>
      <c r="KY194" s="80"/>
      <c r="KZ194" s="80"/>
      <c r="LA194" s="80"/>
      <c r="LB194" s="80"/>
      <c r="LC194" s="80"/>
      <c r="LD194" s="80"/>
      <c r="LE194" s="80"/>
      <c r="LF194" s="80"/>
      <c r="LG194" s="80"/>
      <c r="LH194" s="80"/>
      <c r="LI194" s="80"/>
      <c r="LJ194" s="80"/>
      <c r="LK194" s="80"/>
      <c r="LL194" s="80"/>
      <c r="LM194" s="80"/>
      <c r="LN194" s="80"/>
      <c r="LO194" s="80"/>
      <c r="LP194" s="80"/>
      <c r="LQ194" s="80"/>
      <c r="LR194" s="80"/>
      <c r="LS194" s="80"/>
      <c r="LT194" s="80"/>
      <c r="LU194" s="80"/>
      <c r="LV194" s="80"/>
      <c r="LW194" s="80"/>
      <c r="LX194" s="80"/>
      <c r="LY194" s="80"/>
      <c r="LZ194" s="80"/>
      <c r="MA194" s="80"/>
      <c r="MB194" s="80"/>
      <c r="MC194" s="80"/>
      <c r="MD194" s="80"/>
      <c r="ME194" s="80"/>
      <c r="MF194" s="80"/>
      <c r="MG194" s="80"/>
      <c r="MH194" s="80"/>
      <c r="MI194" s="80"/>
      <c r="MJ194" s="80"/>
      <c r="MK194" s="80"/>
      <c r="ML194" s="80"/>
      <c r="MM194" s="80"/>
      <c r="MN194" s="80"/>
      <c r="MO194" s="80"/>
      <c r="MP194" s="80"/>
      <c r="MQ194" s="80"/>
      <c r="MR194" s="80"/>
      <c r="MS194" s="80"/>
      <c r="MT194" s="80"/>
      <c r="MU194" s="80"/>
      <c r="MV194" s="80"/>
      <c r="MW194" s="80"/>
      <c r="MX194" s="80"/>
      <c r="MY194" s="80"/>
      <c r="MZ194" s="80"/>
      <c r="NA194" s="80"/>
      <c r="NB194" s="80"/>
      <c r="NC194" s="80"/>
      <c r="ND194" s="80"/>
      <c r="NE194" s="80"/>
      <c r="NF194" s="80"/>
      <c r="NG194" s="80"/>
      <c r="NH194" s="80"/>
      <c r="NI194" s="80"/>
      <c r="NJ194" s="80"/>
      <c r="NK194" s="80"/>
      <c r="NL194" s="80"/>
      <c r="NM194" s="80"/>
      <c r="NN194" s="80"/>
      <c r="NO194" s="80"/>
      <c r="NP194" s="80"/>
      <c r="NQ194" s="80"/>
      <c r="NR194" s="80"/>
      <c r="NS194" s="80"/>
      <c r="NT194" s="80"/>
      <c r="NU194" s="80"/>
      <c r="NV194" s="80"/>
      <c r="NW194" s="80"/>
      <c r="NX194" s="80"/>
      <c r="NY194" s="80"/>
      <c r="NZ194" s="80"/>
      <c r="OA194" s="80"/>
      <c r="OB194" s="80"/>
      <c r="OC194" s="80"/>
      <c r="OD194" s="80"/>
      <c r="OE194" s="80"/>
      <c r="OF194" s="80"/>
      <c r="OG194" s="80"/>
      <c r="OH194" s="80"/>
      <c r="OI194" s="80"/>
      <c r="OJ194" s="80"/>
      <c r="OK194" s="80"/>
      <c r="OL194" s="80"/>
      <c r="OM194" s="80"/>
      <c r="ON194" s="80"/>
      <c r="OO194" s="80"/>
      <c r="OP194" s="80"/>
      <c r="OQ194" s="80"/>
      <c r="OR194" s="80"/>
      <c r="OS194" s="80"/>
      <c r="OT194" s="80"/>
      <c r="OU194" s="80"/>
      <c r="OV194" s="80"/>
      <c r="OW194" s="80"/>
      <c r="OX194" s="80"/>
      <c r="OY194" s="80"/>
      <c r="OZ194" s="80"/>
      <c r="PA194" s="80"/>
      <c r="PB194" s="80"/>
      <c r="PC194" s="80"/>
      <c r="PD194" s="80"/>
      <c r="PE194" s="80"/>
      <c r="PF194" s="80"/>
      <c r="PG194" s="80"/>
      <c r="PH194" s="80"/>
      <c r="PI194" s="80"/>
      <c r="PJ194" s="80"/>
      <c r="PK194" s="80"/>
      <c r="PL194" s="80"/>
      <c r="PM194" s="80"/>
      <c r="PN194" s="80"/>
      <c r="PO194" s="80"/>
      <c r="PP194" s="80"/>
      <c r="PQ194" s="80"/>
      <c r="PR194" s="80"/>
      <c r="PS194" s="80"/>
      <c r="PT194" s="80"/>
      <c r="PU194" s="80"/>
      <c r="PV194" s="80"/>
      <c r="PW194" s="80"/>
      <c r="PX194" s="80"/>
      <c r="PY194" s="80"/>
      <c r="PZ194" s="80"/>
      <c r="QA194" s="80"/>
      <c r="QB194" s="80"/>
      <c r="QC194" s="80"/>
      <c r="QD194" s="80"/>
      <c r="QE194" s="80"/>
      <c r="QF194" s="80"/>
      <c r="QG194" s="80"/>
      <c r="QH194" s="80"/>
      <c r="QI194" s="80"/>
      <c r="QJ194" s="80"/>
      <c r="QK194" s="80"/>
      <c r="QL194" s="80"/>
      <c r="QM194" s="80"/>
      <c r="QN194" s="80"/>
      <c r="QO194" s="80"/>
      <c r="QP194" s="80"/>
      <c r="QQ194" s="80"/>
      <c r="QR194" s="80"/>
      <c r="QS194" s="80"/>
      <c r="QT194" s="80"/>
      <c r="QU194" s="80"/>
      <c r="QV194" s="80"/>
      <c r="QW194" s="80"/>
      <c r="QX194" s="80"/>
      <c r="QY194" s="80"/>
      <c r="QZ194" s="80"/>
      <c r="RA194" s="80"/>
      <c r="RB194" s="80"/>
      <c r="RC194" s="80"/>
      <c r="RD194" s="80"/>
      <c r="RE194" s="80"/>
      <c r="RF194" s="80"/>
      <c r="RG194" s="80"/>
      <c r="RH194" s="80"/>
      <c r="RI194" s="80"/>
      <c r="RJ194" s="80"/>
      <c r="RK194" s="80"/>
      <c r="RL194" s="80"/>
      <c r="RM194" s="80"/>
      <c r="RN194" s="80"/>
      <c r="RO194" s="80"/>
      <c r="RP194" s="80"/>
      <c r="RQ194" s="80"/>
      <c r="RR194" s="80"/>
      <c r="RS194" s="80"/>
      <c r="RT194" s="80"/>
      <c r="RU194" s="80"/>
      <c r="RV194" s="80"/>
      <c r="RW194" s="80"/>
      <c r="RX194" s="80"/>
      <c r="RY194" s="80"/>
      <c r="RZ194" s="80"/>
      <c r="SA194" s="80"/>
      <c r="SB194" s="80"/>
      <c r="SC194" s="80"/>
      <c r="SD194" s="80"/>
      <c r="SE194" s="80"/>
      <c r="SF194" s="80"/>
      <c r="SG194" s="80"/>
      <c r="SH194" s="80"/>
      <c r="SI194" s="80"/>
      <c r="SJ194" s="80"/>
      <c r="SK194" s="80"/>
      <c r="SL194" s="80"/>
      <c r="SM194" s="80"/>
      <c r="SN194" s="80"/>
      <c r="SO194" s="80"/>
      <c r="SP194" s="80"/>
      <c r="SQ194" s="80"/>
      <c r="SR194" s="80"/>
      <c r="SS194" s="80"/>
      <c r="ST194" s="80"/>
      <c r="SU194" s="80"/>
      <c r="SV194" s="80"/>
      <c r="SW194" s="80"/>
      <c r="SX194" s="80"/>
      <c r="SY194" s="80"/>
      <c r="SZ194" s="80"/>
      <c r="TA194" s="80"/>
      <c r="TB194" s="80"/>
      <c r="TC194" s="80"/>
      <c r="TD194" s="80"/>
      <c r="TE194" s="80"/>
      <c r="TF194" s="80"/>
      <c r="TG194" s="80"/>
      <c r="TH194" s="80"/>
      <c r="TI194" s="80"/>
      <c r="TJ194" s="80"/>
      <c r="TK194" s="80"/>
      <c r="TL194" s="80"/>
      <c r="TM194" s="80"/>
      <c r="TN194" s="80"/>
      <c r="TO194" s="80"/>
      <c r="TP194" s="80"/>
      <c r="TQ194" s="80"/>
      <c r="TR194" s="80"/>
      <c r="TS194" s="80"/>
      <c r="TT194" s="80"/>
      <c r="TU194" s="80"/>
      <c r="TV194" s="80"/>
      <c r="TW194" s="80"/>
      <c r="TX194" s="80"/>
      <c r="TY194" s="80"/>
      <c r="TZ194" s="80"/>
      <c r="UA194" s="80"/>
      <c r="UB194" s="80"/>
      <c r="UC194" s="80"/>
      <c r="UD194" s="80"/>
      <c r="UE194" s="80"/>
      <c r="UF194" s="80"/>
      <c r="UG194" s="80"/>
      <c r="UH194" s="80"/>
      <c r="UI194" s="80"/>
      <c r="UJ194" s="80"/>
      <c r="UK194" s="80"/>
      <c r="UL194" s="80"/>
      <c r="UM194" s="80"/>
      <c r="UN194" s="80"/>
      <c r="UO194" s="80"/>
      <c r="UP194" s="80"/>
      <c r="UQ194" s="80"/>
      <c r="UR194" s="80"/>
      <c r="US194" s="80"/>
      <c r="UT194" s="80"/>
      <c r="UU194" s="80"/>
      <c r="UV194" s="80"/>
      <c r="UW194" s="80"/>
      <c r="UX194" s="80"/>
      <c r="UY194" s="80"/>
      <c r="UZ194" s="80"/>
      <c r="VA194" s="80"/>
      <c r="VB194" s="80"/>
      <c r="VC194" s="80"/>
      <c r="VD194" s="80"/>
      <c r="VE194" s="80"/>
      <c r="VF194" s="80"/>
      <c r="VG194" s="80"/>
      <c r="VH194" s="80"/>
      <c r="VI194" s="80"/>
      <c r="VJ194" s="80"/>
      <c r="VK194" s="80"/>
      <c r="VL194" s="80"/>
    </row>
    <row r="195" spans="1:584" s="47" customFormat="1" ht="42.75" customHeight="1" x14ac:dyDescent="0.25">
      <c r="A195" s="45" t="s">
        <v>255</v>
      </c>
      <c r="B195" s="91" t="str">
        <f>'дод 3'!A13</f>
        <v>0160</v>
      </c>
      <c r="C195" s="91" t="str">
        <f>'дод 3'!B13</f>
        <v>0111</v>
      </c>
      <c r="D195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95" s="115">
        <v>4365996</v>
      </c>
      <c r="F195" s="115">
        <f>3409100+38275</f>
        <v>3447375</v>
      </c>
      <c r="G195" s="115">
        <f>45780+500+440</f>
        <v>46720</v>
      </c>
      <c r="H195" s="115">
        <v>4287058.9400000004</v>
      </c>
      <c r="I195" s="115">
        <v>3447276.06</v>
      </c>
      <c r="J195" s="115">
        <v>39160.980000000003</v>
      </c>
      <c r="K195" s="164">
        <f t="shared" si="38"/>
        <v>98.192003382504254</v>
      </c>
      <c r="L195" s="115">
        <f t="shared" si="42"/>
        <v>530000</v>
      </c>
      <c r="M195" s="115">
        <f>30000+500000</f>
        <v>530000</v>
      </c>
      <c r="N195" s="115"/>
      <c r="O195" s="115"/>
      <c r="P195" s="115"/>
      <c r="Q195" s="115">
        <f>30000+500000</f>
        <v>530000</v>
      </c>
      <c r="R195" s="115">
        <f t="shared" si="39"/>
        <v>516883.33</v>
      </c>
      <c r="S195" s="115">
        <v>516883.33</v>
      </c>
      <c r="T195" s="115"/>
      <c r="U195" s="115"/>
      <c r="V195" s="115"/>
      <c r="W195" s="115">
        <v>516883.33</v>
      </c>
      <c r="X195" s="166">
        <f t="shared" si="40"/>
        <v>97.525156603773581</v>
      </c>
      <c r="Y195" s="115">
        <f t="shared" ref="Y195:Y197" si="50">H195+R195</f>
        <v>4803942.2700000005</v>
      </c>
      <c r="Z195" s="187"/>
      <c r="AA195" s="53"/>
      <c r="AB195" s="53"/>
      <c r="AC195" s="53"/>
      <c r="AD195" s="53"/>
      <c r="AE195" s="79"/>
      <c r="AF195" s="79"/>
      <c r="AG195" s="79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  <c r="IL195" s="53"/>
      <c r="IM195" s="53"/>
      <c r="IN195" s="53"/>
      <c r="IO195" s="53"/>
      <c r="IP195" s="53"/>
      <c r="IQ195" s="53"/>
      <c r="IR195" s="53"/>
      <c r="IS195" s="53"/>
      <c r="IT195" s="53"/>
      <c r="IU195" s="53"/>
      <c r="IV195" s="53"/>
      <c r="IW195" s="53"/>
      <c r="IX195" s="53"/>
      <c r="IY195" s="53"/>
      <c r="IZ195" s="53"/>
      <c r="JA195" s="53"/>
      <c r="JB195" s="53"/>
      <c r="JC195" s="53"/>
      <c r="JD195" s="53"/>
      <c r="JE195" s="53"/>
      <c r="JF195" s="53"/>
      <c r="JG195" s="53"/>
      <c r="JH195" s="53"/>
      <c r="JI195" s="53"/>
      <c r="JJ195" s="53"/>
      <c r="JK195" s="53"/>
      <c r="JL195" s="53"/>
      <c r="JM195" s="53"/>
      <c r="JN195" s="53"/>
      <c r="JO195" s="53"/>
      <c r="JP195" s="53"/>
      <c r="JQ195" s="53"/>
      <c r="JR195" s="53"/>
      <c r="JS195" s="53"/>
      <c r="JT195" s="53"/>
      <c r="JU195" s="53"/>
      <c r="JV195" s="53"/>
      <c r="JW195" s="53"/>
      <c r="JX195" s="53"/>
      <c r="JY195" s="53"/>
      <c r="JZ195" s="53"/>
      <c r="KA195" s="53"/>
      <c r="KB195" s="53"/>
      <c r="KC195" s="53"/>
      <c r="KD195" s="53"/>
      <c r="KE195" s="53"/>
      <c r="KF195" s="53"/>
      <c r="KG195" s="53"/>
      <c r="KH195" s="53"/>
      <c r="KI195" s="53"/>
      <c r="KJ195" s="53"/>
      <c r="KK195" s="53"/>
      <c r="KL195" s="53"/>
      <c r="KM195" s="53"/>
      <c r="KN195" s="53"/>
      <c r="KO195" s="53"/>
      <c r="KP195" s="53"/>
      <c r="KQ195" s="53"/>
      <c r="KR195" s="53"/>
      <c r="KS195" s="53"/>
      <c r="KT195" s="53"/>
      <c r="KU195" s="53"/>
      <c r="KV195" s="53"/>
      <c r="KW195" s="53"/>
      <c r="KX195" s="53"/>
      <c r="KY195" s="53"/>
      <c r="KZ195" s="53"/>
      <c r="LA195" s="53"/>
      <c r="LB195" s="53"/>
      <c r="LC195" s="53"/>
      <c r="LD195" s="53"/>
      <c r="LE195" s="53"/>
      <c r="LF195" s="53"/>
      <c r="LG195" s="53"/>
      <c r="LH195" s="53"/>
      <c r="LI195" s="53"/>
      <c r="LJ195" s="53"/>
      <c r="LK195" s="53"/>
      <c r="LL195" s="53"/>
      <c r="LM195" s="53"/>
      <c r="LN195" s="53"/>
      <c r="LO195" s="53"/>
      <c r="LP195" s="53"/>
      <c r="LQ195" s="53"/>
      <c r="LR195" s="53"/>
      <c r="LS195" s="53"/>
      <c r="LT195" s="53"/>
      <c r="LU195" s="53"/>
      <c r="LV195" s="53"/>
      <c r="LW195" s="53"/>
      <c r="LX195" s="53"/>
      <c r="LY195" s="53"/>
      <c r="LZ195" s="53"/>
      <c r="MA195" s="53"/>
      <c r="MB195" s="53"/>
      <c r="MC195" s="53"/>
      <c r="MD195" s="53"/>
      <c r="ME195" s="53"/>
      <c r="MF195" s="53"/>
      <c r="MG195" s="53"/>
      <c r="MH195" s="53"/>
      <c r="MI195" s="53"/>
      <c r="MJ195" s="53"/>
      <c r="MK195" s="53"/>
      <c r="ML195" s="53"/>
      <c r="MM195" s="53"/>
      <c r="MN195" s="53"/>
      <c r="MO195" s="53"/>
      <c r="MP195" s="53"/>
      <c r="MQ195" s="53"/>
      <c r="MR195" s="53"/>
      <c r="MS195" s="53"/>
      <c r="MT195" s="53"/>
      <c r="MU195" s="53"/>
      <c r="MV195" s="53"/>
      <c r="MW195" s="53"/>
      <c r="MX195" s="53"/>
      <c r="MY195" s="53"/>
      <c r="MZ195" s="53"/>
      <c r="NA195" s="53"/>
      <c r="NB195" s="53"/>
      <c r="NC195" s="53"/>
      <c r="ND195" s="53"/>
      <c r="NE195" s="53"/>
      <c r="NF195" s="53"/>
      <c r="NG195" s="53"/>
      <c r="NH195" s="53"/>
      <c r="NI195" s="53"/>
      <c r="NJ195" s="53"/>
      <c r="NK195" s="53"/>
      <c r="NL195" s="53"/>
      <c r="NM195" s="53"/>
      <c r="NN195" s="53"/>
      <c r="NO195" s="53"/>
      <c r="NP195" s="53"/>
      <c r="NQ195" s="53"/>
      <c r="NR195" s="53"/>
      <c r="NS195" s="53"/>
      <c r="NT195" s="53"/>
      <c r="NU195" s="53"/>
      <c r="NV195" s="53"/>
      <c r="NW195" s="53"/>
      <c r="NX195" s="53"/>
      <c r="NY195" s="53"/>
      <c r="NZ195" s="53"/>
      <c r="OA195" s="53"/>
      <c r="OB195" s="53"/>
      <c r="OC195" s="53"/>
      <c r="OD195" s="53"/>
      <c r="OE195" s="53"/>
      <c r="OF195" s="53"/>
      <c r="OG195" s="53"/>
      <c r="OH195" s="53"/>
      <c r="OI195" s="53"/>
      <c r="OJ195" s="53"/>
      <c r="OK195" s="53"/>
      <c r="OL195" s="53"/>
      <c r="OM195" s="53"/>
      <c r="ON195" s="53"/>
      <c r="OO195" s="53"/>
      <c r="OP195" s="53"/>
      <c r="OQ195" s="53"/>
      <c r="OR195" s="53"/>
      <c r="OS195" s="53"/>
      <c r="OT195" s="53"/>
      <c r="OU195" s="53"/>
      <c r="OV195" s="53"/>
      <c r="OW195" s="53"/>
      <c r="OX195" s="53"/>
      <c r="OY195" s="53"/>
      <c r="OZ195" s="53"/>
      <c r="PA195" s="53"/>
      <c r="PB195" s="53"/>
      <c r="PC195" s="53"/>
      <c r="PD195" s="53"/>
      <c r="PE195" s="53"/>
      <c r="PF195" s="53"/>
      <c r="PG195" s="53"/>
      <c r="PH195" s="53"/>
      <c r="PI195" s="53"/>
      <c r="PJ195" s="53"/>
      <c r="PK195" s="53"/>
      <c r="PL195" s="53"/>
      <c r="PM195" s="53"/>
      <c r="PN195" s="53"/>
      <c r="PO195" s="53"/>
      <c r="PP195" s="53"/>
      <c r="PQ195" s="53"/>
      <c r="PR195" s="53"/>
      <c r="PS195" s="53"/>
      <c r="PT195" s="53"/>
      <c r="PU195" s="53"/>
      <c r="PV195" s="53"/>
      <c r="PW195" s="53"/>
      <c r="PX195" s="53"/>
      <c r="PY195" s="53"/>
      <c r="PZ195" s="53"/>
      <c r="QA195" s="53"/>
      <c r="QB195" s="53"/>
      <c r="QC195" s="53"/>
      <c r="QD195" s="53"/>
      <c r="QE195" s="53"/>
      <c r="QF195" s="53"/>
      <c r="QG195" s="53"/>
      <c r="QH195" s="53"/>
      <c r="QI195" s="53"/>
      <c r="QJ195" s="53"/>
      <c r="QK195" s="53"/>
      <c r="QL195" s="53"/>
      <c r="QM195" s="53"/>
      <c r="QN195" s="53"/>
      <c r="QO195" s="53"/>
      <c r="QP195" s="53"/>
      <c r="QQ195" s="53"/>
      <c r="QR195" s="53"/>
      <c r="QS195" s="53"/>
      <c r="QT195" s="53"/>
      <c r="QU195" s="53"/>
      <c r="QV195" s="53"/>
      <c r="QW195" s="53"/>
      <c r="QX195" s="53"/>
      <c r="QY195" s="53"/>
      <c r="QZ195" s="53"/>
      <c r="RA195" s="53"/>
      <c r="RB195" s="53"/>
      <c r="RC195" s="53"/>
      <c r="RD195" s="53"/>
      <c r="RE195" s="53"/>
      <c r="RF195" s="53"/>
      <c r="RG195" s="53"/>
      <c r="RH195" s="53"/>
      <c r="RI195" s="53"/>
      <c r="RJ195" s="53"/>
      <c r="RK195" s="53"/>
      <c r="RL195" s="53"/>
      <c r="RM195" s="53"/>
      <c r="RN195" s="53"/>
      <c r="RO195" s="53"/>
      <c r="RP195" s="53"/>
      <c r="RQ195" s="53"/>
      <c r="RR195" s="53"/>
      <c r="RS195" s="53"/>
      <c r="RT195" s="53"/>
      <c r="RU195" s="53"/>
      <c r="RV195" s="53"/>
      <c r="RW195" s="53"/>
      <c r="RX195" s="53"/>
      <c r="RY195" s="53"/>
      <c r="RZ195" s="53"/>
      <c r="SA195" s="53"/>
      <c r="SB195" s="53"/>
      <c r="SC195" s="53"/>
      <c r="SD195" s="53"/>
      <c r="SE195" s="53"/>
      <c r="SF195" s="53"/>
      <c r="SG195" s="53"/>
      <c r="SH195" s="53"/>
      <c r="SI195" s="53"/>
      <c r="SJ195" s="53"/>
      <c r="SK195" s="53"/>
      <c r="SL195" s="53"/>
      <c r="SM195" s="53"/>
      <c r="SN195" s="53"/>
      <c r="SO195" s="53"/>
      <c r="SP195" s="53"/>
      <c r="SQ195" s="53"/>
      <c r="SR195" s="53"/>
      <c r="SS195" s="53"/>
      <c r="ST195" s="53"/>
      <c r="SU195" s="53"/>
      <c r="SV195" s="53"/>
      <c r="SW195" s="53"/>
      <c r="SX195" s="53"/>
      <c r="SY195" s="53"/>
      <c r="SZ195" s="53"/>
      <c r="TA195" s="53"/>
      <c r="TB195" s="53"/>
      <c r="TC195" s="53"/>
      <c r="TD195" s="53"/>
      <c r="TE195" s="53"/>
      <c r="TF195" s="53"/>
      <c r="TG195" s="53"/>
      <c r="TH195" s="53"/>
      <c r="TI195" s="53"/>
      <c r="TJ195" s="53"/>
      <c r="TK195" s="53"/>
      <c r="TL195" s="53"/>
      <c r="TM195" s="53"/>
      <c r="TN195" s="53"/>
      <c r="TO195" s="53"/>
      <c r="TP195" s="53"/>
      <c r="TQ195" s="53"/>
      <c r="TR195" s="53"/>
      <c r="TS195" s="53"/>
      <c r="TT195" s="53"/>
      <c r="TU195" s="53"/>
      <c r="TV195" s="53"/>
      <c r="TW195" s="53"/>
      <c r="TX195" s="53"/>
      <c r="TY195" s="53"/>
      <c r="TZ195" s="53"/>
      <c r="UA195" s="53"/>
      <c r="UB195" s="53"/>
      <c r="UC195" s="53"/>
      <c r="UD195" s="53"/>
      <c r="UE195" s="53"/>
      <c r="UF195" s="53"/>
      <c r="UG195" s="53"/>
      <c r="UH195" s="53"/>
      <c r="UI195" s="53"/>
      <c r="UJ195" s="53"/>
      <c r="UK195" s="53"/>
      <c r="UL195" s="53"/>
      <c r="UM195" s="53"/>
      <c r="UN195" s="53"/>
      <c r="UO195" s="53"/>
      <c r="UP195" s="53"/>
      <c r="UQ195" s="53"/>
      <c r="UR195" s="53"/>
      <c r="US195" s="53"/>
      <c r="UT195" s="53"/>
      <c r="UU195" s="53"/>
      <c r="UV195" s="53"/>
      <c r="UW195" s="53"/>
      <c r="UX195" s="53"/>
      <c r="UY195" s="53"/>
      <c r="UZ195" s="53"/>
      <c r="VA195" s="53"/>
      <c r="VB195" s="53"/>
      <c r="VC195" s="53"/>
      <c r="VD195" s="53"/>
      <c r="VE195" s="53"/>
      <c r="VF195" s="53"/>
      <c r="VG195" s="53"/>
      <c r="VH195" s="53"/>
      <c r="VI195" s="53"/>
      <c r="VJ195" s="53"/>
      <c r="VK195" s="53"/>
      <c r="VL195" s="53"/>
    </row>
    <row r="196" spans="1:584" s="47" customFormat="1" ht="60" x14ac:dyDescent="0.25">
      <c r="A196" s="71" t="s">
        <v>587</v>
      </c>
      <c r="B196" s="91">
        <v>3111</v>
      </c>
      <c r="C196" s="91">
        <v>1040</v>
      </c>
      <c r="D196" s="46" t="s">
        <v>585</v>
      </c>
      <c r="E196" s="115">
        <v>88440</v>
      </c>
      <c r="F196" s="115"/>
      <c r="G196" s="115"/>
      <c r="H196" s="115">
        <v>88440</v>
      </c>
      <c r="I196" s="115"/>
      <c r="J196" s="115"/>
      <c r="K196" s="164">
        <f t="shared" si="38"/>
        <v>100</v>
      </c>
      <c r="L196" s="115">
        <f t="shared" si="42"/>
        <v>40300</v>
      </c>
      <c r="M196" s="115">
        <v>40300</v>
      </c>
      <c r="N196" s="115"/>
      <c r="O196" s="115"/>
      <c r="P196" s="115"/>
      <c r="Q196" s="115">
        <v>40300</v>
      </c>
      <c r="R196" s="115">
        <f t="shared" si="39"/>
        <v>40300</v>
      </c>
      <c r="S196" s="115">
        <v>40300</v>
      </c>
      <c r="T196" s="115"/>
      <c r="U196" s="115"/>
      <c r="V196" s="115"/>
      <c r="W196" s="115">
        <v>40300</v>
      </c>
      <c r="X196" s="166">
        <f t="shared" si="40"/>
        <v>100</v>
      </c>
      <c r="Y196" s="115">
        <f t="shared" si="50"/>
        <v>128740</v>
      </c>
      <c r="Z196" s="187"/>
      <c r="AA196" s="53"/>
      <c r="AB196" s="53"/>
      <c r="AC196" s="53"/>
      <c r="AD196" s="53"/>
      <c r="AE196" s="79"/>
      <c r="AF196" s="79"/>
      <c r="AG196" s="79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3"/>
      <c r="HI196" s="53"/>
      <c r="HJ196" s="53"/>
      <c r="HK196" s="53"/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  <c r="IL196" s="53"/>
      <c r="IM196" s="53"/>
      <c r="IN196" s="53"/>
      <c r="IO196" s="53"/>
      <c r="IP196" s="53"/>
      <c r="IQ196" s="53"/>
      <c r="IR196" s="53"/>
      <c r="IS196" s="53"/>
      <c r="IT196" s="53"/>
      <c r="IU196" s="53"/>
      <c r="IV196" s="53"/>
      <c r="IW196" s="53"/>
      <c r="IX196" s="53"/>
      <c r="IY196" s="53"/>
      <c r="IZ196" s="53"/>
      <c r="JA196" s="53"/>
      <c r="JB196" s="53"/>
      <c r="JC196" s="53"/>
      <c r="JD196" s="53"/>
      <c r="JE196" s="53"/>
      <c r="JF196" s="53"/>
      <c r="JG196" s="53"/>
      <c r="JH196" s="53"/>
      <c r="JI196" s="53"/>
      <c r="JJ196" s="53"/>
      <c r="JK196" s="53"/>
      <c r="JL196" s="53"/>
      <c r="JM196" s="53"/>
      <c r="JN196" s="53"/>
      <c r="JO196" s="53"/>
      <c r="JP196" s="53"/>
      <c r="JQ196" s="53"/>
      <c r="JR196" s="53"/>
      <c r="JS196" s="53"/>
      <c r="JT196" s="53"/>
      <c r="JU196" s="53"/>
      <c r="JV196" s="53"/>
      <c r="JW196" s="53"/>
      <c r="JX196" s="53"/>
      <c r="JY196" s="53"/>
      <c r="JZ196" s="53"/>
      <c r="KA196" s="53"/>
      <c r="KB196" s="53"/>
      <c r="KC196" s="53"/>
      <c r="KD196" s="53"/>
      <c r="KE196" s="53"/>
      <c r="KF196" s="53"/>
      <c r="KG196" s="53"/>
      <c r="KH196" s="53"/>
      <c r="KI196" s="53"/>
      <c r="KJ196" s="53"/>
      <c r="KK196" s="53"/>
      <c r="KL196" s="53"/>
      <c r="KM196" s="53"/>
      <c r="KN196" s="53"/>
      <c r="KO196" s="53"/>
      <c r="KP196" s="53"/>
      <c r="KQ196" s="53"/>
      <c r="KR196" s="53"/>
      <c r="KS196" s="53"/>
      <c r="KT196" s="53"/>
      <c r="KU196" s="53"/>
      <c r="KV196" s="53"/>
      <c r="KW196" s="53"/>
      <c r="KX196" s="53"/>
      <c r="KY196" s="53"/>
      <c r="KZ196" s="53"/>
      <c r="LA196" s="53"/>
      <c r="LB196" s="53"/>
      <c r="LC196" s="53"/>
      <c r="LD196" s="53"/>
      <c r="LE196" s="53"/>
      <c r="LF196" s="53"/>
      <c r="LG196" s="53"/>
      <c r="LH196" s="53"/>
      <c r="LI196" s="53"/>
      <c r="LJ196" s="53"/>
      <c r="LK196" s="53"/>
      <c r="LL196" s="53"/>
      <c r="LM196" s="53"/>
      <c r="LN196" s="53"/>
      <c r="LO196" s="53"/>
      <c r="LP196" s="53"/>
      <c r="LQ196" s="53"/>
      <c r="LR196" s="53"/>
      <c r="LS196" s="53"/>
      <c r="LT196" s="53"/>
      <c r="LU196" s="53"/>
      <c r="LV196" s="53"/>
      <c r="LW196" s="53"/>
      <c r="LX196" s="53"/>
      <c r="LY196" s="53"/>
      <c r="LZ196" s="53"/>
      <c r="MA196" s="53"/>
      <c r="MB196" s="53"/>
      <c r="MC196" s="53"/>
      <c r="MD196" s="53"/>
      <c r="ME196" s="53"/>
      <c r="MF196" s="53"/>
      <c r="MG196" s="53"/>
      <c r="MH196" s="53"/>
      <c r="MI196" s="53"/>
      <c r="MJ196" s="53"/>
      <c r="MK196" s="53"/>
      <c r="ML196" s="53"/>
      <c r="MM196" s="53"/>
      <c r="MN196" s="53"/>
      <c r="MO196" s="53"/>
      <c r="MP196" s="53"/>
      <c r="MQ196" s="53"/>
      <c r="MR196" s="53"/>
      <c r="MS196" s="53"/>
      <c r="MT196" s="53"/>
      <c r="MU196" s="53"/>
      <c r="MV196" s="53"/>
      <c r="MW196" s="53"/>
      <c r="MX196" s="53"/>
      <c r="MY196" s="53"/>
      <c r="MZ196" s="53"/>
      <c r="NA196" s="53"/>
      <c r="NB196" s="53"/>
      <c r="NC196" s="53"/>
      <c r="ND196" s="53"/>
      <c r="NE196" s="53"/>
      <c r="NF196" s="53"/>
      <c r="NG196" s="53"/>
      <c r="NH196" s="53"/>
      <c r="NI196" s="53"/>
      <c r="NJ196" s="53"/>
      <c r="NK196" s="53"/>
      <c r="NL196" s="53"/>
      <c r="NM196" s="53"/>
      <c r="NN196" s="53"/>
      <c r="NO196" s="53"/>
      <c r="NP196" s="53"/>
      <c r="NQ196" s="53"/>
      <c r="NR196" s="53"/>
      <c r="NS196" s="53"/>
      <c r="NT196" s="53"/>
      <c r="NU196" s="53"/>
      <c r="NV196" s="53"/>
      <c r="NW196" s="53"/>
      <c r="NX196" s="53"/>
      <c r="NY196" s="53"/>
      <c r="NZ196" s="53"/>
      <c r="OA196" s="53"/>
      <c r="OB196" s="53"/>
      <c r="OC196" s="53"/>
      <c r="OD196" s="53"/>
      <c r="OE196" s="53"/>
      <c r="OF196" s="53"/>
      <c r="OG196" s="53"/>
      <c r="OH196" s="53"/>
      <c r="OI196" s="53"/>
      <c r="OJ196" s="53"/>
      <c r="OK196" s="53"/>
      <c r="OL196" s="53"/>
      <c r="OM196" s="53"/>
      <c r="ON196" s="53"/>
      <c r="OO196" s="53"/>
      <c r="OP196" s="53"/>
      <c r="OQ196" s="53"/>
      <c r="OR196" s="53"/>
      <c r="OS196" s="53"/>
      <c r="OT196" s="53"/>
      <c r="OU196" s="53"/>
      <c r="OV196" s="53"/>
      <c r="OW196" s="53"/>
      <c r="OX196" s="53"/>
      <c r="OY196" s="53"/>
      <c r="OZ196" s="53"/>
      <c r="PA196" s="53"/>
      <c r="PB196" s="53"/>
      <c r="PC196" s="53"/>
      <c r="PD196" s="53"/>
      <c r="PE196" s="53"/>
      <c r="PF196" s="53"/>
      <c r="PG196" s="53"/>
      <c r="PH196" s="53"/>
      <c r="PI196" s="53"/>
      <c r="PJ196" s="53"/>
      <c r="PK196" s="53"/>
      <c r="PL196" s="53"/>
      <c r="PM196" s="53"/>
      <c r="PN196" s="53"/>
      <c r="PO196" s="53"/>
      <c r="PP196" s="53"/>
      <c r="PQ196" s="53"/>
      <c r="PR196" s="53"/>
      <c r="PS196" s="53"/>
      <c r="PT196" s="53"/>
      <c r="PU196" s="53"/>
      <c r="PV196" s="53"/>
      <c r="PW196" s="53"/>
      <c r="PX196" s="53"/>
      <c r="PY196" s="53"/>
      <c r="PZ196" s="53"/>
      <c r="QA196" s="53"/>
      <c r="QB196" s="53"/>
      <c r="QC196" s="53"/>
      <c r="QD196" s="53"/>
      <c r="QE196" s="53"/>
      <c r="QF196" s="53"/>
      <c r="QG196" s="53"/>
      <c r="QH196" s="53"/>
      <c r="QI196" s="53"/>
      <c r="QJ196" s="53"/>
      <c r="QK196" s="53"/>
      <c r="QL196" s="53"/>
      <c r="QM196" s="53"/>
      <c r="QN196" s="53"/>
      <c r="QO196" s="53"/>
      <c r="QP196" s="53"/>
      <c r="QQ196" s="53"/>
      <c r="QR196" s="53"/>
      <c r="QS196" s="53"/>
      <c r="QT196" s="53"/>
      <c r="QU196" s="53"/>
      <c r="QV196" s="53"/>
      <c r="QW196" s="53"/>
      <c r="QX196" s="53"/>
      <c r="QY196" s="53"/>
      <c r="QZ196" s="53"/>
      <c r="RA196" s="53"/>
      <c r="RB196" s="53"/>
      <c r="RC196" s="53"/>
      <c r="RD196" s="53"/>
      <c r="RE196" s="53"/>
      <c r="RF196" s="53"/>
      <c r="RG196" s="53"/>
      <c r="RH196" s="53"/>
      <c r="RI196" s="53"/>
      <c r="RJ196" s="53"/>
      <c r="RK196" s="53"/>
      <c r="RL196" s="53"/>
      <c r="RM196" s="53"/>
      <c r="RN196" s="53"/>
      <c r="RO196" s="53"/>
      <c r="RP196" s="53"/>
      <c r="RQ196" s="53"/>
      <c r="RR196" s="53"/>
      <c r="RS196" s="53"/>
      <c r="RT196" s="53"/>
      <c r="RU196" s="53"/>
      <c r="RV196" s="53"/>
      <c r="RW196" s="53"/>
      <c r="RX196" s="53"/>
      <c r="RY196" s="53"/>
      <c r="RZ196" s="53"/>
      <c r="SA196" s="53"/>
      <c r="SB196" s="53"/>
      <c r="SC196" s="53"/>
      <c r="SD196" s="53"/>
      <c r="SE196" s="53"/>
      <c r="SF196" s="53"/>
      <c r="SG196" s="53"/>
      <c r="SH196" s="53"/>
      <c r="SI196" s="53"/>
      <c r="SJ196" s="53"/>
      <c r="SK196" s="53"/>
      <c r="SL196" s="53"/>
      <c r="SM196" s="53"/>
      <c r="SN196" s="53"/>
      <c r="SO196" s="53"/>
      <c r="SP196" s="53"/>
      <c r="SQ196" s="53"/>
      <c r="SR196" s="53"/>
      <c r="SS196" s="53"/>
      <c r="ST196" s="53"/>
      <c r="SU196" s="53"/>
      <c r="SV196" s="53"/>
      <c r="SW196" s="53"/>
      <c r="SX196" s="53"/>
      <c r="SY196" s="53"/>
      <c r="SZ196" s="53"/>
      <c r="TA196" s="53"/>
      <c r="TB196" s="53"/>
      <c r="TC196" s="53"/>
      <c r="TD196" s="53"/>
      <c r="TE196" s="53"/>
      <c r="TF196" s="53"/>
      <c r="TG196" s="53"/>
      <c r="TH196" s="53"/>
      <c r="TI196" s="53"/>
      <c r="TJ196" s="53"/>
      <c r="TK196" s="53"/>
      <c r="TL196" s="53"/>
      <c r="TM196" s="53"/>
      <c r="TN196" s="53"/>
      <c r="TO196" s="53"/>
      <c r="TP196" s="53"/>
      <c r="TQ196" s="53"/>
      <c r="TR196" s="53"/>
      <c r="TS196" s="53"/>
      <c r="TT196" s="53"/>
      <c r="TU196" s="53"/>
      <c r="TV196" s="53"/>
      <c r="TW196" s="53"/>
      <c r="TX196" s="53"/>
      <c r="TY196" s="53"/>
      <c r="TZ196" s="53"/>
      <c r="UA196" s="53"/>
      <c r="UB196" s="53"/>
      <c r="UC196" s="53"/>
      <c r="UD196" s="53"/>
      <c r="UE196" s="53"/>
      <c r="UF196" s="53"/>
      <c r="UG196" s="53"/>
      <c r="UH196" s="53"/>
      <c r="UI196" s="53"/>
      <c r="UJ196" s="53"/>
      <c r="UK196" s="53"/>
      <c r="UL196" s="53"/>
      <c r="UM196" s="53"/>
      <c r="UN196" s="53"/>
      <c r="UO196" s="53"/>
      <c r="UP196" s="53"/>
      <c r="UQ196" s="53"/>
      <c r="UR196" s="53"/>
      <c r="US196" s="53"/>
      <c r="UT196" s="53"/>
      <c r="UU196" s="53"/>
      <c r="UV196" s="53"/>
      <c r="UW196" s="53"/>
      <c r="UX196" s="53"/>
      <c r="UY196" s="53"/>
      <c r="UZ196" s="53"/>
      <c r="VA196" s="53"/>
      <c r="VB196" s="53"/>
      <c r="VC196" s="53"/>
      <c r="VD196" s="53"/>
      <c r="VE196" s="53"/>
      <c r="VF196" s="53"/>
      <c r="VG196" s="53"/>
      <c r="VH196" s="53"/>
      <c r="VI196" s="53"/>
      <c r="VJ196" s="53"/>
      <c r="VK196" s="53"/>
      <c r="VL196" s="53"/>
    </row>
    <row r="197" spans="1:584" s="47" customFormat="1" ht="36.75" customHeight="1" x14ac:dyDescent="0.25">
      <c r="A197" s="45" t="s">
        <v>256</v>
      </c>
      <c r="B197" s="91" t="str">
        <f>'дод 3'!A106</f>
        <v>3112</v>
      </c>
      <c r="C197" s="91" t="str">
        <f>'дод 3'!B106</f>
        <v>1040</v>
      </c>
      <c r="D197" s="48" t="str">
        <f>'дод 3'!C106</f>
        <v>Заходи державної політики з питань дітей та їх соціального захисту</v>
      </c>
      <c r="E197" s="115">
        <v>94600</v>
      </c>
      <c r="F197" s="115"/>
      <c r="G197" s="115"/>
      <c r="H197" s="115">
        <v>94556.54</v>
      </c>
      <c r="I197" s="115"/>
      <c r="J197" s="115"/>
      <c r="K197" s="164">
        <f t="shared" si="38"/>
        <v>99.954059196617322</v>
      </c>
      <c r="L197" s="115">
        <f t="shared" si="42"/>
        <v>0</v>
      </c>
      <c r="M197" s="115"/>
      <c r="N197" s="115"/>
      <c r="O197" s="115"/>
      <c r="P197" s="115"/>
      <c r="Q197" s="115"/>
      <c r="R197" s="115">
        <f t="shared" si="39"/>
        <v>0</v>
      </c>
      <c r="S197" s="115"/>
      <c r="T197" s="115"/>
      <c r="U197" s="115"/>
      <c r="V197" s="115"/>
      <c r="W197" s="115"/>
      <c r="X197" s="166"/>
      <c r="Y197" s="115">
        <f t="shared" si="50"/>
        <v>94556.54</v>
      </c>
      <c r="Z197" s="187"/>
      <c r="AA197" s="53"/>
      <c r="AB197" s="53"/>
      <c r="AC197" s="53"/>
      <c r="AD197" s="53"/>
      <c r="AE197" s="79"/>
      <c r="AF197" s="79"/>
      <c r="AG197" s="79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  <c r="IU197" s="53"/>
      <c r="IV197" s="53"/>
      <c r="IW197" s="53"/>
      <c r="IX197" s="53"/>
      <c r="IY197" s="53"/>
      <c r="IZ197" s="53"/>
      <c r="JA197" s="53"/>
      <c r="JB197" s="53"/>
      <c r="JC197" s="53"/>
      <c r="JD197" s="53"/>
      <c r="JE197" s="53"/>
      <c r="JF197" s="53"/>
      <c r="JG197" s="53"/>
      <c r="JH197" s="53"/>
      <c r="JI197" s="53"/>
      <c r="JJ197" s="53"/>
      <c r="JK197" s="53"/>
      <c r="JL197" s="53"/>
      <c r="JM197" s="53"/>
      <c r="JN197" s="53"/>
      <c r="JO197" s="53"/>
      <c r="JP197" s="53"/>
      <c r="JQ197" s="53"/>
      <c r="JR197" s="53"/>
      <c r="JS197" s="53"/>
      <c r="JT197" s="53"/>
      <c r="JU197" s="53"/>
      <c r="JV197" s="53"/>
      <c r="JW197" s="53"/>
      <c r="JX197" s="53"/>
      <c r="JY197" s="53"/>
      <c r="JZ197" s="53"/>
      <c r="KA197" s="53"/>
      <c r="KB197" s="53"/>
      <c r="KC197" s="53"/>
      <c r="KD197" s="53"/>
      <c r="KE197" s="53"/>
      <c r="KF197" s="53"/>
      <c r="KG197" s="53"/>
      <c r="KH197" s="53"/>
      <c r="KI197" s="53"/>
      <c r="KJ197" s="53"/>
      <c r="KK197" s="53"/>
      <c r="KL197" s="53"/>
      <c r="KM197" s="53"/>
      <c r="KN197" s="53"/>
      <c r="KO197" s="53"/>
      <c r="KP197" s="53"/>
      <c r="KQ197" s="53"/>
      <c r="KR197" s="53"/>
      <c r="KS197" s="53"/>
      <c r="KT197" s="53"/>
      <c r="KU197" s="53"/>
      <c r="KV197" s="53"/>
      <c r="KW197" s="53"/>
      <c r="KX197" s="53"/>
      <c r="KY197" s="53"/>
      <c r="KZ197" s="53"/>
      <c r="LA197" s="53"/>
      <c r="LB197" s="53"/>
      <c r="LC197" s="53"/>
      <c r="LD197" s="53"/>
      <c r="LE197" s="53"/>
      <c r="LF197" s="53"/>
      <c r="LG197" s="53"/>
      <c r="LH197" s="53"/>
      <c r="LI197" s="53"/>
      <c r="LJ197" s="53"/>
      <c r="LK197" s="53"/>
      <c r="LL197" s="53"/>
      <c r="LM197" s="53"/>
      <c r="LN197" s="53"/>
      <c r="LO197" s="53"/>
      <c r="LP197" s="53"/>
      <c r="LQ197" s="53"/>
      <c r="LR197" s="53"/>
      <c r="LS197" s="53"/>
      <c r="LT197" s="53"/>
      <c r="LU197" s="53"/>
      <c r="LV197" s="53"/>
      <c r="LW197" s="53"/>
      <c r="LX197" s="53"/>
      <c r="LY197" s="53"/>
      <c r="LZ197" s="53"/>
      <c r="MA197" s="53"/>
      <c r="MB197" s="53"/>
      <c r="MC197" s="53"/>
      <c r="MD197" s="53"/>
      <c r="ME197" s="53"/>
      <c r="MF197" s="53"/>
      <c r="MG197" s="53"/>
      <c r="MH197" s="53"/>
      <c r="MI197" s="53"/>
      <c r="MJ197" s="53"/>
      <c r="MK197" s="53"/>
      <c r="ML197" s="53"/>
      <c r="MM197" s="53"/>
      <c r="MN197" s="53"/>
      <c r="MO197" s="53"/>
      <c r="MP197" s="53"/>
      <c r="MQ197" s="53"/>
      <c r="MR197" s="53"/>
      <c r="MS197" s="53"/>
      <c r="MT197" s="53"/>
      <c r="MU197" s="53"/>
      <c r="MV197" s="53"/>
      <c r="MW197" s="53"/>
      <c r="MX197" s="53"/>
      <c r="MY197" s="53"/>
      <c r="MZ197" s="53"/>
      <c r="NA197" s="53"/>
      <c r="NB197" s="53"/>
      <c r="NC197" s="53"/>
      <c r="ND197" s="53"/>
      <c r="NE197" s="53"/>
      <c r="NF197" s="53"/>
      <c r="NG197" s="53"/>
      <c r="NH197" s="53"/>
      <c r="NI197" s="53"/>
      <c r="NJ197" s="53"/>
      <c r="NK197" s="53"/>
      <c r="NL197" s="53"/>
      <c r="NM197" s="53"/>
      <c r="NN197" s="53"/>
      <c r="NO197" s="53"/>
      <c r="NP197" s="53"/>
      <c r="NQ197" s="53"/>
      <c r="NR197" s="53"/>
      <c r="NS197" s="53"/>
      <c r="NT197" s="53"/>
      <c r="NU197" s="53"/>
      <c r="NV197" s="53"/>
      <c r="NW197" s="53"/>
      <c r="NX197" s="53"/>
      <c r="NY197" s="53"/>
      <c r="NZ197" s="53"/>
      <c r="OA197" s="53"/>
      <c r="OB197" s="53"/>
      <c r="OC197" s="53"/>
      <c r="OD197" s="53"/>
      <c r="OE197" s="53"/>
      <c r="OF197" s="53"/>
      <c r="OG197" s="53"/>
      <c r="OH197" s="53"/>
      <c r="OI197" s="53"/>
      <c r="OJ197" s="53"/>
      <c r="OK197" s="53"/>
      <c r="OL197" s="53"/>
      <c r="OM197" s="53"/>
      <c r="ON197" s="53"/>
      <c r="OO197" s="53"/>
      <c r="OP197" s="53"/>
      <c r="OQ197" s="53"/>
      <c r="OR197" s="53"/>
      <c r="OS197" s="53"/>
      <c r="OT197" s="53"/>
      <c r="OU197" s="53"/>
      <c r="OV197" s="53"/>
      <c r="OW197" s="53"/>
      <c r="OX197" s="53"/>
      <c r="OY197" s="53"/>
      <c r="OZ197" s="53"/>
      <c r="PA197" s="53"/>
      <c r="PB197" s="53"/>
      <c r="PC197" s="53"/>
      <c r="PD197" s="53"/>
      <c r="PE197" s="53"/>
      <c r="PF197" s="53"/>
      <c r="PG197" s="53"/>
      <c r="PH197" s="53"/>
      <c r="PI197" s="53"/>
      <c r="PJ197" s="53"/>
      <c r="PK197" s="53"/>
      <c r="PL197" s="53"/>
      <c r="PM197" s="53"/>
      <c r="PN197" s="53"/>
      <c r="PO197" s="53"/>
      <c r="PP197" s="53"/>
      <c r="PQ197" s="53"/>
      <c r="PR197" s="53"/>
      <c r="PS197" s="53"/>
      <c r="PT197" s="53"/>
      <c r="PU197" s="53"/>
      <c r="PV197" s="53"/>
      <c r="PW197" s="53"/>
      <c r="PX197" s="53"/>
      <c r="PY197" s="53"/>
      <c r="PZ197" s="53"/>
      <c r="QA197" s="53"/>
      <c r="QB197" s="53"/>
      <c r="QC197" s="53"/>
      <c r="QD197" s="53"/>
      <c r="QE197" s="53"/>
      <c r="QF197" s="53"/>
      <c r="QG197" s="53"/>
      <c r="QH197" s="53"/>
      <c r="QI197" s="53"/>
      <c r="QJ197" s="53"/>
      <c r="QK197" s="53"/>
      <c r="QL197" s="53"/>
      <c r="QM197" s="53"/>
      <c r="QN197" s="53"/>
      <c r="QO197" s="53"/>
      <c r="QP197" s="53"/>
      <c r="QQ197" s="53"/>
      <c r="QR197" s="53"/>
      <c r="QS197" s="53"/>
      <c r="QT197" s="53"/>
      <c r="QU197" s="53"/>
      <c r="QV197" s="53"/>
      <c r="QW197" s="53"/>
      <c r="QX197" s="53"/>
      <c r="QY197" s="53"/>
      <c r="QZ197" s="53"/>
      <c r="RA197" s="53"/>
      <c r="RB197" s="53"/>
      <c r="RC197" s="53"/>
      <c r="RD197" s="53"/>
      <c r="RE197" s="53"/>
      <c r="RF197" s="53"/>
      <c r="RG197" s="53"/>
      <c r="RH197" s="53"/>
      <c r="RI197" s="53"/>
      <c r="RJ197" s="53"/>
      <c r="RK197" s="53"/>
      <c r="RL197" s="53"/>
      <c r="RM197" s="53"/>
      <c r="RN197" s="53"/>
      <c r="RO197" s="53"/>
      <c r="RP197" s="53"/>
      <c r="RQ197" s="53"/>
      <c r="RR197" s="53"/>
      <c r="RS197" s="53"/>
      <c r="RT197" s="53"/>
      <c r="RU197" s="53"/>
      <c r="RV197" s="53"/>
      <c r="RW197" s="53"/>
      <c r="RX197" s="53"/>
      <c r="RY197" s="53"/>
      <c r="RZ197" s="53"/>
      <c r="SA197" s="53"/>
      <c r="SB197" s="53"/>
      <c r="SC197" s="53"/>
      <c r="SD197" s="53"/>
      <c r="SE197" s="53"/>
      <c r="SF197" s="53"/>
      <c r="SG197" s="53"/>
      <c r="SH197" s="53"/>
      <c r="SI197" s="53"/>
      <c r="SJ197" s="53"/>
      <c r="SK197" s="53"/>
      <c r="SL197" s="53"/>
      <c r="SM197" s="53"/>
      <c r="SN197" s="53"/>
      <c r="SO197" s="53"/>
      <c r="SP197" s="53"/>
      <c r="SQ197" s="53"/>
      <c r="SR197" s="53"/>
      <c r="SS197" s="53"/>
      <c r="ST197" s="53"/>
      <c r="SU197" s="53"/>
      <c r="SV197" s="53"/>
      <c r="SW197" s="53"/>
      <c r="SX197" s="53"/>
      <c r="SY197" s="53"/>
      <c r="SZ197" s="53"/>
      <c r="TA197" s="53"/>
      <c r="TB197" s="53"/>
      <c r="TC197" s="53"/>
      <c r="TD197" s="53"/>
      <c r="TE197" s="53"/>
      <c r="TF197" s="53"/>
      <c r="TG197" s="53"/>
      <c r="TH197" s="53"/>
      <c r="TI197" s="53"/>
      <c r="TJ197" s="53"/>
      <c r="TK197" s="53"/>
      <c r="TL197" s="53"/>
      <c r="TM197" s="53"/>
      <c r="TN197" s="53"/>
      <c r="TO197" s="53"/>
      <c r="TP197" s="53"/>
      <c r="TQ197" s="53"/>
      <c r="TR197" s="53"/>
      <c r="TS197" s="53"/>
      <c r="TT197" s="53"/>
      <c r="TU197" s="53"/>
      <c r="TV197" s="53"/>
      <c r="TW197" s="53"/>
      <c r="TX197" s="53"/>
      <c r="TY197" s="53"/>
      <c r="TZ197" s="53"/>
      <c r="UA197" s="53"/>
      <c r="UB197" s="53"/>
      <c r="UC197" s="53"/>
      <c r="UD197" s="53"/>
      <c r="UE197" s="53"/>
      <c r="UF197" s="53"/>
      <c r="UG197" s="53"/>
      <c r="UH197" s="53"/>
      <c r="UI197" s="53"/>
      <c r="UJ197" s="53"/>
      <c r="UK197" s="53"/>
      <c r="UL197" s="53"/>
      <c r="UM197" s="53"/>
      <c r="UN197" s="53"/>
      <c r="UO197" s="53"/>
      <c r="UP197" s="53"/>
      <c r="UQ197" s="53"/>
      <c r="UR197" s="53"/>
      <c r="US197" s="53"/>
      <c r="UT197" s="53"/>
      <c r="UU197" s="53"/>
      <c r="UV197" s="53"/>
      <c r="UW197" s="53"/>
      <c r="UX197" s="53"/>
      <c r="UY197" s="53"/>
      <c r="UZ197" s="53"/>
      <c r="VA197" s="53"/>
      <c r="VB197" s="53"/>
      <c r="VC197" s="53"/>
      <c r="VD197" s="53"/>
      <c r="VE197" s="53"/>
      <c r="VF197" s="53"/>
      <c r="VG197" s="53"/>
      <c r="VH197" s="53"/>
      <c r="VI197" s="53"/>
      <c r="VJ197" s="53"/>
      <c r="VK197" s="53"/>
      <c r="VL197" s="53"/>
    </row>
    <row r="198" spans="1:584" s="47" customFormat="1" ht="60" hidden="1" customHeight="1" x14ac:dyDescent="0.25">
      <c r="A198" s="45" t="s">
        <v>545</v>
      </c>
      <c r="B198" s="91" t="s">
        <v>547</v>
      </c>
      <c r="C198" s="91" t="s">
        <v>97</v>
      </c>
      <c r="D198" s="48" t="s">
        <v>546</v>
      </c>
      <c r="E198" s="115"/>
      <c r="F198" s="115"/>
      <c r="G198" s="115"/>
      <c r="H198" s="115"/>
      <c r="I198" s="115"/>
      <c r="J198" s="115"/>
      <c r="K198" s="135" t="e">
        <f t="shared" si="38"/>
        <v>#DIV/0!</v>
      </c>
      <c r="L198" s="115">
        <f t="shared" si="42"/>
        <v>0</v>
      </c>
      <c r="M198" s="115">
        <f>3609965-3609965</f>
        <v>0</v>
      </c>
      <c r="N198" s="115"/>
      <c r="O198" s="115"/>
      <c r="P198" s="115"/>
      <c r="Q198" s="115">
        <f>3609965-3609965</f>
        <v>0</v>
      </c>
      <c r="R198" s="115">
        <f t="shared" si="39"/>
        <v>0</v>
      </c>
      <c r="S198" s="115"/>
      <c r="T198" s="115"/>
      <c r="U198" s="115"/>
      <c r="V198" s="115"/>
      <c r="W198" s="115"/>
      <c r="X198" s="149" t="e">
        <f t="shared" si="40"/>
        <v>#DIV/0!</v>
      </c>
      <c r="Y198" s="115">
        <f>E198+L198</f>
        <v>0</v>
      </c>
      <c r="Z198" s="187"/>
      <c r="AA198" s="53"/>
      <c r="AB198" s="53"/>
      <c r="AC198" s="53"/>
      <c r="AD198" s="53"/>
      <c r="AE198" s="79"/>
      <c r="AF198" s="79"/>
      <c r="AG198" s="79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  <c r="IU198" s="53"/>
      <c r="IV198" s="53"/>
      <c r="IW198" s="53"/>
      <c r="IX198" s="53"/>
      <c r="IY198" s="53"/>
      <c r="IZ198" s="53"/>
      <c r="JA198" s="53"/>
      <c r="JB198" s="53"/>
      <c r="JC198" s="53"/>
      <c r="JD198" s="53"/>
      <c r="JE198" s="53"/>
      <c r="JF198" s="53"/>
      <c r="JG198" s="53"/>
      <c r="JH198" s="53"/>
      <c r="JI198" s="53"/>
      <c r="JJ198" s="53"/>
      <c r="JK198" s="53"/>
      <c r="JL198" s="53"/>
      <c r="JM198" s="53"/>
      <c r="JN198" s="53"/>
      <c r="JO198" s="53"/>
      <c r="JP198" s="53"/>
      <c r="JQ198" s="53"/>
      <c r="JR198" s="53"/>
      <c r="JS198" s="53"/>
      <c r="JT198" s="53"/>
      <c r="JU198" s="53"/>
      <c r="JV198" s="53"/>
      <c r="JW198" s="53"/>
      <c r="JX198" s="53"/>
      <c r="JY198" s="53"/>
      <c r="JZ198" s="53"/>
      <c r="KA198" s="53"/>
      <c r="KB198" s="53"/>
      <c r="KC198" s="53"/>
      <c r="KD198" s="53"/>
      <c r="KE198" s="53"/>
      <c r="KF198" s="53"/>
      <c r="KG198" s="53"/>
      <c r="KH198" s="53"/>
      <c r="KI198" s="53"/>
      <c r="KJ198" s="53"/>
      <c r="KK198" s="53"/>
      <c r="KL198" s="53"/>
      <c r="KM198" s="53"/>
      <c r="KN198" s="53"/>
      <c r="KO198" s="53"/>
      <c r="KP198" s="53"/>
      <c r="KQ198" s="53"/>
      <c r="KR198" s="53"/>
      <c r="KS198" s="53"/>
      <c r="KT198" s="53"/>
      <c r="KU198" s="53"/>
      <c r="KV198" s="53"/>
      <c r="KW198" s="53"/>
      <c r="KX198" s="53"/>
      <c r="KY198" s="53"/>
      <c r="KZ198" s="53"/>
      <c r="LA198" s="53"/>
      <c r="LB198" s="53"/>
      <c r="LC198" s="53"/>
      <c r="LD198" s="53"/>
      <c r="LE198" s="53"/>
      <c r="LF198" s="53"/>
      <c r="LG198" s="53"/>
      <c r="LH198" s="53"/>
      <c r="LI198" s="53"/>
      <c r="LJ198" s="53"/>
      <c r="LK198" s="53"/>
      <c r="LL198" s="53"/>
      <c r="LM198" s="53"/>
      <c r="LN198" s="53"/>
      <c r="LO198" s="53"/>
      <c r="LP198" s="53"/>
      <c r="LQ198" s="53"/>
      <c r="LR198" s="53"/>
      <c r="LS198" s="53"/>
      <c r="LT198" s="53"/>
      <c r="LU198" s="53"/>
      <c r="LV198" s="53"/>
      <c r="LW198" s="53"/>
      <c r="LX198" s="53"/>
      <c r="LY198" s="53"/>
      <c r="LZ198" s="53"/>
      <c r="MA198" s="53"/>
      <c r="MB198" s="53"/>
      <c r="MC198" s="53"/>
      <c r="MD198" s="53"/>
      <c r="ME198" s="53"/>
      <c r="MF198" s="53"/>
      <c r="MG198" s="53"/>
      <c r="MH198" s="53"/>
      <c r="MI198" s="53"/>
      <c r="MJ198" s="53"/>
      <c r="MK198" s="53"/>
      <c r="ML198" s="53"/>
      <c r="MM198" s="53"/>
      <c r="MN198" s="53"/>
      <c r="MO198" s="53"/>
      <c r="MP198" s="53"/>
      <c r="MQ198" s="53"/>
      <c r="MR198" s="53"/>
      <c r="MS198" s="53"/>
      <c r="MT198" s="53"/>
      <c r="MU198" s="53"/>
      <c r="MV198" s="53"/>
      <c r="MW198" s="53"/>
      <c r="MX198" s="53"/>
      <c r="MY198" s="53"/>
      <c r="MZ198" s="53"/>
      <c r="NA198" s="53"/>
      <c r="NB198" s="53"/>
      <c r="NC198" s="53"/>
      <c r="ND198" s="53"/>
      <c r="NE198" s="53"/>
      <c r="NF198" s="53"/>
      <c r="NG198" s="53"/>
      <c r="NH198" s="53"/>
      <c r="NI198" s="53"/>
      <c r="NJ198" s="53"/>
      <c r="NK198" s="53"/>
      <c r="NL198" s="53"/>
      <c r="NM198" s="53"/>
      <c r="NN198" s="53"/>
      <c r="NO198" s="53"/>
      <c r="NP198" s="53"/>
      <c r="NQ198" s="53"/>
      <c r="NR198" s="53"/>
      <c r="NS198" s="53"/>
      <c r="NT198" s="53"/>
      <c r="NU198" s="53"/>
      <c r="NV198" s="53"/>
      <c r="NW198" s="53"/>
      <c r="NX198" s="53"/>
      <c r="NY198" s="53"/>
      <c r="NZ198" s="53"/>
      <c r="OA198" s="53"/>
      <c r="OB198" s="53"/>
      <c r="OC198" s="53"/>
      <c r="OD198" s="53"/>
      <c r="OE198" s="53"/>
      <c r="OF198" s="53"/>
      <c r="OG198" s="53"/>
      <c r="OH198" s="53"/>
      <c r="OI198" s="53"/>
      <c r="OJ198" s="53"/>
      <c r="OK198" s="53"/>
      <c r="OL198" s="53"/>
      <c r="OM198" s="53"/>
      <c r="ON198" s="53"/>
      <c r="OO198" s="53"/>
      <c r="OP198" s="53"/>
      <c r="OQ198" s="53"/>
      <c r="OR198" s="53"/>
      <c r="OS198" s="53"/>
      <c r="OT198" s="53"/>
      <c r="OU198" s="53"/>
      <c r="OV198" s="53"/>
      <c r="OW198" s="53"/>
      <c r="OX198" s="53"/>
      <c r="OY198" s="53"/>
      <c r="OZ198" s="53"/>
      <c r="PA198" s="53"/>
      <c r="PB198" s="53"/>
      <c r="PC198" s="53"/>
      <c r="PD198" s="53"/>
      <c r="PE198" s="53"/>
      <c r="PF198" s="53"/>
      <c r="PG198" s="53"/>
      <c r="PH198" s="53"/>
      <c r="PI198" s="53"/>
      <c r="PJ198" s="53"/>
      <c r="PK198" s="53"/>
      <c r="PL198" s="53"/>
      <c r="PM198" s="53"/>
      <c r="PN198" s="53"/>
      <c r="PO198" s="53"/>
      <c r="PP198" s="53"/>
      <c r="PQ198" s="53"/>
      <c r="PR198" s="53"/>
      <c r="PS198" s="53"/>
      <c r="PT198" s="53"/>
      <c r="PU198" s="53"/>
      <c r="PV198" s="53"/>
      <c r="PW198" s="53"/>
      <c r="PX198" s="53"/>
      <c r="PY198" s="53"/>
      <c r="PZ198" s="53"/>
      <c r="QA198" s="53"/>
      <c r="QB198" s="53"/>
      <c r="QC198" s="53"/>
      <c r="QD198" s="53"/>
      <c r="QE198" s="53"/>
      <c r="QF198" s="53"/>
      <c r="QG198" s="53"/>
      <c r="QH198" s="53"/>
      <c r="QI198" s="53"/>
      <c r="QJ198" s="53"/>
      <c r="QK198" s="53"/>
      <c r="QL198" s="53"/>
      <c r="QM198" s="53"/>
      <c r="QN198" s="53"/>
      <c r="QO198" s="53"/>
      <c r="QP198" s="53"/>
      <c r="QQ198" s="53"/>
      <c r="QR198" s="53"/>
      <c r="QS198" s="53"/>
      <c r="QT198" s="53"/>
      <c r="QU198" s="53"/>
      <c r="QV198" s="53"/>
      <c r="QW198" s="53"/>
      <c r="QX198" s="53"/>
      <c r="QY198" s="53"/>
      <c r="QZ198" s="53"/>
      <c r="RA198" s="53"/>
      <c r="RB198" s="53"/>
      <c r="RC198" s="53"/>
      <c r="RD198" s="53"/>
      <c r="RE198" s="53"/>
      <c r="RF198" s="53"/>
      <c r="RG198" s="53"/>
      <c r="RH198" s="53"/>
      <c r="RI198" s="53"/>
      <c r="RJ198" s="53"/>
      <c r="RK198" s="53"/>
      <c r="RL198" s="53"/>
      <c r="RM198" s="53"/>
      <c r="RN198" s="53"/>
      <c r="RO198" s="53"/>
      <c r="RP198" s="53"/>
      <c r="RQ198" s="53"/>
      <c r="RR198" s="53"/>
      <c r="RS198" s="53"/>
      <c r="RT198" s="53"/>
      <c r="RU198" s="53"/>
      <c r="RV198" s="53"/>
      <c r="RW198" s="53"/>
      <c r="RX198" s="53"/>
      <c r="RY198" s="53"/>
      <c r="RZ198" s="53"/>
      <c r="SA198" s="53"/>
      <c r="SB198" s="53"/>
      <c r="SC198" s="53"/>
      <c r="SD198" s="53"/>
      <c r="SE198" s="53"/>
      <c r="SF198" s="53"/>
      <c r="SG198" s="53"/>
      <c r="SH198" s="53"/>
      <c r="SI198" s="53"/>
      <c r="SJ198" s="53"/>
      <c r="SK198" s="53"/>
      <c r="SL198" s="53"/>
      <c r="SM198" s="53"/>
      <c r="SN198" s="53"/>
      <c r="SO198" s="53"/>
      <c r="SP198" s="53"/>
      <c r="SQ198" s="53"/>
      <c r="SR198" s="53"/>
      <c r="SS198" s="53"/>
      <c r="ST198" s="53"/>
      <c r="SU198" s="53"/>
      <c r="SV198" s="53"/>
      <c r="SW198" s="53"/>
      <c r="SX198" s="53"/>
      <c r="SY198" s="53"/>
      <c r="SZ198" s="53"/>
      <c r="TA198" s="53"/>
      <c r="TB198" s="53"/>
      <c r="TC198" s="53"/>
      <c r="TD198" s="53"/>
      <c r="TE198" s="53"/>
      <c r="TF198" s="53"/>
      <c r="TG198" s="53"/>
      <c r="TH198" s="53"/>
      <c r="TI198" s="53"/>
      <c r="TJ198" s="53"/>
      <c r="TK198" s="53"/>
      <c r="TL198" s="53"/>
      <c r="TM198" s="53"/>
      <c r="TN198" s="53"/>
      <c r="TO198" s="53"/>
      <c r="TP198" s="53"/>
      <c r="TQ198" s="53"/>
      <c r="TR198" s="53"/>
      <c r="TS198" s="53"/>
      <c r="TT198" s="53"/>
      <c r="TU198" s="53"/>
      <c r="TV198" s="53"/>
      <c r="TW198" s="53"/>
      <c r="TX198" s="53"/>
      <c r="TY198" s="53"/>
      <c r="TZ198" s="53"/>
      <c r="UA198" s="53"/>
      <c r="UB198" s="53"/>
      <c r="UC198" s="53"/>
      <c r="UD198" s="53"/>
      <c r="UE198" s="53"/>
      <c r="UF198" s="53"/>
      <c r="UG198" s="53"/>
      <c r="UH198" s="53"/>
      <c r="UI198" s="53"/>
      <c r="UJ198" s="53"/>
      <c r="UK198" s="53"/>
      <c r="UL198" s="53"/>
      <c r="UM198" s="53"/>
      <c r="UN198" s="53"/>
      <c r="UO198" s="53"/>
      <c r="UP198" s="53"/>
      <c r="UQ198" s="53"/>
      <c r="UR198" s="53"/>
      <c r="US198" s="53"/>
      <c r="UT198" s="53"/>
      <c r="UU198" s="53"/>
      <c r="UV198" s="53"/>
      <c r="UW198" s="53"/>
      <c r="UX198" s="53"/>
      <c r="UY198" s="53"/>
      <c r="UZ198" s="53"/>
      <c r="VA198" s="53"/>
      <c r="VB198" s="53"/>
      <c r="VC198" s="53"/>
      <c r="VD198" s="53"/>
      <c r="VE198" s="53"/>
      <c r="VF198" s="53"/>
      <c r="VG198" s="53"/>
      <c r="VH198" s="53"/>
      <c r="VI198" s="53"/>
      <c r="VJ198" s="53"/>
      <c r="VK198" s="53"/>
      <c r="VL198" s="53"/>
    </row>
    <row r="199" spans="1:584" s="47" customFormat="1" ht="20.25" hidden="1" customHeight="1" x14ac:dyDescent="0.25">
      <c r="A199" s="45"/>
      <c r="B199" s="91"/>
      <c r="C199" s="91"/>
      <c r="D199" s="48" t="s">
        <v>342</v>
      </c>
      <c r="E199" s="115"/>
      <c r="F199" s="115"/>
      <c r="G199" s="115"/>
      <c r="H199" s="115"/>
      <c r="I199" s="115"/>
      <c r="J199" s="115"/>
      <c r="K199" s="135" t="e">
        <f t="shared" si="38"/>
        <v>#DIV/0!</v>
      </c>
      <c r="L199" s="115">
        <f t="shared" si="42"/>
        <v>0</v>
      </c>
      <c r="M199" s="115">
        <f>3609965-3609965</f>
        <v>0</v>
      </c>
      <c r="N199" s="115"/>
      <c r="O199" s="115"/>
      <c r="P199" s="115"/>
      <c r="Q199" s="115">
        <f>3609965-3609965</f>
        <v>0</v>
      </c>
      <c r="R199" s="115">
        <f t="shared" si="39"/>
        <v>0</v>
      </c>
      <c r="S199" s="115"/>
      <c r="T199" s="115"/>
      <c r="U199" s="115"/>
      <c r="V199" s="115"/>
      <c r="W199" s="115"/>
      <c r="X199" s="149" t="e">
        <f t="shared" si="40"/>
        <v>#DIV/0!</v>
      </c>
      <c r="Y199" s="115">
        <f>E199+L199</f>
        <v>0</v>
      </c>
      <c r="Z199" s="187"/>
      <c r="AA199" s="53"/>
      <c r="AB199" s="53"/>
      <c r="AC199" s="53"/>
      <c r="AD199" s="53"/>
      <c r="AE199" s="79"/>
      <c r="AF199" s="79"/>
      <c r="AG199" s="79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  <c r="IQ199" s="53"/>
      <c r="IR199" s="53"/>
      <c r="IS199" s="53"/>
      <c r="IT199" s="53"/>
      <c r="IU199" s="53"/>
      <c r="IV199" s="53"/>
      <c r="IW199" s="53"/>
      <c r="IX199" s="53"/>
      <c r="IY199" s="53"/>
      <c r="IZ199" s="53"/>
      <c r="JA199" s="53"/>
      <c r="JB199" s="53"/>
      <c r="JC199" s="53"/>
      <c r="JD199" s="53"/>
      <c r="JE199" s="53"/>
      <c r="JF199" s="53"/>
      <c r="JG199" s="53"/>
      <c r="JH199" s="53"/>
      <c r="JI199" s="53"/>
      <c r="JJ199" s="53"/>
      <c r="JK199" s="53"/>
      <c r="JL199" s="53"/>
      <c r="JM199" s="53"/>
      <c r="JN199" s="53"/>
      <c r="JO199" s="53"/>
      <c r="JP199" s="53"/>
      <c r="JQ199" s="53"/>
      <c r="JR199" s="53"/>
      <c r="JS199" s="53"/>
      <c r="JT199" s="53"/>
      <c r="JU199" s="53"/>
      <c r="JV199" s="53"/>
      <c r="JW199" s="53"/>
      <c r="JX199" s="53"/>
      <c r="JY199" s="53"/>
      <c r="JZ199" s="53"/>
      <c r="KA199" s="53"/>
      <c r="KB199" s="53"/>
      <c r="KC199" s="53"/>
      <c r="KD199" s="53"/>
      <c r="KE199" s="53"/>
      <c r="KF199" s="53"/>
      <c r="KG199" s="53"/>
      <c r="KH199" s="53"/>
      <c r="KI199" s="53"/>
      <c r="KJ199" s="53"/>
      <c r="KK199" s="53"/>
      <c r="KL199" s="53"/>
      <c r="KM199" s="53"/>
      <c r="KN199" s="53"/>
      <c r="KO199" s="53"/>
      <c r="KP199" s="53"/>
      <c r="KQ199" s="53"/>
      <c r="KR199" s="53"/>
      <c r="KS199" s="53"/>
      <c r="KT199" s="53"/>
      <c r="KU199" s="53"/>
      <c r="KV199" s="53"/>
      <c r="KW199" s="53"/>
      <c r="KX199" s="53"/>
      <c r="KY199" s="53"/>
      <c r="KZ199" s="53"/>
      <c r="LA199" s="53"/>
      <c r="LB199" s="53"/>
      <c r="LC199" s="53"/>
      <c r="LD199" s="53"/>
      <c r="LE199" s="53"/>
      <c r="LF199" s="53"/>
      <c r="LG199" s="53"/>
      <c r="LH199" s="53"/>
      <c r="LI199" s="53"/>
      <c r="LJ199" s="53"/>
      <c r="LK199" s="53"/>
      <c r="LL199" s="53"/>
      <c r="LM199" s="53"/>
      <c r="LN199" s="53"/>
      <c r="LO199" s="53"/>
      <c r="LP199" s="53"/>
      <c r="LQ199" s="53"/>
      <c r="LR199" s="53"/>
      <c r="LS199" s="53"/>
      <c r="LT199" s="53"/>
      <c r="LU199" s="53"/>
      <c r="LV199" s="53"/>
      <c r="LW199" s="53"/>
      <c r="LX199" s="53"/>
      <c r="LY199" s="53"/>
      <c r="LZ199" s="53"/>
      <c r="MA199" s="53"/>
      <c r="MB199" s="53"/>
      <c r="MC199" s="53"/>
      <c r="MD199" s="53"/>
      <c r="ME199" s="53"/>
      <c r="MF199" s="53"/>
      <c r="MG199" s="53"/>
      <c r="MH199" s="53"/>
      <c r="MI199" s="53"/>
      <c r="MJ199" s="53"/>
      <c r="MK199" s="53"/>
      <c r="ML199" s="53"/>
      <c r="MM199" s="53"/>
      <c r="MN199" s="53"/>
      <c r="MO199" s="53"/>
      <c r="MP199" s="53"/>
      <c r="MQ199" s="53"/>
      <c r="MR199" s="53"/>
      <c r="MS199" s="53"/>
      <c r="MT199" s="53"/>
      <c r="MU199" s="53"/>
      <c r="MV199" s="53"/>
      <c r="MW199" s="53"/>
      <c r="MX199" s="53"/>
      <c r="MY199" s="53"/>
      <c r="MZ199" s="53"/>
      <c r="NA199" s="53"/>
      <c r="NB199" s="53"/>
      <c r="NC199" s="53"/>
      <c r="ND199" s="53"/>
      <c r="NE199" s="53"/>
      <c r="NF199" s="53"/>
      <c r="NG199" s="53"/>
      <c r="NH199" s="53"/>
      <c r="NI199" s="53"/>
      <c r="NJ199" s="53"/>
      <c r="NK199" s="53"/>
      <c r="NL199" s="53"/>
      <c r="NM199" s="53"/>
      <c r="NN199" s="53"/>
      <c r="NO199" s="53"/>
      <c r="NP199" s="53"/>
      <c r="NQ199" s="53"/>
      <c r="NR199" s="53"/>
      <c r="NS199" s="53"/>
      <c r="NT199" s="53"/>
      <c r="NU199" s="53"/>
      <c r="NV199" s="53"/>
      <c r="NW199" s="53"/>
      <c r="NX199" s="53"/>
      <c r="NY199" s="53"/>
      <c r="NZ199" s="53"/>
      <c r="OA199" s="53"/>
      <c r="OB199" s="53"/>
      <c r="OC199" s="53"/>
      <c r="OD199" s="53"/>
      <c r="OE199" s="53"/>
      <c r="OF199" s="53"/>
      <c r="OG199" s="53"/>
      <c r="OH199" s="53"/>
      <c r="OI199" s="53"/>
      <c r="OJ199" s="53"/>
      <c r="OK199" s="53"/>
      <c r="OL199" s="53"/>
      <c r="OM199" s="53"/>
      <c r="ON199" s="53"/>
      <c r="OO199" s="53"/>
      <c r="OP199" s="53"/>
      <c r="OQ199" s="53"/>
      <c r="OR199" s="53"/>
      <c r="OS199" s="53"/>
      <c r="OT199" s="53"/>
      <c r="OU199" s="53"/>
      <c r="OV199" s="53"/>
      <c r="OW199" s="53"/>
      <c r="OX199" s="53"/>
      <c r="OY199" s="53"/>
      <c r="OZ199" s="53"/>
      <c r="PA199" s="53"/>
      <c r="PB199" s="53"/>
      <c r="PC199" s="53"/>
      <c r="PD199" s="53"/>
      <c r="PE199" s="53"/>
      <c r="PF199" s="53"/>
      <c r="PG199" s="53"/>
      <c r="PH199" s="53"/>
      <c r="PI199" s="53"/>
      <c r="PJ199" s="53"/>
      <c r="PK199" s="53"/>
      <c r="PL199" s="53"/>
      <c r="PM199" s="53"/>
      <c r="PN199" s="53"/>
      <c r="PO199" s="53"/>
      <c r="PP199" s="53"/>
      <c r="PQ199" s="53"/>
      <c r="PR199" s="53"/>
      <c r="PS199" s="53"/>
      <c r="PT199" s="53"/>
      <c r="PU199" s="53"/>
      <c r="PV199" s="53"/>
      <c r="PW199" s="53"/>
      <c r="PX199" s="53"/>
      <c r="PY199" s="53"/>
      <c r="PZ199" s="53"/>
      <c r="QA199" s="53"/>
      <c r="QB199" s="53"/>
      <c r="QC199" s="53"/>
      <c r="QD199" s="53"/>
      <c r="QE199" s="53"/>
      <c r="QF199" s="53"/>
      <c r="QG199" s="53"/>
      <c r="QH199" s="53"/>
      <c r="QI199" s="53"/>
      <c r="QJ199" s="53"/>
      <c r="QK199" s="53"/>
      <c r="QL199" s="53"/>
      <c r="QM199" s="53"/>
      <c r="QN199" s="53"/>
      <c r="QO199" s="53"/>
      <c r="QP199" s="53"/>
      <c r="QQ199" s="53"/>
      <c r="QR199" s="53"/>
      <c r="QS199" s="53"/>
      <c r="QT199" s="53"/>
      <c r="QU199" s="53"/>
      <c r="QV199" s="53"/>
      <c r="QW199" s="53"/>
      <c r="QX199" s="53"/>
      <c r="QY199" s="53"/>
      <c r="QZ199" s="53"/>
      <c r="RA199" s="53"/>
      <c r="RB199" s="53"/>
      <c r="RC199" s="53"/>
      <c r="RD199" s="53"/>
      <c r="RE199" s="53"/>
      <c r="RF199" s="53"/>
      <c r="RG199" s="53"/>
      <c r="RH199" s="53"/>
      <c r="RI199" s="53"/>
      <c r="RJ199" s="53"/>
      <c r="RK199" s="53"/>
      <c r="RL199" s="53"/>
      <c r="RM199" s="53"/>
      <c r="RN199" s="53"/>
      <c r="RO199" s="53"/>
      <c r="RP199" s="53"/>
      <c r="RQ199" s="53"/>
      <c r="RR199" s="53"/>
      <c r="RS199" s="53"/>
      <c r="RT199" s="53"/>
      <c r="RU199" s="53"/>
      <c r="RV199" s="53"/>
      <c r="RW199" s="53"/>
      <c r="RX199" s="53"/>
      <c r="RY199" s="53"/>
      <c r="RZ199" s="53"/>
      <c r="SA199" s="53"/>
      <c r="SB199" s="53"/>
      <c r="SC199" s="53"/>
      <c r="SD199" s="53"/>
      <c r="SE199" s="53"/>
      <c r="SF199" s="53"/>
      <c r="SG199" s="53"/>
      <c r="SH199" s="53"/>
      <c r="SI199" s="53"/>
      <c r="SJ199" s="53"/>
      <c r="SK199" s="53"/>
      <c r="SL199" s="53"/>
      <c r="SM199" s="53"/>
      <c r="SN199" s="53"/>
      <c r="SO199" s="53"/>
      <c r="SP199" s="53"/>
      <c r="SQ199" s="53"/>
      <c r="SR199" s="53"/>
      <c r="SS199" s="53"/>
      <c r="ST199" s="53"/>
      <c r="SU199" s="53"/>
      <c r="SV199" s="53"/>
      <c r="SW199" s="53"/>
      <c r="SX199" s="53"/>
      <c r="SY199" s="53"/>
      <c r="SZ199" s="53"/>
      <c r="TA199" s="53"/>
      <c r="TB199" s="53"/>
      <c r="TC199" s="53"/>
      <c r="TD199" s="53"/>
      <c r="TE199" s="53"/>
      <c r="TF199" s="53"/>
      <c r="TG199" s="53"/>
      <c r="TH199" s="53"/>
      <c r="TI199" s="53"/>
      <c r="TJ199" s="53"/>
      <c r="TK199" s="53"/>
      <c r="TL199" s="53"/>
      <c r="TM199" s="53"/>
      <c r="TN199" s="53"/>
      <c r="TO199" s="53"/>
      <c r="TP199" s="53"/>
      <c r="TQ199" s="53"/>
      <c r="TR199" s="53"/>
      <c r="TS199" s="53"/>
      <c r="TT199" s="53"/>
      <c r="TU199" s="53"/>
      <c r="TV199" s="53"/>
      <c r="TW199" s="53"/>
      <c r="TX199" s="53"/>
      <c r="TY199" s="53"/>
      <c r="TZ199" s="53"/>
      <c r="UA199" s="53"/>
      <c r="UB199" s="53"/>
      <c r="UC199" s="53"/>
      <c r="UD199" s="53"/>
      <c r="UE199" s="53"/>
      <c r="UF199" s="53"/>
      <c r="UG199" s="53"/>
      <c r="UH199" s="53"/>
      <c r="UI199" s="53"/>
      <c r="UJ199" s="53"/>
      <c r="UK199" s="53"/>
      <c r="UL199" s="53"/>
      <c r="UM199" s="53"/>
      <c r="UN199" s="53"/>
      <c r="UO199" s="53"/>
      <c r="UP199" s="53"/>
      <c r="UQ199" s="53"/>
      <c r="UR199" s="53"/>
      <c r="US199" s="53"/>
      <c r="UT199" s="53"/>
      <c r="UU199" s="53"/>
      <c r="UV199" s="53"/>
      <c r="UW199" s="53"/>
      <c r="UX199" s="53"/>
      <c r="UY199" s="53"/>
      <c r="UZ199" s="53"/>
      <c r="VA199" s="53"/>
      <c r="VB199" s="53"/>
      <c r="VC199" s="53"/>
      <c r="VD199" s="53"/>
      <c r="VE199" s="53"/>
      <c r="VF199" s="53"/>
      <c r="VG199" s="53"/>
      <c r="VH199" s="53"/>
      <c r="VI199" s="53"/>
      <c r="VJ199" s="53"/>
      <c r="VK199" s="53"/>
      <c r="VL199" s="53"/>
    </row>
    <row r="200" spans="1:584" s="64" customFormat="1" ht="22.5" customHeight="1" x14ac:dyDescent="0.25">
      <c r="A200" s="62" t="s">
        <v>43</v>
      </c>
      <c r="B200" s="97"/>
      <c r="C200" s="97"/>
      <c r="D200" s="63" t="s">
        <v>596</v>
      </c>
      <c r="E200" s="116">
        <f>E201</f>
        <v>58093000</v>
      </c>
      <c r="F200" s="116">
        <f t="shared" ref="F200:Y200" si="51">F201</f>
        <v>42046716</v>
      </c>
      <c r="G200" s="116">
        <f t="shared" si="51"/>
        <v>2612245</v>
      </c>
      <c r="H200" s="116">
        <f>H201</f>
        <v>57387936.159999996</v>
      </c>
      <c r="I200" s="116">
        <f t="shared" si="51"/>
        <v>42008711.729999997</v>
      </c>
      <c r="J200" s="116">
        <f t="shared" si="51"/>
        <v>2456523.1999999997</v>
      </c>
      <c r="K200" s="135">
        <f t="shared" si="38"/>
        <v>98.786318764739292</v>
      </c>
      <c r="L200" s="116">
        <f t="shared" si="51"/>
        <v>4342600</v>
      </c>
      <c r="M200" s="116">
        <f t="shared" si="51"/>
        <v>1808020</v>
      </c>
      <c r="N200" s="116">
        <f t="shared" si="51"/>
        <v>2529860</v>
      </c>
      <c r="O200" s="116">
        <f t="shared" si="51"/>
        <v>2048504</v>
      </c>
      <c r="P200" s="116">
        <f t="shared" si="51"/>
        <v>0</v>
      </c>
      <c r="Q200" s="116">
        <f t="shared" si="51"/>
        <v>1812740</v>
      </c>
      <c r="R200" s="116">
        <f t="shared" si="51"/>
        <v>3780918.94</v>
      </c>
      <c r="S200" s="116">
        <f t="shared" si="51"/>
        <v>1469527.61</v>
      </c>
      <c r="T200" s="116">
        <f t="shared" si="51"/>
        <v>2070753.0999999999</v>
      </c>
      <c r="U200" s="116">
        <f t="shared" si="51"/>
        <v>1618568.91</v>
      </c>
      <c r="V200" s="116">
        <f t="shared" si="51"/>
        <v>0</v>
      </c>
      <c r="W200" s="116">
        <f t="shared" si="51"/>
        <v>1710165.84</v>
      </c>
      <c r="X200" s="149">
        <f t="shared" si="40"/>
        <v>87.065788698015012</v>
      </c>
      <c r="Y200" s="116">
        <f t="shared" si="51"/>
        <v>61168855.100000001</v>
      </c>
      <c r="Z200" s="187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79"/>
      <c r="FA200" s="79"/>
      <c r="FB200" s="79"/>
      <c r="FC200" s="79"/>
      <c r="FD200" s="79"/>
      <c r="FE200" s="79"/>
      <c r="FF200" s="79"/>
      <c r="FG200" s="79"/>
      <c r="FH200" s="79"/>
      <c r="FI200" s="79"/>
      <c r="FJ200" s="79"/>
      <c r="FK200" s="79"/>
      <c r="FL200" s="79"/>
      <c r="FM200" s="79"/>
      <c r="FN200" s="79"/>
      <c r="FO200" s="79"/>
      <c r="FP200" s="79"/>
      <c r="FQ200" s="79"/>
      <c r="FR200" s="79"/>
      <c r="FS200" s="79"/>
      <c r="FT200" s="79"/>
      <c r="FU200" s="79"/>
      <c r="FV200" s="79"/>
      <c r="FW200" s="79"/>
      <c r="FX200" s="79"/>
      <c r="FY200" s="79"/>
      <c r="FZ200" s="79"/>
      <c r="GA200" s="79"/>
      <c r="GB200" s="79"/>
      <c r="GC200" s="79"/>
      <c r="GD200" s="79"/>
      <c r="GE200" s="79"/>
      <c r="GF200" s="79"/>
      <c r="GG200" s="79"/>
      <c r="GH200" s="79"/>
      <c r="GI200" s="79"/>
      <c r="GJ200" s="79"/>
      <c r="GK200" s="79"/>
      <c r="GL200" s="79"/>
      <c r="GM200" s="79"/>
      <c r="GN200" s="79"/>
      <c r="GO200" s="79"/>
      <c r="GP200" s="79"/>
      <c r="GQ200" s="79"/>
      <c r="GR200" s="79"/>
      <c r="GS200" s="79"/>
      <c r="GT200" s="79"/>
      <c r="GU200" s="79"/>
      <c r="GV200" s="79"/>
      <c r="GW200" s="79"/>
      <c r="GX200" s="79"/>
      <c r="GY200" s="79"/>
      <c r="GZ200" s="79"/>
      <c r="HA200" s="79"/>
      <c r="HB200" s="79"/>
      <c r="HC200" s="79"/>
      <c r="HD200" s="79"/>
      <c r="HE200" s="79"/>
      <c r="HF200" s="79"/>
      <c r="HG200" s="79"/>
      <c r="HH200" s="79"/>
      <c r="HI200" s="79"/>
      <c r="HJ200" s="79"/>
      <c r="HK200" s="79"/>
      <c r="HL200" s="79"/>
      <c r="HM200" s="79"/>
      <c r="HN200" s="79"/>
      <c r="HO200" s="79"/>
      <c r="HP200" s="79"/>
      <c r="HQ200" s="79"/>
      <c r="HR200" s="79"/>
      <c r="HS200" s="79"/>
      <c r="HT200" s="79"/>
      <c r="HU200" s="79"/>
      <c r="HV200" s="79"/>
      <c r="HW200" s="79"/>
      <c r="HX200" s="79"/>
      <c r="HY200" s="79"/>
      <c r="HZ200" s="79"/>
      <c r="IA200" s="79"/>
      <c r="IB200" s="79"/>
      <c r="IC200" s="79"/>
      <c r="ID200" s="79"/>
      <c r="IE200" s="79"/>
      <c r="IF200" s="79"/>
      <c r="IG200" s="79"/>
      <c r="IH200" s="79"/>
      <c r="II200" s="79"/>
      <c r="IJ200" s="79"/>
      <c r="IK200" s="79"/>
      <c r="IL200" s="79"/>
      <c r="IM200" s="79"/>
      <c r="IN200" s="79"/>
      <c r="IO200" s="79"/>
      <c r="IP200" s="79"/>
      <c r="IQ200" s="79"/>
      <c r="IR200" s="79"/>
      <c r="IS200" s="79"/>
      <c r="IT200" s="79"/>
      <c r="IU200" s="79"/>
      <c r="IV200" s="79"/>
      <c r="IW200" s="79"/>
      <c r="IX200" s="79"/>
      <c r="IY200" s="79"/>
      <c r="IZ200" s="79"/>
      <c r="JA200" s="79"/>
      <c r="JB200" s="79"/>
      <c r="JC200" s="79"/>
      <c r="JD200" s="79"/>
      <c r="JE200" s="79"/>
      <c r="JF200" s="79"/>
      <c r="JG200" s="79"/>
      <c r="JH200" s="79"/>
      <c r="JI200" s="79"/>
      <c r="JJ200" s="79"/>
      <c r="JK200" s="79"/>
      <c r="JL200" s="79"/>
      <c r="JM200" s="79"/>
      <c r="JN200" s="79"/>
      <c r="JO200" s="79"/>
      <c r="JP200" s="79"/>
      <c r="JQ200" s="79"/>
      <c r="JR200" s="79"/>
      <c r="JS200" s="79"/>
      <c r="JT200" s="79"/>
      <c r="JU200" s="79"/>
      <c r="JV200" s="79"/>
      <c r="JW200" s="79"/>
      <c r="JX200" s="79"/>
      <c r="JY200" s="79"/>
      <c r="JZ200" s="79"/>
      <c r="KA200" s="79"/>
      <c r="KB200" s="79"/>
      <c r="KC200" s="79"/>
      <c r="KD200" s="79"/>
      <c r="KE200" s="79"/>
      <c r="KF200" s="79"/>
      <c r="KG200" s="79"/>
      <c r="KH200" s="79"/>
      <c r="KI200" s="79"/>
      <c r="KJ200" s="79"/>
      <c r="KK200" s="79"/>
      <c r="KL200" s="79"/>
      <c r="KM200" s="79"/>
      <c r="KN200" s="79"/>
      <c r="KO200" s="79"/>
      <c r="KP200" s="79"/>
      <c r="KQ200" s="79"/>
      <c r="KR200" s="79"/>
      <c r="KS200" s="79"/>
      <c r="KT200" s="79"/>
      <c r="KU200" s="79"/>
      <c r="KV200" s="79"/>
      <c r="KW200" s="79"/>
      <c r="KX200" s="79"/>
      <c r="KY200" s="79"/>
      <c r="KZ200" s="79"/>
      <c r="LA200" s="79"/>
      <c r="LB200" s="79"/>
      <c r="LC200" s="79"/>
      <c r="LD200" s="79"/>
      <c r="LE200" s="79"/>
      <c r="LF200" s="79"/>
      <c r="LG200" s="79"/>
      <c r="LH200" s="79"/>
      <c r="LI200" s="79"/>
      <c r="LJ200" s="79"/>
      <c r="LK200" s="79"/>
      <c r="LL200" s="79"/>
      <c r="LM200" s="79"/>
      <c r="LN200" s="79"/>
      <c r="LO200" s="79"/>
      <c r="LP200" s="79"/>
      <c r="LQ200" s="79"/>
      <c r="LR200" s="79"/>
      <c r="LS200" s="79"/>
      <c r="LT200" s="79"/>
      <c r="LU200" s="79"/>
      <c r="LV200" s="79"/>
      <c r="LW200" s="79"/>
      <c r="LX200" s="79"/>
      <c r="LY200" s="79"/>
      <c r="LZ200" s="79"/>
      <c r="MA200" s="79"/>
      <c r="MB200" s="79"/>
      <c r="MC200" s="79"/>
      <c r="MD200" s="79"/>
      <c r="ME200" s="79"/>
      <c r="MF200" s="79"/>
      <c r="MG200" s="79"/>
      <c r="MH200" s="79"/>
      <c r="MI200" s="79"/>
      <c r="MJ200" s="79"/>
      <c r="MK200" s="79"/>
      <c r="ML200" s="79"/>
      <c r="MM200" s="79"/>
      <c r="MN200" s="79"/>
      <c r="MO200" s="79"/>
      <c r="MP200" s="79"/>
      <c r="MQ200" s="79"/>
      <c r="MR200" s="79"/>
      <c r="MS200" s="79"/>
      <c r="MT200" s="79"/>
      <c r="MU200" s="79"/>
      <c r="MV200" s="79"/>
      <c r="MW200" s="79"/>
      <c r="MX200" s="79"/>
      <c r="MY200" s="79"/>
      <c r="MZ200" s="79"/>
      <c r="NA200" s="79"/>
      <c r="NB200" s="79"/>
      <c r="NC200" s="79"/>
      <c r="ND200" s="79"/>
      <c r="NE200" s="79"/>
      <c r="NF200" s="79"/>
      <c r="NG200" s="79"/>
      <c r="NH200" s="79"/>
      <c r="NI200" s="79"/>
      <c r="NJ200" s="79"/>
      <c r="NK200" s="79"/>
      <c r="NL200" s="79"/>
      <c r="NM200" s="79"/>
      <c r="NN200" s="79"/>
      <c r="NO200" s="79"/>
      <c r="NP200" s="79"/>
      <c r="NQ200" s="79"/>
      <c r="NR200" s="79"/>
      <c r="NS200" s="79"/>
      <c r="NT200" s="79"/>
      <c r="NU200" s="79"/>
      <c r="NV200" s="79"/>
      <c r="NW200" s="79"/>
      <c r="NX200" s="79"/>
      <c r="NY200" s="79"/>
      <c r="NZ200" s="79"/>
      <c r="OA200" s="79"/>
      <c r="OB200" s="79"/>
      <c r="OC200" s="79"/>
      <c r="OD200" s="79"/>
      <c r="OE200" s="79"/>
      <c r="OF200" s="79"/>
      <c r="OG200" s="79"/>
      <c r="OH200" s="79"/>
      <c r="OI200" s="79"/>
      <c r="OJ200" s="79"/>
      <c r="OK200" s="79"/>
      <c r="OL200" s="79"/>
      <c r="OM200" s="79"/>
      <c r="ON200" s="79"/>
      <c r="OO200" s="79"/>
      <c r="OP200" s="79"/>
      <c r="OQ200" s="79"/>
      <c r="OR200" s="79"/>
      <c r="OS200" s="79"/>
      <c r="OT200" s="79"/>
      <c r="OU200" s="79"/>
      <c r="OV200" s="79"/>
      <c r="OW200" s="79"/>
      <c r="OX200" s="79"/>
      <c r="OY200" s="79"/>
      <c r="OZ200" s="79"/>
      <c r="PA200" s="79"/>
      <c r="PB200" s="79"/>
      <c r="PC200" s="79"/>
      <c r="PD200" s="79"/>
      <c r="PE200" s="79"/>
      <c r="PF200" s="79"/>
      <c r="PG200" s="79"/>
      <c r="PH200" s="79"/>
      <c r="PI200" s="79"/>
      <c r="PJ200" s="79"/>
      <c r="PK200" s="79"/>
      <c r="PL200" s="79"/>
      <c r="PM200" s="79"/>
      <c r="PN200" s="79"/>
      <c r="PO200" s="79"/>
      <c r="PP200" s="79"/>
      <c r="PQ200" s="79"/>
      <c r="PR200" s="79"/>
      <c r="PS200" s="79"/>
      <c r="PT200" s="79"/>
      <c r="PU200" s="79"/>
      <c r="PV200" s="79"/>
      <c r="PW200" s="79"/>
      <c r="PX200" s="79"/>
      <c r="PY200" s="79"/>
      <c r="PZ200" s="79"/>
      <c r="QA200" s="79"/>
      <c r="QB200" s="79"/>
      <c r="QC200" s="79"/>
      <c r="QD200" s="79"/>
      <c r="QE200" s="79"/>
      <c r="QF200" s="79"/>
      <c r="QG200" s="79"/>
      <c r="QH200" s="79"/>
      <c r="QI200" s="79"/>
      <c r="QJ200" s="79"/>
      <c r="QK200" s="79"/>
      <c r="QL200" s="79"/>
      <c r="QM200" s="79"/>
      <c r="QN200" s="79"/>
      <c r="QO200" s="79"/>
      <c r="QP200" s="79"/>
      <c r="QQ200" s="79"/>
      <c r="QR200" s="79"/>
      <c r="QS200" s="79"/>
      <c r="QT200" s="79"/>
      <c r="QU200" s="79"/>
      <c r="QV200" s="79"/>
      <c r="QW200" s="79"/>
      <c r="QX200" s="79"/>
      <c r="QY200" s="79"/>
      <c r="QZ200" s="79"/>
      <c r="RA200" s="79"/>
      <c r="RB200" s="79"/>
      <c r="RC200" s="79"/>
      <c r="RD200" s="79"/>
      <c r="RE200" s="79"/>
      <c r="RF200" s="79"/>
      <c r="RG200" s="79"/>
      <c r="RH200" s="79"/>
      <c r="RI200" s="79"/>
      <c r="RJ200" s="79"/>
      <c r="RK200" s="79"/>
      <c r="RL200" s="79"/>
      <c r="RM200" s="79"/>
      <c r="RN200" s="79"/>
      <c r="RO200" s="79"/>
      <c r="RP200" s="79"/>
      <c r="RQ200" s="79"/>
      <c r="RR200" s="79"/>
      <c r="RS200" s="79"/>
      <c r="RT200" s="79"/>
      <c r="RU200" s="79"/>
      <c r="RV200" s="79"/>
      <c r="RW200" s="79"/>
      <c r="RX200" s="79"/>
      <c r="RY200" s="79"/>
      <c r="RZ200" s="79"/>
      <c r="SA200" s="79"/>
      <c r="SB200" s="79"/>
      <c r="SC200" s="79"/>
      <c r="SD200" s="79"/>
      <c r="SE200" s="79"/>
      <c r="SF200" s="79"/>
      <c r="SG200" s="79"/>
      <c r="SH200" s="79"/>
      <c r="SI200" s="79"/>
      <c r="SJ200" s="79"/>
      <c r="SK200" s="79"/>
      <c r="SL200" s="79"/>
      <c r="SM200" s="79"/>
      <c r="SN200" s="79"/>
      <c r="SO200" s="79"/>
      <c r="SP200" s="79"/>
      <c r="SQ200" s="79"/>
      <c r="SR200" s="79"/>
      <c r="SS200" s="79"/>
      <c r="ST200" s="79"/>
      <c r="SU200" s="79"/>
      <c r="SV200" s="79"/>
      <c r="SW200" s="79"/>
      <c r="SX200" s="79"/>
      <c r="SY200" s="79"/>
      <c r="SZ200" s="79"/>
      <c r="TA200" s="79"/>
      <c r="TB200" s="79"/>
      <c r="TC200" s="79"/>
      <c r="TD200" s="79"/>
      <c r="TE200" s="79"/>
      <c r="TF200" s="79"/>
      <c r="TG200" s="79"/>
      <c r="TH200" s="79"/>
      <c r="TI200" s="79"/>
      <c r="TJ200" s="79"/>
      <c r="TK200" s="79"/>
      <c r="TL200" s="79"/>
      <c r="TM200" s="79"/>
      <c r="TN200" s="79"/>
      <c r="TO200" s="79"/>
      <c r="TP200" s="79"/>
      <c r="TQ200" s="79"/>
      <c r="TR200" s="79"/>
      <c r="TS200" s="79"/>
      <c r="TT200" s="79"/>
      <c r="TU200" s="79"/>
      <c r="TV200" s="79"/>
      <c r="TW200" s="79"/>
      <c r="TX200" s="79"/>
      <c r="TY200" s="79"/>
      <c r="TZ200" s="79"/>
      <c r="UA200" s="79"/>
      <c r="UB200" s="79"/>
      <c r="UC200" s="79"/>
      <c r="UD200" s="79"/>
      <c r="UE200" s="79"/>
      <c r="UF200" s="79"/>
      <c r="UG200" s="79"/>
      <c r="UH200" s="79"/>
      <c r="UI200" s="79"/>
      <c r="UJ200" s="79"/>
      <c r="UK200" s="79"/>
      <c r="UL200" s="79"/>
      <c r="UM200" s="79"/>
      <c r="UN200" s="79"/>
      <c r="UO200" s="79"/>
      <c r="UP200" s="79"/>
      <c r="UQ200" s="79"/>
      <c r="UR200" s="79"/>
      <c r="US200" s="79"/>
      <c r="UT200" s="79"/>
      <c r="UU200" s="79"/>
      <c r="UV200" s="79"/>
      <c r="UW200" s="79"/>
      <c r="UX200" s="79"/>
      <c r="UY200" s="79"/>
      <c r="UZ200" s="79"/>
      <c r="VA200" s="79"/>
      <c r="VB200" s="79"/>
      <c r="VC200" s="79"/>
      <c r="VD200" s="79"/>
      <c r="VE200" s="79"/>
      <c r="VF200" s="79"/>
      <c r="VG200" s="79"/>
      <c r="VH200" s="79"/>
      <c r="VI200" s="79"/>
      <c r="VJ200" s="79"/>
      <c r="VK200" s="79"/>
      <c r="VL200" s="79"/>
    </row>
    <row r="201" spans="1:584" s="81" customFormat="1" ht="21.75" customHeight="1" x14ac:dyDescent="0.25">
      <c r="A201" s="67" t="s">
        <v>257</v>
      </c>
      <c r="B201" s="98"/>
      <c r="C201" s="98"/>
      <c r="D201" s="68" t="s">
        <v>596</v>
      </c>
      <c r="E201" s="114">
        <f>E203+E204+E205+E206+E207+E208+E210</f>
        <v>58093000</v>
      </c>
      <c r="F201" s="114">
        <f t="shared" ref="F201:Y201" si="52">F203+F204+F205+F206+F207+F208+F210</f>
        <v>42046716</v>
      </c>
      <c r="G201" s="114">
        <f t="shared" si="52"/>
        <v>2612245</v>
      </c>
      <c r="H201" s="114">
        <f>H203+H204+H205+H206+H207+H208+H210</f>
        <v>57387936.159999996</v>
      </c>
      <c r="I201" s="114">
        <f t="shared" ref="I201:J201" si="53">I203+I204+I205+I206+I207+I208+I210</f>
        <v>42008711.729999997</v>
      </c>
      <c r="J201" s="114">
        <f t="shared" si="53"/>
        <v>2456523.1999999997</v>
      </c>
      <c r="K201" s="153">
        <f t="shared" si="38"/>
        <v>98.786318764739292</v>
      </c>
      <c r="L201" s="114">
        <f t="shared" si="52"/>
        <v>4342600</v>
      </c>
      <c r="M201" s="114">
        <f t="shared" si="52"/>
        <v>1808020</v>
      </c>
      <c r="N201" s="114">
        <f t="shared" si="52"/>
        <v>2529860</v>
      </c>
      <c r="O201" s="114">
        <f t="shared" si="52"/>
        <v>2048504</v>
      </c>
      <c r="P201" s="114">
        <f t="shared" si="52"/>
        <v>0</v>
      </c>
      <c r="Q201" s="114">
        <f t="shared" si="52"/>
        <v>1812740</v>
      </c>
      <c r="R201" s="114">
        <f t="shared" ref="R201:W201" si="54">R203+R204+R205+R206+R207+R208+R210</f>
        <v>3780918.94</v>
      </c>
      <c r="S201" s="114">
        <f t="shared" si="54"/>
        <v>1469527.61</v>
      </c>
      <c r="T201" s="114">
        <f t="shared" si="54"/>
        <v>2070753.0999999999</v>
      </c>
      <c r="U201" s="114">
        <f t="shared" si="54"/>
        <v>1618568.91</v>
      </c>
      <c r="V201" s="114">
        <f t="shared" si="54"/>
        <v>0</v>
      </c>
      <c r="W201" s="114">
        <f t="shared" si="54"/>
        <v>1710165.84</v>
      </c>
      <c r="X201" s="165">
        <f t="shared" si="40"/>
        <v>87.065788698015012</v>
      </c>
      <c r="Y201" s="114">
        <f t="shared" si="52"/>
        <v>61168855.100000001</v>
      </c>
      <c r="Z201" s="187"/>
      <c r="AA201" s="80"/>
      <c r="AB201" s="80"/>
      <c r="AC201" s="80"/>
      <c r="AD201" s="80"/>
      <c r="AE201" s="79"/>
      <c r="AF201" s="79"/>
      <c r="AG201" s="79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  <c r="FK201" s="80"/>
      <c r="FL201" s="80"/>
      <c r="FM201" s="80"/>
      <c r="FN201" s="80"/>
      <c r="FO201" s="80"/>
      <c r="FP201" s="80"/>
      <c r="FQ201" s="80"/>
      <c r="FR201" s="80"/>
      <c r="FS201" s="80"/>
      <c r="FT201" s="80"/>
      <c r="FU201" s="80"/>
      <c r="FV201" s="80"/>
      <c r="FW201" s="80"/>
      <c r="FX201" s="80"/>
      <c r="FY201" s="80"/>
      <c r="FZ201" s="80"/>
      <c r="GA201" s="80"/>
      <c r="GB201" s="80"/>
      <c r="GC201" s="80"/>
      <c r="GD201" s="80"/>
      <c r="GE201" s="80"/>
      <c r="GF201" s="80"/>
      <c r="GG201" s="80"/>
      <c r="GH201" s="80"/>
      <c r="GI201" s="80"/>
      <c r="GJ201" s="80"/>
      <c r="GK201" s="80"/>
      <c r="GL201" s="80"/>
      <c r="GM201" s="80"/>
      <c r="GN201" s="80"/>
      <c r="GO201" s="80"/>
      <c r="GP201" s="80"/>
      <c r="GQ201" s="80"/>
      <c r="GR201" s="80"/>
      <c r="GS201" s="80"/>
      <c r="GT201" s="80"/>
      <c r="GU201" s="80"/>
      <c r="GV201" s="80"/>
      <c r="GW201" s="80"/>
      <c r="GX201" s="80"/>
      <c r="GY201" s="80"/>
      <c r="GZ201" s="80"/>
      <c r="HA201" s="80"/>
      <c r="HB201" s="80"/>
      <c r="HC201" s="80"/>
      <c r="HD201" s="80"/>
      <c r="HE201" s="80"/>
      <c r="HF201" s="80"/>
      <c r="HG201" s="80"/>
      <c r="HH201" s="80"/>
      <c r="HI201" s="80"/>
      <c r="HJ201" s="80"/>
      <c r="HK201" s="80"/>
      <c r="HL201" s="80"/>
      <c r="HM201" s="80"/>
      <c r="HN201" s="80"/>
      <c r="HO201" s="80"/>
      <c r="HP201" s="80"/>
      <c r="HQ201" s="80"/>
      <c r="HR201" s="80"/>
      <c r="HS201" s="80"/>
      <c r="HT201" s="80"/>
      <c r="HU201" s="80"/>
      <c r="HV201" s="80"/>
      <c r="HW201" s="80"/>
      <c r="HX201" s="80"/>
      <c r="HY201" s="80"/>
      <c r="HZ201" s="80"/>
      <c r="IA201" s="80"/>
      <c r="IB201" s="80"/>
      <c r="IC201" s="80"/>
      <c r="ID201" s="80"/>
      <c r="IE201" s="80"/>
      <c r="IF201" s="80"/>
      <c r="IG201" s="80"/>
      <c r="IH201" s="80"/>
      <c r="II201" s="80"/>
      <c r="IJ201" s="80"/>
      <c r="IK201" s="80"/>
      <c r="IL201" s="80"/>
      <c r="IM201" s="80"/>
      <c r="IN201" s="80"/>
      <c r="IO201" s="80"/>
      <c r="IP201" s="80"/>
      <c r="IQ201" s="80"/>
      <c r="IR201" s="80"/>
      <c r="IS201" s="80"/>
      <c r="IT201" s="80"/>
      <c r="IU201" s="80"/>
      <c r="IV201" s="80"/>
      <c r="IW201" s="80"/>
      <c r="IX201" s="80"/>
      <c r="IY201" s="80"/>
      <c r="IZ201" s="80"/>
      <c r="JA201" s="80"/>
      <c r="JB201" s="80"/>
      <c r="JC201" s="80"/>
      <c r="JD201" s="80"/>
      <c r="JE201" s="80"/>
      <c r="JF201" s="80"/>
      <c r="JG201" s="80"/>
      <c r="JH201" s="80"/>
      <c r="JI201" s="80"/>
      <c r="JJ201" s="80"/>
      <c r="JK201" s="80"/>
      <c r="JL201" s="80"/>
      <c r="JM201" s="80"/>
      <c r="JN201" s="80"/>
      <c r="JO201" s="80"/>
      <c r="JP201" s="80"/>
      <c r="JQ201" s="80"/>
      <c r="JR201" s="80"/>
      <c r="JS201" s="80"/>
      <c r="JT201" s="80"/>
      <c r="JU201" s="80"/>
      <c r="JV201" s="80"/>
      <c r="JW201" s="80"/>
      <c r="JX201" s="80"/>
      <c r="JY201" s="80"/>
      <c r="JZ201" s="80"/>
      <c r="KA201" s="80"/>
      <c r="KB201" s="80"/>
      <c r="KC201" s="80"/>
      <c r="KD201" s="80"/>
      <c r="KE201" s="80"/>
      <c r="KF201" s="80"/>
      <c r="KG201" s="80"/>
      <c r="KH201" s="80"/>
      <c r="KI201" s="80"/>
      <c r="KJ201" s="80"/>
      <c r="KK201" s="80"/>
      <c r="KL201" s="80"/>
      <c r="KM201" s="80"/>
      <c r="KN201" s="80"/>
      <c r="KO201" s="80"/>
      <c r="KP201" s="80"/>
      <c r="KQ201" s="80"/>
      <c r="KR201" s="80"/>
      <c r="KS201" s="80"/>
      <c r="KT201" s="80"/>
      <c r="KU201" s="80"/>
      <c r="KV201" s="80"/>
      <c r="KW201" s="80"/>
      <c r="KX201" s="80"/>
      <c r="KY201" s="80"/>
      <c r="KZ201" s="80"/>
      <c r="LA201" s="80"/>
      <c r="LB201" s="80"/>
      <c r="LC201" s="80"/>
      <c r="LD201" s="80"/>
      <c r="LE201" s="80"/>
      <c r="LF201" s="80"/>
      <c r="LG201" s="80"/>
      <c r="LH201" s="80"/>
      <c r="LI201" s="80"/>
      <c r="LJ201" s="80"/>
      <c r="LK201" s="80"/>
      <c r="LL201" s="80"/>
      <c r="LM201" s="80"/>
      <c r="LN201" s="80"/>
      <c r="LO201" s="80"/>
      <c r="LP201" s="80"/>
      <c r="LQ201" s="80"/>
      <c r="LR201" s="80"/>
      <c r="LS201" s="80"/>
      <c r="LT201" s="80"/>
      <c r="LU201" s="80"/>
      <c r="LV201" s="80"/>
      <c r="LW201" s="80"/>
      <c r="LX201" s="80"/>
      <c r="LY201" s="80"/>
      <c r="LZ201" s="80"/>
      <c r="MA201" s="80"/>
      <c r="MB201" s="80"/>
      <c r="MC201" s="80"/>
      <c r="MD201" s="80"/>
      <c r="ME201" s="80"/>
      <c r="MF201" s="80"/>
      <c r="MG201" s="80"/>
      <c r="MH201" s="80"/>
      <c r="MI201" s="80"/>
      <c r="MJ201" s="80"/>
      <c r="MK201" s="80"/>
      <c r="ML201" s="80"/>
      <c r="MM201" s="80"/>
      <c r="MN201" s="80"/>
      <c r="MO201" s="80"/>
      <c r="MP201" s="80"/>
      <c r="MQ201" s="80"/>
      <c r="MR201" s="80"/>
      <c r="MS201" s="80"/>
      <c r="MT201" s="80"/>
      <c r="MU201" s="80"/>
      <c r="MV201" s="80"/>
      <c r="MW201" s="80"/>
      <c r="MX201" s="80"/>
      <c r="MY201" s="80"/>
      <c r="MZ201" s="80"/>
      <c r="NA201" s="80"/>
      <c r="NB201" s="80"/>
      <c r="NC201" s="80"/>
      <c r="ND201" s="80"/>
      <c r="NE201" s="80"/>
      <c r="NF201" s="80"/>
      <c r="NG201" s="80"/>
      <c r="NH201" s="80"/>
      <c r="NI201" s="80"/>
      <c r="NJ201" s="80"/>
      <c r="NK201" s="80"/>
      <c r="NL201" s="80"/>
      <c r="NM201" s="80"/>
      <c r="NN201" s="80"/>
      <c r="NO201" s="80"/>
      <c r="NP201" s="80"/>
      <c r="NQ201" s="80"/>
      <c r="NR201" s="80"/>
      <c r="NS201" s="80"/>
      <c r="NT201" s="80"/>
      <c r="NU201" s="80"/>
      <c r="NV201" s="80"/>
      <c r="NW201" s="80"/>
      <c r="NX201" s="80"/>
      <c r="NY201" s="80"/>
      <c r="NZ201" s="80"/>
      <c r="OA201" s="80"/>
      <c r="OB201" s="80"/>
      <c r="OC201" s="80"/>
      <c r="OD201" s="80"/>
      <c r="OE201" s="80"/>
      <c r="OF201" s="80"/>
      <c r="OG201" s="80"/>
      <c r="OH201" s="80"/>
      <c r="OI201" s="80"/>
      <c r="OJ201" s="80"/>
      <c r="OK201" s="80"/>
      <c r="OL201" s="80"/>
      <c r="OM201" s="80"/>
      <c r="ON201" s="80"/>
      <c r="OO201" s="80"/>
      <c r="OP201" s="80"/>
      <c r="OQ201" s="80"/>
      <c r="OR201" s="80"/>
      <c r="OS201" s="80"/>
      <c r="OT201" s="80"/>
      <c r="OU201" s="80"/>
      <c r="OV201" s="80"/>
      <c r="OW201" s="80"/>
      <c r="OX201" s="80"/>
      <c r="OY201" s="80"/>
      <c r="OZ201" s="80"/>
      <c r="PA201" s="80"/>
      <c r="PB201" s="80"/>
      <c r="PC201" s="80"/>
      <c r="PD201" s="80"/>
      <c r="PE201" s="80"/>
      <c r="PF201" s="80"/>
      <c r="PG201" s="80"/>
      <c r="PH201" s="80"/>
      <c r="PI201" s="80"/>
      <c r="PJ201" s="80"/>
      <c r="PK201" s="80"/>
      <c r="PL201" s="80"/>
      <c r="PM201" s="80"/>
      <c r="PN201" s="80"/>
      <c r="PO201" s="80"/>
      <c r="PP201" s="80"/>
      <c r="PQ201" s="80"/>
      <c r="PR201" s="80"/>
      <c r="PS201" s="80"/>
      <c r="PT201" s="80"/>
      <c r="PU201" s="80"/>
      <c r="PV201" s="80"/>
      <c r="PW201" s="80"/>
      <c r="PX201" s="80"/>
      <c r="PY201" s="80"/>
      <c r="PZ201" s="80"/>
      <c r="QA201" s="80"/>
      <c r="QB201" s="80"/>
      <c r="QC201" s="80"/>
      <c r="QD201" s="80"/>
      <c r="QE201" s="80"/>
      <c r="QF201" s="80"/>
      <c r="QG201" s="80"/>
      <c r="QH201" s="80"/>
      <c r="QI201" s="80"/>
      <c r="QJ201" s="80"/>
      <c r="QK201" s="80"/>
      <c r="QL201" s="80"/>
      <c r="QM201" s="80"/>
      <c r="QN201" s="80"/>
      <c r="QO201" s="80"/>
      <c r="QP201" s="80"/>
      <c r="QQ201" s="80"/>
      <c r="QR201" s="80"/>
      <c r="QS201" s="80"/>
      <c r="QT201" s="80"/>
      <c r="QU201" s="80"/>
      <c r="QV201" s="80"/>
      <c r="QW201" s="80"/>
      <c r="QX201" s="80"/>
      <c r="QY201" s="80"/>
      <c r="QZ201" s="80"/>
      <c r="RA201" s="80"/>
      <c r="RB201" s="80"/>
      <c r="RC201" s="80"/>
      <c r="RD201" s="80"/>
      <c r="RE201" s="80"/>
      <c r="RF201" s="80"/>
      <c r="RG201" s="80"/>
      <c r="RH201" s="80"/>
      <c r="RI201" s="80"/>
      <c r="RJ201" s="80"/>
      <c r="RK201" s="80"/>
      <c r="RL201" s="80"/>
      <c r="RM201" s="80"/>
      <c r="RN201" s="80"/>
      <c r="RO201" s="80"/>
      <c r="RP201" s="80"/>
      <c r="RQ201" s="80"/>
      <c r="RR201" s="80"/>
      <c r="RS201" s="80"/>
      <c r="RT201" s="80"/>
      <c r="RU201" s="80"/>
      <c r="RV201" s="80"/>
      <c r="RW201" s="80"/>
      <c r="RX201" s="80"/>
      <c r="RY201" s="80"/>
      <c r="RZ201" s="80"/>
      <c r="SA201" s="80"/>
      <c r="SB201" s="80"/>
      <c r="SC201" s="80"/>
      <c r="SD201" s="80"/>
      <c r="SE201" s="80"/>
      <c r="SF201" s="80"/>
      <c r="SG201" s="80"/>
      <c r="SH201" s="80"/>
      <c r="SI201" s="80"/>
      <c r="SJ201" s="80"/>
      <c r="SK201" s="80"/>
      <c r="SL201" s="80"/>
      <c r="SM201" s="80"/>
      <c r="SN201" s="80"/>
      <c r="SO201" s="80"/>
      <c r="SP201" s="80"/>
      <c r="SQ201" s="80"/>
      <c r="SR201" s="80"/>
      <c r="SS201" s="80"/>
      <c r="ST201" s="80"/>
      <c r="SU201" s="80"/>
      <c r="SV201" s="80"/>
      <c r="SW201" s="80"/>
      <c r="SX201" s="80"/>
      <c r="SY201" s="80"/>
      <c r="SZ201" s="80"/>
      <c r="TA201" s="80"/>
      <c r="TB201" s="80"/>
      <c r="TC201" s="80"/>
      <c r="TD201" s="80"/>
      <c r="TE201" s="80"/>
      <c r="TF201" s="80"/>
      <c r="TG201" s="80"/>
      <c r="TH201" s="80"/>
      <c r="TI201" s="80"/>
      <c r="TJ201" s="80"/>
      <c r="TK201" s="80"/>
      <c r="TL201" s="80"/>
      <c r="TM201" s="80"/>
      <c r="TN201" s="80"/>
      <c r="TO201" s="80"/>
      <c r="TP201" s="80"/>
      <c r="TQ201" s="80"/>
      <c r="TR201" s="80"/>
      <c r="TS201" s="80"/>
      <c r="TT201" s="80"/>
      <c r="TU201" s="80"/>
      <c r="TV201" s="80"/>
      <c r="TW201" s="80"/>
      <c r="TX201" s="80"/>
      <c r="TY201" s="80"/>
      <c r="TZ201" s="80"/>
      <c r="UA201" s="80"/>
      <c r="UB201" s="80"/>
      <c r="UC201" s="80"/>
      <c r="UD201" s="80"/>
      <c r="UE201" s="80"/>
      <c r="UF201" s="80"/>
      <c r="UG201" s="80"/>
      <c r="UH201" s="80"/>
      <c r="UI201" s="80"/>
      <c r="UJ201" s="80"/>
      <c r="UK201" s="80"/>
      <c r="UL201" s="80"/>
      <c r="UM201" s="80"/>
      <c r="UN201" s="80"/>
      <c r="UO201" s="80"/>
      <c r="UP201" s="80"/>
      <c r="UQ201" s="80"/>
      <c r="UR201" s="80"/>
      <c r="US201" s="80"/>
      <c r="UT201" s="80"/>
      <c r="UU201" s="80"/>
      <c r="UV201" s="80"/>
      <c r="UW201" s="80"/>
      <c r="UX201" s="80"/>
      <c r="UY201" s="80"/>
      <c r="UZ201" s="80"/>
      <c r="VA201" s="80"/>
      <c r="VB201" s="80"/>
      <c r="VC201" s="80"/>
      <c r="VD201" s="80"/>
      <c r="VE201" s="80"/>
      <c r="VF201" s="80"/>
      <c r="VG201" s="80"/>
      <c r="VH201" s="80"/>
      <c r="VI201" s="80"/>
      <c r="VJ201" s="80"/>
      <c r="VK201" s="80"/>
      <c r="VL201" s="80"/>
    </row>
    <row r="202" spans="1:584" s="81" customFormat="1" ht="20.25" customHeight="1" x14ac:dyDescent="0.25">
      <c r="A202" s="62"/>
      <c r="B202" s="97"/>
      <c r="C202" s="97"/>
      <c r="D202" s="63" t="s">
        <v>342</v>
      </c>
      <c r="E202" s="116">
        <f>E209</f>
        <v>0</v>
      </c>
      <c r="F202" s="116">
        <f t="shared" ref="F202:Y202" si="55">F209</f>
        <v>0</v>
      </c>
      <c r="G202" s="116">
        <f t="shared" si="55"/>
        <v>0</v>
      </c>
      <c r="H202" s="116">
        <f>H209</f>
        <v>0</v>
      </c>
      <c r="I202" s="116">
        <f t="shared" ref="I202:J202" si="56">I209</f>
        <v>0</v>
      </c>
      <c r="J202" s="116">
        <f t="shared" si="56"/>
        <v>0</v>
      </c>
      <c r="K202" s="135"/>
      <c r="L202" s="116">
        <f t="shared" si="55"/>
        <v>500000</v>
      </c>
      <c r="M202" s="116">
        <f t="shared" si="55"/>
        <v>500000</v>
      </c>
      <c r="N202" s="116">
        <f t="shared" si="55"/>
        <v>0</v>
      </c>
      <c r="O202" s="116">
        <f t="shared" si="55"/>
        <v>0</v>
      </c>
      <c r="P202" s="116">
        <f t="shared" si="55"/>
        <v>0</v>
      </c>
      <c r="Q202" s="116">
        <f t="shared" si="55"/>
        <v>500000</v>
      </c>
      <c r="R202" s="116">
        <f t="shared" ref="R202:W202" si="57">R209</f>
        <v>500000</v>
      </c>
      <c r="S202" s="116">
        <f t="shared" si="57"/>
        <v>500000</v>
      </c>
      <c r="T202" s="116">
        <f t="shared" si="57"/>
        <v>0</v>
      </c>
      <c r="U202" s="116">
        <f t="shared" si="57"/>
        <v>0</v>
      </c>
      <c r="V202" s="116">
        <f t="shared" si="57"/>
        <v>0</v>
      </c>
      <c r="W202" s="116">
        <f t="shared" si="57"/>
        <v>500000</v>
      </c>
      <c r="X202" s="149">
        <f t="shared" si="40"/>
        <v>100</v>
      </c>
      <c r="Y202" s="116">
        <f t="shared" si="55"/>
        <v>500000</v>
      </c>
      <c r="Z202" s="187"/>
      <c r="AA202" s="80"/>
      <c r="AB202" s="80"/>
      <c r="AC202" s="80"/>
      <c r="AD202" s="80"/>
      <c r="AE202" s="79"/>
      <c r="AF202" s="79"/>
      <c r="AG202" s="79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  <c r="EX202" s="80"/>
      <c r="EY202" s="80"/>
      <c r="EZ202" s="80"/>
      <c r="FA202" s="80"/>
      <c r="FB202" s="80"/>
      <c r="FC202" s="80"/>
      <c r="FD202" s="80"/>
      <c r="FE202" s="80"/>
      <c r="FF202" s="80"/>
      <c r="FG202" s="80"/>
      <c r="FH202" s="80"/>
      <c r="FI202" s="80"/>
      <c r="FJ202" s="80"/>
      <c r="FK202" s="80"/>
      <c r="FL202" s="80"/>
      <c r="FM202" s="80"/>
      <c r="FN202" s="80"/>
      <c r="FO202" s="80"/>
      <c r="FP202" s="80"/>
      <c r="FQ202" s="80"/>
      <c r="FR202" s="80"/>
      <c r="FS202" s="80"/>
      <c r="FT202" s="80"/>
      <c r="FU202" s="80"/>
      <c r="FV202" s="80"/>
      <c r="FW202" s="80"/>
      <c r="FX202" s="80"/>
      <c r="FY202" s="80"/>
      <c r="FZ202" s="80"/>
      <c r="GA202" s="80"/>
      <c r="GB202" s="80"/>
      <c r="GC202" s="80"/>
      <c r="GD202" s="80"/>
      <c r="GE202" s="80"/>
      <c r="GF202" s="80"/>
      <c r="GG202" s="80"/>
      <c r="GH202" s="80"/>
      <c r="GI202" s="80"/>
      <c r="GJ202" s="80"/>
      <c r="GK202" s="80"/>
      <c r="GL202" s="80"/>
      <c r="GM202" s="80"/>
      <c r="GN202" s="80"/>
      <c r="GO202" s="80"/>
      <c r="GP202" s="80"/>
      <c r="GQ202" s="80"/>
      <c r="GR202" s="80"/>
      <c r="GS202" s="80"/>
      <c r="GT202" s="80"/>
      <c r="GU202" s="80"/>
      <c r="GV202" s="80"/>
      <c r="GW202" s="80"/>
      <c r="GX202" s="80"/>
      <c r="GY202" s="80"/>
      <c r="GZ202" s="80"/>
      <c r="HA202" s="80"/>
      <c r="HB202" s="80"/>
      <c r="HC202" s="80"/>
      <c r="HD202" s="80"/>
      <c r="HE202" s="80"/>
      <c r="HF202" s="80"/>
      <c r="HG202" s="80"/>
      <c r="HH202" s="80"/>
      <c r="HI202" s="80"/>
      <c r="HJ202" s="80"/>
      <c r="HK202" s="80"/>
      <c r="HL202" s="80"/>
      <c r="HM202" s="80"/>
      <c r="HN202" s="80"/>
      <c r="HO202" s="80"/>
      <c r="HP202" s="80"/>
      <c r="HQ202" s="80"/>
      <c r="HR202" s="80"/>
      <c r="HS202" s="80"/>
      <c r="HT202" s="80"/>
      <c r="HU202" s="80"/>
      <c r="HV202" s="80"/>
      <c r="HW202" s="80"/>
      <c r="HX202" s="80"/>
      <c r="HY202" s="80"/>
      <c r="HZ202" s="80"/>
      <c r="IA202" s="80"/>
      <c r="IB202" s="80"/>
      <c r="IC202" s="80"/>
      <c r="ID202" s="80"/>
      <c r="IE202" s="80"/>
      <c r="IF202" s="80"/>
      <c r="IG202" s="80"/>
      <c r="IH202" s="80"/>
      <c r="II202" s="80"/>
      <c r="IJ202" s="80"/>
      <c r="IK202" s="80"/>
      <c r="IL202" s="80"/>
      <c r="IM202" s="80"/>
      <c r="IN202" s="80"/>
      <c r="IO202" s="80"/>
      <c r="IP202" s="80"/>
      <c r="IQ202" s="80"/>
      <c r="IR202" s="80"/>
      <c r="IS202" s="80"/>
      <c r="IT202" s="80"/>
      <c r="IU202" s="80"/>
      <c r="IV202" s="80"/>
      <c r="IW202" s="80"/>
      <c r="IX202" s="80"/>
      <c r="IY202" s="80"/>
      <c r="IZ202" s="80"/>
      <c r="JA202" s="80"/>
      <c r="JB202" s="80"/>
      <c r="JC202" s="80"/>
      <c r="JD202" s="80"/>
      <c r="JE202" s="80"/>
      <c r="JF202" s="80"/>
      <c r="JG202" s="80"/>
      <c r="JH202" s="80"/>
      <c r="JI202" s="80"/>
      <c r="JJ202" s="80"/>
      <c r="JK202" s="80"/>
      <c r="JL202" s="80"/>
      <c r="JM202" s="80"/>
      <c r="JN202" s="80"/>
      <c r="JO202" s="80"/>
      <c r="JP202" s="80"/>
      <c r="JQ202" s="80"/>
      <c r="JR202" s="80"/>
      <c r="JS202" s="80"/>
      <c r="JT202" s="80"/>
      <c r="JU202" s="80"/>
      <c r="JV202" s="80"/>
      <c r="JW202" s="80"/>
      <c r="JX202" s="80"/>
      <c r="JY202" s="80"/>
      <c r="JZ202" s="80"/>
      <c r="KA202" s="80"/>
      <c r="KB202" s="80"/>
      <c r="KC202" s="80"/>
      <c r="KD202" s="80"/>
      <c r="KE202" s="80"/>
      <c r="KF202" s="80"/>
      <c r="KG202" s="80"/>
      <c r="KH202" s="80"/>
      <c r="KI202" s="80"/>
      <c r="KJ202" s="80"/>
      <c r="KK202" s="80"/>
      <c r="KL202" s="80"/>
      <c r="KM202" s="80"/>
      <c r="KN202" s="80"/>
      <c r="KO202" s="80"/>
      <c r="KP202" s="80"/>
      <c r="KQ202" s="80"/>
      <c r="KR202" s="80"/>
      <c r="KS202" s="80"/>
      <c r="KT202" s="80"/>
      <c r="KU202" s="80"/>
      <c r="KV202" s="80"/>
      <c r="KW202" s="80"/>
      <c r="KX202" s="80"/>
      <c r="KY202" s="80"/>
      <c r="KZ202" s="80"/>
      <c r="LA202" s="80"/>
      <c r="LB202" s="80"/>
      <c r="LC202" s="80"/>
      <c r="LD202" s="80"/>
      <c r="LE202" s="80"/>
      <c r="LF202" s="80"/>
      <c r="LG202" s="80"/>
      <c r="LH202" s="80"/>
      <c r="LI202" s="80"/>
      <c r="LJ202" s="80"/>
      <c r="LK202" s="80"/>
      <c r="LL202" s="80"/>
      <c r="LM202" s="80"/>
      <c r="LN202" s="80"/>
      <c r="LO202" s="80"/>
      <c r="LP202" s="80"/>
      <c r="LQ202" s="80"/>
      <c r="LR202" s="80"/>
      <c r="LS202" s="80"/>
      <c r="LT202" s="80"/>
      <c r="LU202" s="80"/>
      <c r="LV202" s="80"/>
      <c r="LW202" s="80"/>
      <c r="LX202" s="80"/>
      <c r="LY202" s="80"/>
      <c r="LZ202" s="80"/>
      <c r="MA202" s="80"/>
      <c r="MB202" s="80"/>
      <c r="MC202" s="80"/>
      <c r="MD202" s="80"/>
      <c r="ME202" s="80"/>
      <c r="MF202" s="80"/>
      <c r="MG202" s="80"/>
      <c r="MH202" s="80"/>
      <c r="MI202" s="80"/>
      <c r="MJ202" s="80"/>
      <c r="MK202" s="80"/>
      <c r="ML202" s="80"/>
      <c r="MM202" s="80"/>
      <c r="MN202" s="80"/>
      <c r="MO202" s="80"/>
      <c r="MP202" s="80"/>
      <c r="MQ202" s="80"/>
      <c r="MR202" s="80"/>
      <c r="MS202" s="80"/>
      <c r="MT202" s="80"/>
      <c r="MU202" s="80"/>
      <c r="MV202" s="80"/>
      <c r="MW202" s="80"/>
      <c r="MX202" s="80"/>
      <c r="MY202" s="80"/>
      <c r="MZ202" s="80"/>
      <c r="NA202" s="80"/>
      <c r="NB202" s="80"/>
      <c r="NC202" s="80"/>
      <c r="ND202" s="80"/>
      <c r="NE202" s="80"/>
      <c r="NF202" s="80"/>
      <c r="NG202" s="80"/>
      <c r="NH202" s="80"/>
      <c r="NI202" s="80"/>
      <c r="NJ202" s="80"/>
      <c r="NK202" s="80"/>
      <c r="NL202" s="80"/>
      <c r="NM202" s="80"/>
      <c r="NN202" s="80"/>
      <c r="NO202" s="80"/>
      <c r="NP202" s="80"/>
      <c r="NQ202" s="80"/>
      <c r="NR202" s="80"/>
      <c r="NS202" s="80"/>
      <c r="NT202" s="80"/>
      <c r="NU202" s="80"/>
      <c r="NV202" s="80"/>
      <c r="NW202" s="80"/>
      <c r="NX202" s="80"/>
      <c r="NY202" s="80"/>
      <c r="NZ202" s="80"/>
      <c r="OA202" s="80"/>
      <c r="OB202" s="80"/>
      <c r="OC202" s="80"/>
      <c r="OD202" s="80"/>
      <c r="OE202" s="80"/>
      <c r="OF202" s="80"/>
      <c r="OG202" s="80"/>
      <c r="OH202" s="80"/>
      <c r="OI202" s="80"/>
      <c r="OJ202" s="80"/>
      <c r="OK202" s="80"/>
      <c r="OL202" s="80"/>
      <c r="OM202" s="80"/>
      <c r="ON202" s="80"/>
      <c r="OO202" s="80"/>
      <c r="OP202" s="80"/>
      <c r="OQ202" s="80"/>
      <c r="OR202" s="80"/>
      <c r="OS202" s="80"/>
      <c r="OT202" s="80"/>
      <c r="OU202" s="80"/>
      <c r="OV202" s="80"/>
      <c r="OW202" s="80"/>
      <c r="OX202" s="80"/>
      <c r="OY202" s="80"/>
      <c r="OZ202" s="80"/>
      <c r="PA202" s="80"/>
      <c r="PB202" s="80"/>
      <c r="PC202" s="80"/>
      <c r="PD202" s="80"/>
      <c r="PE202" s="80"/>
      <c r="PF202" s="80"/>
      <c r="PG202" s="80"/>
      <c r="PH202" s="80"/>
      <c r="PI202" s="80"/>
      <c r="PJ202" s="80"/>
      <c r="PK202" s="80"/>
      <c r="PL202" s="80"/>
      <c r="PM202" s="80"/>
      <c r="PN202" s="80"/>
      <c r="PO202" s="80"/>
      <c r="PP202" s="80"/>
      <c r="PQ202" s="80"/>
      <c r="PR202" s="80"/>
      <c r="PS202" s="80"/>
      <c r="PT202" s="80"/>
      <c r="PU202" s="80"/>
      <c r="PV202" s="80"/>
      <c r="PW202" s="80"/>
      <c r="PX202" s="80"/>
      <c r="PY202" s="80"/>
      <c r="PZ202" s="80"/>
      <c r="QA202" s="80"/>
      <c r="QB202" s="80"/>
      <c r="QC202" s="80"/>
      <c r="QD202" s="80"/>
      <c r="QE202" s="80"/>
      <c r="QF202" s="80"/>
      <c r="QG202" s="80"/>
      <c r="QH202" s="80"/>
      <c r="QI202" s="80"/>
      <c r="QJ202" s="80"/>
      <c r="QK202" s="80"/>
      <c r="QL202" s="80"/>
      <c r="QM202" s="80"/>
      <c r="QN202" s="80"/>
      <c r="QO202" s="80"/>
      <c r="QP202" s="80"/>
      <c r="QQ202" s="80"/>
      <c r="QR202" s="80"/>
      <c r="QS202" s="80"/>
      <c r="QT202" s="80"/>
      <c r="QU202" s="80"/>
      <c r="QV202" s="80"/>
      <c r="QW202" s="80"/>
      <c r="QX202" s="80"/>
      <c r="QY202" s="80"/>
      <c r="QZ202" s="80"/>
      <c r="RA202" s="80"/>
      <c r="RB202" s="80"/>
      <c r="RC202" s="80"/>
      <c r="RD202" s="80"/>
      <c r="RE202" s="80"/>
      <c r="RF202" s="80"/>
      <c r="RG202" s="80"/>
      <c r="RH202" s="80"/>
      <c r="RI202" s="80"/>
      <c r="RJ202" s="80"/>
      <c r="RK202" s="80"/>
      <c r="RL202" s="80"/>
      <c r="RM202" s="80"/>
      <c r="RN202" s="80"/>
      <c r="RO202" s="80"/>
      <c r="RP202" s="80"/>
      <c r="RQ202" s="80"/>
      <c r="RR202" s="80"/>
      <c r="RS202" s="80"/>
      <c r="RT202" s="80"/>
      <c r="RU202" s="80"/>
      <c r="RV202" s="80"/>
      <c r="RW202" s="80"/>
      <c r="RX202" s="80"/>
      <c r="RY202" s="80"/>
      <c r="RZ202" s="80"/>
      <c r="SA202" s="80"/>
      <c r="SB202" s="80"/>
      <c r="SC202" s="80"/>
      <c r="SD202" s="80"/>
      <c r="SE202" s="80"/>
      <c r="SF202" s="80"/>
      <c r="SG202" s="80"/>
      <c r="SH202" s="80"/>
      <c r="SI202" s="80"/>
      <c r="SJ202" s="80"/>
      <c r="SK202" s="80"/>
      <c r="SL202" s="80"/>
      <c r="SM202" s="80"/>
      <c r="SN202" s="80"/>
      <c r="SO202" s="80"/>
      <c r="SP202" s="80"/>
      <c r="SQ202" s="80"/>
      <c r="SR202" s="80"/>
      <c r="SS202" s="80"/>
      <c r="ST202" s="80"/>
      <c r="SU202" s="80"/>
      <c r="SV202" s="80"/>
      <c r="SW202" s="80"/>
      <c r="SX202" s="80"/>
      <c r="SY202" s="80"/>
      <c r="SZ202" s="80"/>
      <c r="TA202" s="80"/>
      <c r="TB202" s="80"/>
      <c r="TC202" s="80"/>
      <c r="TD202" s="80"/>
      <c r="TE202" s="80"/>
      <c r="TF202" s="80"/>
      <c r="TG202" s="80"/>
      <c r="TH202" s="80"/>
      <c r="TI202" s="80"/>
      <c r="TJ202" s="80"/>
      <c r="TK202" s="80"/>
      <c r="TL202" s="80"/>
      <c r="TM202" s="80"/>
      <c r="TN202" s="80"/>
      <c r="TO202" s="80"/>
      <c r="TP202" s="80"/>
      <c r="TQ202" s="80"/>
      <c r="TR202" s="80"/>
      <c r="TS202" s="80"/>
      <c r="TT202" s="80"/>
      <c r="TU202" s="80"/>
      <c r="TV202" s="80"/>
      <c r="TW202" s="80"/>
      <c r="TX202" s="80"/>
      <c r="TY202" s="80"/>
      <c r="TZ202" s="80"/>
      <c r="UA202" s="80"/>
      <c r="UB202" s="80"/>
      <c r="UC202" s="80"/>
      <c r="UD202" s="80"/>
      <c r="UE202" s="80"/>
      <c r="UF202" s="80"/>
      <c r="UG202" s="80"/>
      <c r="UH202" s="80"/>
      <c r="UI202" s="80"/>
      <c r="UJ202" s="80"/>
      <c r="UK202" s="80"/>
      <c r="UL202" s="80"/>
      <c r="UM202" s="80"/>
      <c r="UN202" s="80"/>
      <c r="UO202" s="80"/>
      <c r="UP202" s="80"/>
      <c r="UQ202" s="80"/>
      <c r="UR202" s="80"/>
      <c r="US202" s="80"/>
      <c r="UT202" s="80"/>
      <c r="UU202" s="80"/>
      <c r="UV202" s="80"/>
      <c r="UW202" s="80"/>
      <c r="UX202" s="80"/>
      <c r="UY202" s="80"/>
      <c r="UZ202" s="80"/>
      <c r="VA202" s="80"/>
      <c r="VB202" s="80"/>
      <c r="VC202" s="80"/>
      <c r="VD202" s="80"/>
      <c r="VE202" s="80"/>
      <c r="VF202" s="80"/>
      <c r="VG202" s="80"/>
      <c r="VH202" s="80"/>
      <c r="VI202" s="80"/>
      <c r="VJ202" s="80"/>
      <c r="VK202" s="80"/>
      <c r="VL202" s="80"/>
    </row>
    <row r="203" spans="1:584" s="47" customFormat="1" ht="48" customHeight="1" x14ac:dyDescent="0.25">
      <c r="A203" s="45" t="s">
        <v>186</v>
      </c>
      <c r="B203" s="91" t="str">
        <f>'дод 3'!A13</f>
        <v>0160</v>
      </c>
      <c r="C203" s="91" t="str">
        <f>'дод 3'!B13</f>
        <v>0111</v>
      </c>
      <c r="D203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03" s="115">
        <v>1648800</v>
      </c>
      <c r="F203" s="115">
        <f>1289500-4584</f>
        <v>1284916</v>
      </c>
      <c r="G203" s="115">
        <f>13670+200+3426+20</f>
        <v>17316</v>
      </c>
      <c r="H203" s="115">
        <v>1637747.57</v>
      </c>
      <c r="I203" s="115">
        <v>1284905.8500000001</v>
      </c>
      <c r="J203" s="115">
        <v>15939.32</v>
      </c>
      <c r="K203" s="164">
        <f t="shared" si="38"/>
        <v>99.329668243571092</v>
      </c>
      <c r="L203" s="115">
        <f t="shared" si="42"/>
        <v>0</v>
      </c>
      <c r="M203" s="115"/>
      <c r="N203" s="115"/>
      <c r="O203" s="115"/>
      <c r="P203" s="115"/>
      <c r="Q203" s="115"/>
      <c r="R203" s="115">
        <f t="shared" si="39"/>
        <v>0</v>
      </c>
      <c r="S203" s="115"/>
      <c r="T203" s="115"/>
      <c r="U203" s="115"/>
      <c r="V203" s="115"/>
      <c r="W203" s="115"/>
      <c r="X203" s="149"/>
      <c r="Y203" s="115">
        <f t="shared" ref="Y203:Y210" si="58">H203+R203</f>
        <v>1637747.57</v>
      </c>
      <c r="Z203" s="187"/>
      <c r="AA203" s="53"/>
      <c r="AB203" s="53"/>
      <c r="AC203" s="53"/>
      <c r="AD203" s="53"/>
      <c r="AE203" s="79"/>
      <c r="AF203" s="79"/>
      <c r="AG203" s="79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/>
      <c r="IN203" s="53"/>
      <c r="IO203" s="53"/>
      <c r="IP203" s="53"/>
      <c r="IQ203" s="53"/>
      <c r="IR203" s="53"/>
      <c r="IS203" s="53"/>
      <c r="IT203" s="53"/>
      <c r="IU203" s="53"/>
      <c r="IV203" s="53"/>
      <c r="IW203" s="53"/>
      <c r="IX203" s="53"/>
      <c r="IY203" s="53"/>
      <c r="IZ203" s="53"/>
      <c r="JA203" s="53"/>
      <c r="JB203" s="53"/>
      <c r="JC203" s="53"/>
      <c r="JD203" s="53"/>
      <c r="JE203" s="53"/>
      <c r="JF203" s="53"/>
      <c r="JG203" s="53"/>
      <c r="JH203" s="53"/>
      <c r="JI203" s="53"/>
      <c r="JJ203" s="53"/>
      <c r="JK203" s="53"/>
      <c r="JL203" s="53"/>
      <c r="JM203" s="53"/>
      <c r="JN203" s="53"/>
      <c r="JO203" s="53"/>
      <c r="JP203" s="53"/>
      <c r="JQ203" s="53"/>
      <c r="JR203" s="53"/>
      <c r="JS203" s="53"/>
      <c r="JT203" s="53"/>
      <c r="JU203" s="53"/>
      <c r="JV203" s="53"/>
      <c r="JW203" s="53"/>
      <c r="JX203" s="53"/>
      <c r="JY203" s="53"/>
      <c r="JZ203" s="53"/>
      <c r="KA203" s="53"/>
      <c r="KB203" s="53"/>
      <c r="KC203" s="53"/>
      <c r="KD203" s="53"/>
      <c r="KE203" s="53"/>
      <c r="KF203" s="53"/>
      <c r="KG203" s="53"/>
      <c r="KH203" s="53"/>
      <c r="KI203" s="53"/>
      <c r="KJ203" s="53"/>
      <c r="KK203" s="53"/>
      <c r="KL203" s="53"/>
      <c r="KM203" s="53"/>
      <c r="KN203" s="53"/>
      <c r="KO203" s="53"/>
      <c r="KP203" s="53"/>
      <c r="KQ203" s="53"/>
      <c r="KR203" s="53"/>
      <c r="KS203" s="53"/>
      <c r="KT203" s="53"/>
      <c r="KU203" s="53"/>
      <c r="KV203" s="53"/>
      <c r="KW203" s="53"/>
      <c r="KX203" s="53"/>
      <c r="KY203" s="53"/>
      <c r="KZ203" s="53"/>
      <c r="LA203" s="53"/>
      <c r="LB203" s="53"/>
      <c r="LC203" s="53"/>
      <c r="LD203" s="53"/>
      <c r="LE203" s="53"/>
      <c r="LF203" s="53"/>
      <c r="LG203" s="53"/>
      <c r="LH203" s="53"/>
      <c r="LI203" s="53"/>
      <c r="LJ203" s="53"/>
      <c r="LK203" s="53"/>
      <c r="LL203" s="53"/>
      <c r="LM203" s="53"/>
      <c r="LN203" s="53"/>
      <c r="LO203" s="53"/>
      <c r="LP203" s="53"/>
      <c r="LQ203" s="53"/>
      <c r="LR203" s="53"/>
      <c r="LS203" s="53"/>
      <c r="LT203" s="53"/>
      <c r="LU203" s="53"/>
      <c r="LV203" s="53"/>
      <c r="LW203" s="53"/>
      <c r="LX203" s="53"/>
      <c r="LY203" s="53"/>
      <c r="LZ203" s="53"/>
      <c r="MA203" s="53"/>
      <c r="MB203" s="53"/>
      <c r="MC203" s="53"/>
      <c r="MD203" s="53"/>
      <c r="ME203" s="53"/>
      <c r="MF203" s="53"/>
      <c r="MG203" s="53"/>
      <c r="MH203" s="53"/>
      <c r="MI203" s="53"/>
      <c r="MJ203" s="53"/>
      <c r="MK203" s="53"/>
      <c r="ML203" s="53"/>
      <c r="MM203" s="53"/>
      <c r="MN203" s="53"/>
      <c r="MO203" s="53"/>
      <c r="MP203" s="53"/>
      <c r="MQ203" s="53"/>
      <c r="MR203" s="53"/>
      <c r="MS203" s="53"/>
      <c r="MT203" s="53"/>
      <c r="MU203" s="53"/>
      <c r="MV203" s="53"/>
      <c r="MW203" s="53"/>
      <c r="MX203" s="53"/>
      <c r="MY203" s="53"/>
      <c r="MZ203" s="53"/>
      <c r="NA203" s="53"/>
      <c r="NB203" s="53"/>
      <c r="NC203" s="53"/>
      <c r="ND203" s="53"/>
      <c r="NE203" s="53"/>
      <c r="NF203" s="53"/>
      <c r="NG203" s="53"/>
      <c r="NH203" s="53"/>
      <c r="NI203" s="53"/>
      <c r="NJ203" s="53"/>
      <c r="NK203" s="53"/>
      <c r="NL203" s="53"/>
      <c r="NM203" s="53"/>
      <c r="NN203" s="53"/>
      <c r="NO203" s="53"/>
      <c r="NP203" s="53"/>
      <c r="NQ203" s="53"/>
      <c r="NR203" s="53"/>
      <c r="NS203" s="53"/>
      <c r="NT203" s="53"/>
      <c r="NU203" s="53"/>
      <c r="NV203" s="53"/>
      <c r="NW203" s="53"/>
      <c r="NX203" s="53"/>
      <c r="NY203" s="53"/>
      <c r="NZ203" s="53"/>
      <c r="OA203" s="53"/>
      <c r="OB203" s="53"/>
      <c r="OC203" s="53"/>
      <c r="OD203" s="53"/>
      <c r="OE203" s="53"/>
      <c r="OF203" s="53"/>
      <c r="OG203" s="53"/>
      <c r="OH203" s="53"/>
      <c r="OI203" s="53"/>
      <c r="OJ203" s="53"/>
      <c r="OK203" s="53"/>
      <c r="OL203" s="53"/>
      <c r="OM203" s="53"/>
      <c r="ON203" s="53"/>
      <c r="OO203" s="53"/>
      <c r="OP203" s="53"/>
      <c r="OQ203" s="53"/>
      <c r="OR203" s="53"/>
      <c r="OS203" s="53"/>
      <c r="OT203" s="53"/>
      <c r="OU203" s="53"/>
      <c r="OV203" s="53"/>
      <c r="OW203" s="53"/>
      <c r="OX203" s="53"/>
      <c r="OY203" s="53"/>
      <c r="OZ203" s="53"/>
      <c r="PA203" s="53"/>
      <c r="PB203" s="53"/>
      <c r="PC203" s="53"/>
      <c r="PD203" s="53"/>
      <c r="PE203" s="53"/>
      <c r="PF203" s="53"/>
      <c r="PG203" s="53"/>
      <c r="PH203" s="53"/>
      <c r="PI203" s="53"/>
      <c r="PJ203" s="53"/>
      <c r="PK203" s="53"/>
      <c r="PL203" s="53"/>
      <c r="PM203" s="53"/>
      <c r="PN203" s="53"/>
      <c r="PO203" s="53"/>
      <c r="PP203" s="53"/>
      <c r="PQ203" s="53"/>
      <c r="PR203" s="53"/>
      <c r="PS203" s="53"/>
      <c r="PT203" s="53"/>
      <c r="PU203" s="53"/>
      <c r="PV203" s="53"/>
      <c r="PW203" s="53"/>
      <c r="PX203" s="53"/>
      <c r="PY203" s="53"/>
      <c r="PZ203" s="53"/>
      <c r="QA203" s="53"/>
      <c r="QB203" s="53"/>
      <c r="QC203" s="53"/>
      <c r="QD203" s="53"/>
      <c r="QE203" s="53"/>
      <c r="QF203" s="53"/>
      <c r="QG203" s="53"/>
      <c r="QH203" s="53"/>
      <c r="QI203" s="53"/>
      <c r="QJ203" s="53"/>
      <c r="QK203" s="53"/>
      <c r="QL203" s="53"/>
      <c r="QM203" s="53"/>
      <c r="QN203" s="53"/>
      <c r="QO203" s="53"/>
      <c r="QP203" s="53"/>
      <c r="QQ203" s="53"/>
      <c r="QR203" s="53"/>
      <c r="QS203" s="53"/>
      <c r="QT203" s="53"/>
      <c r="QU203" s="53"/>
      <c r="QV203" s="53"/>
      <c r="QW203" s="53"/>
      <c r="QX203" s="53"/>
      <c r="QY203" s="53"/>
      <c r="QZ203" s="53"/>
      <c r="RA203" s="53"/>
      <c r="RB203" s="53"/>
      <c r="RC203" s="53"/>
      <c r="RD203" s="53"/>
      <c r="RE203" s="53"/>
      <c r="RF203" s="53"/>
      <c r="RG203" s="53"/>
      <c r="RH203" s="53"/>
      <c r="RI203" s="53"/>
      <c r="RJ203" s="53"/>
      <c r="RK203" s="53"/>
      <c r="RL203" s="53"/>
      <c r="RM203" s="53"/>
      <c r="RN203" s="53"/>
      <c r="RO203" s="53"/>
      <c r="RP203" s="53"/>
      <c r="RQ203" s="53"/>
      <c r="RR203" s="53"/>
      <c r="RS203" s="53"/>
      <c r="RT203" s="53"/>
      <c r="RU203" s="53"/>
      <c r="RV203" s="53"/>
      <c r="RW203" s="53"/>
      <c r="RX203" s="53"/>
      <c r="RY203" s="53"/>
      <c r="RZ203" s="53"/>
      <c r="SA203" s="53"/>
      <c r="SB203" s="53"/>
      <c r="SC203" s="53"/>
      <c r="SD203" s="53"/>
      <c r="SE203" s="53"/>
      <c r="SF203" s="53"/>
      <c r="SG203" s="53"/>
      <c r="SH203" s="53"/>
      <c r="SI203" s="53"/>
      <c r="SJ203" s="53"/>
      <c r="SK203" s="53"/>
      <c r="SL203" s="53"/>
      <c r="SM203" s="53"/>
      <c r="SN203" s="53"/>
      <c r="SO203" s="53"/>
      <c r="SP203" s="53"/>
      <c r="SQ203" s="53"/>
      <c r="SR203" s="53"/>
      <c r="SS203" s="53"/>
      <c r="ST203" s="53"/>
      <c r="SU203" s="53"/>
      <c r="SV203" s="53"/>
      <c r="SW203" s="53"/>
      <c r="SX203" s="53"/>
      <c r="SY203" s="53"/>
      <c r="SZ203" s="53"/>
      <c r="TA203" s="53"/>
      <c r="TB203" s="53"/>
      <c r="TC203" s="53"/>
      <c r="TD203" s="53"/>
      <c r="TE203" s="53"/>
      <c r="TF203" s="53"/>
      <c r="TG203" s="53"/>
      <c r="TH203" s="53"/>
      <c r="TI203" s="53"/>
      <c r="TJ203" s="53"/>
      <c r="TK203" s="53"/>
      <c r="TL203" s="53"/>
      <c r="TM203" s="53"/>
      <c r="TN203" s="53"/>
      <c r="TO203" s="53"/>
      <c r="TP203" s="53"/>
      <c r="TQ203" s="53"/>
      <c r="TR203" s="53"/>
      <c r="TS203" s="53"/>
      <c r="TT203" s="53"/>
      <c r="TU203" s="53"/>
      <c r="TV203" s="53"/>
      <c r="TW203" s="53"/>
      <c r="TX203" s="53"/>
      <c r="TY203" s="53"/>
      <c r="TZ203" s="53"/>
      <c r="UA203" s="53"/>
      <c r="UB203" s="53"/>
      <c r="UC203" s="53"/>
      <c r="UD203" s="53"/>
      <c r="UE203" s="53"/>
      <c r="UF203" s="53"/>
      <c r="UG203" s="53"/>
      <c r="UH203" s="53"/>
      <c r="UI203" s="53"/>
      <c r="UJ203" s="53"/>
      <c r="UK203" s="53"/>
      <c r="UL203" s="53"/>
      <c r="UM203" s="53"/>
      <c r="UN203" s="53"/>
      <c r="UO203" s="53"/>
      <c r="UP203" s="53"/>
      <c r="UQ203" s="53"/>
      <c r="UR203" s="53"/>
      <c r="US203" s="53"/>
      <c r="UT203" s="53"/>
      <c r="UU203" s="53"/>
      <c r="UV203" s="53"/>
      <c r="UW203" s="53"/>
      <c r="UX203" s="53"/>
      <c r="UY203" s="53"/>
      <c r="UZ203" s="53"/>
      <c r="VA203" s="53"/>
      <c r="VB203" s="53"/>
      <c r="VC203" s="53"/>
      <c r="VD203" s="53"/>
      <c r="VE203" s="53"/>
      <c r="VF203" s="53"/>
      <c r="VG203" s="53"/>
      <c r="VH203" s="53"/>
      <c r="VI203" s="53"/>
      <c r="VJ203" s="53"/>
      <c r="VK203" s="53"/>
      <c r="VL203" s="53"/>
    </row>
    <row r="204" spans="1:584" s="47" customFormat="1" ht="48.75" customHeight="1" x14ac:dyDescent="0.25">
      <c r="A204" s="45" t="s">
        <v>289</v>
      </c>
      <c r="B204" s="91" t="str">
        <f>'дод 3'!A26</f>
        <v>1100</v>
      </c>
      <c r="C204" s="91" t="str">
        <f>'дод 3'!B26</f>
        <v>0960</v>
      </c>
      <c r="D204" s="48" t="str">
        <f>'дод 3'!C26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4" s="115">
        <v>34729300</v>
      </c>
      <c r="F204" s="115">
        <v>27174000</v>
      </c>
      <c r="G204" s="115">
        <f>772000+11079+50000+336+159421-22000</f>
        <v>970836</v>
      </c>
      <c r="H204" s="115">
        <v>34608202.07</v>
      </c>
      <c r="I204" s="115">
        <v>27173998.870000001</v>
      </c>
      <c r="J204" s="115">
        <v>902774.92</v>
      </c>
      <c r="K204" s="164">
        <f t="shared" si="38"/>
        <v>99.651309038765532</v>
      </c>
      <c r="L204" s="115">
        <f t="shared" si="42"/>
        <v>2586580</v>
      </c>
      <c r="M204" s="115">
        <f>100000+10000-30000</f>
        <v>80000</v>
      </c>
      <c r="N204" s="115">
        <v>2501860</v>
      </c>
      <c r="O204" s="115">
        <v>2043504</v>
      </c>
      <c r="P204" s="115"/>
      <c r="Q204" s="115">
        <f>100000+4720+10000-30000</f>
        <v>84720</v>
      </c>
      <c r="R204" s="115">
        <f t="shared" si="39"/>
        <v>2055802.2799999998</v>
      </c>
      <c r="S204" s="115">
        <v>10000</v>
      </c>
      <c r="T204" s="115">
        <v>2036676.38</v>
      </c>
      <c r="U204" s="115">
        <v>1608913.17</v>
      </c>
      <c r="V204" s="115"/>
      <c r="W204" s="115">
        <v>19125.900000000001</v>
      </c>
      <c r="X204" s="166">
        <f t="shared" si="40"/>
        <v>79.479555242830287</v>
      </c>
      <c r="Y204" s="115">
        <f t="shared" si="58"/>
        <v>36664004.350000001</v>
      </c>
      <c r="Z204" s="187"/>
      <c r="AA204" s="53"/>
      <c r="AB204" s="53"/>
      <c r="AC204" s="53"/>
      <c r="AD204" s="53"/>
      <c r="AE204" s="79"/>
      <c r="AF204" s="79"/>
      <c r="AG204" s="79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/>
      <c r="IN204" s="53"/>
      <c r="IO204" s="53"/>
      <c r="IP204" s="53"/>
      <c r="IQ204" s="53"/>
      <c r="IR204" s="53"/>
      <c r="IS204" s="53"/>
      <c r="IT204" s="53"/>
      <c r="IU204" s="53"/>
      <c r="IV204" s="53"/>
      <c r="IW204" s="53"/>
      <c r="IX204" s="53"/>
      <c r="IY204" s="53"/>
      <c r="IZ204" s="53"/>
      <c r="JA204" s="53"/>
      <c r="JB204" s="53"/>
      <c r="JC204" s="53"/>
      <c r="JD204" s="53"/>
      <c r="JE204" s="53"/>
      <c r="JF204" s="53"/>
      <c r="JG204" s="53"/>
      <c r="JH204" s="53"/>
      <c r="JI204" s="53"/>
      <c r="JJ204" s="53"/>
      <c r="JK204" s="53"/>
      <c r="JL204" s="53"/>
      <c r="JM204" s="53"/>
      <c r="JN204" s="53"/>
      <c r="JO204" s="53"/>
      <c r="JP204" s="53"/>
      <c r="JQ204" s="53"/>
      <c r="JR204" s="53"/>
      <c r="JS204" s="53"/>
      <c r="JT204" s="53"/>
      <c r="JU204" s="53"/>
      <c r="JV204" s="53"/>
      <c r="JW204" s="53"/>
      <c r="JX204" s="53"/>
      <c r="JY204" s="53"/>
      <c r="JZ204" s="53"/>
      <c r="KA204" s="53"/>
      <c r="KB204" s="53"/>
      <c r="KC204" s="53"/>
      <c r="KD204" s="53"/>
      <c r="KE204" s="53"/>
      <c r="KF204" s="53"/>
      <c r="KG204" s="53"/>
      <c r="KH204" s="53"/>
      <c r="KI204" s="53"/>
      <c r="KJ204" s="53"/>
      <c r="KK204" s="53"/>
      <c r="KL204" s="53"/>
      <c r="KM204" s="53"/>
      <c r="KN204" s="53"/>
      <c r="KO204" s="53"/>
      <c r="KP204" s="53"/>
      <c r="KQ204" s="53"/>
      <c r="KR204" s="53"/>
      <c r="KS204" s="53"/>
      <c r="KT204" s="53"/>
      <c r="KU204" s="53"/>
      <c r="KV204" s="53"/>
      <c r="KW204" s="53"/>
      <c r="KX204" s="53"/>
      <c r="KY204" s="53"/>
      <c r="KZ204" s="53"/>
      <c r="LA204" s="53"/>
      <c r="LB204" s="53"/>
      <c r="LC204" s="53"/>
      <c r="LD204" s="53"/>
      <c r="LE204" s="53"/>
      <c r="LF204" s="53"/>
      <c r="LG204" s="53"/>
      <c r="LH204" s="53"/>
      <c r="LI204" s="53"/>
      <c r="LJ204" s="53"/>
      <c r="LK204" s="53"/>
      <c r="LL204" s="53"/>
      <c r="LM204" s="53"/>
      <c r="LN204" s="53"/>
      <c r="LO204" s="53"/>
      <c r="LP204" s="53"/>
      <c r="LQ204" s="53"/>
      <c r="LR204" s="53"/>
      <c r="LS204" s="53"/>
      <c r="LT204" s="53"/>
      <c r="LU204" s="53"/>
      <c r="LV204" s="53"/>
      <c r="LW204" s="53"/>
      <c r="LX204" s="53"/>
      <c r="LY204" s="53"/>
      <c r="LZ204" s="53"/>
      <c r="MA204" s="53"/>
      <c r="MB204" s="53"/>
      <c r="MC204" s="53"/>
      <c r="MD204" s="53"/>
      <c r="ME204" s="53"/>
      <c r="MF204" s="53"/>
      <c r="MG204" s="53"/>
      <c r="MH204" s="53"/>
      <c r="MI204" s="53"/>
      <c r="MJ204" s="53"/>
      <c r="MK204" s="53"/>
      <c r="ML204" s="53"/>
      <c r="MM204" s="53"/>
      <c r="MN204" s="53"/>
      <c r="MO204" s="53"/>
      <c r="MP204" s="53"/>
      <c r="MQ204" s="53"/>
      <c r="MR204" s="53"/>
      <c r="MS204" s="53"/>
      <c r="MT204" s="53"/>
      <c r="MU204" s="53"/>
      <c r="MV204" s="53"/>
      <c r="MW204" s="53"/>
      <c r="MX204" s="53"/>
      <c r="MY204" s="53"/>
      <c r="MZ204" s="53"/>
      <c r="NA204" s="53"/>
      <c r="NB204" s="53"/>
      <c r="NC204" s="53"/>
      <c r="ND204" s="53"/>
      <c r="NE204" s="53"/>
      <c r="NF204" s="53"/>
      <c r="NG204" s="53"/>
      <c r="NH204" s="53"/>
      <c r="NI204" s="53"/>
      <c r="NJ204" s="53"/>
      <c r="NK204" s="53"/>
      <c r="NL204" s="53"/>
      <c r="NM204" s="53"/>
      <c r="NN204" s="53"/>
      <c r="NO204" s="53"/>
      <c r="NP204" s="53"/>
      <c r="NQ204" s="53"/>
      <c r="NR204" s="53"/>
      <c r="NS204" s="53"/>
      <c r="NT204" s="53"/>
      <c r="NU204" s="53"/>
      <c r="NV204" s="53"/>
      <c r="NW204" s="53"/>
      <c r="NX204" s="53"/>
      <c r="NY204" s="53"/>
      <c r="NZ204" s="53"/>
      <c r="OA204" s="53"/>
      <c r="OB204" s="53"/>
      <c r="OC204" s="53"/>
      <c r="OD204" s="53"/>
      <c r="OE204" s="53"/>
      <c r="OF204" s="53"/>
      <c r="OG204" s="53"/>
      <c r="OH204" s="53"/>
      <c r="OI204" s="53"/>
      <c r="OJ204" s="53"/>
      <c r="OK204" s="53"/>
      <c r="OL204" s="53"/>
      <c r="OM204" s="53"/>
      <c r="ON204" s="53"/>
      <c r="OO204" s="53"/>
      <c r="OP204" s="53"/>
      <c r="OQ204" s="53"/>
      <c r="OR204" s="53"/>
      <c r="OS204" s="53"/>
      <c r="OT204" s="53"/>
      <c r="OU204" s="53"/>
      <c r="OV204" s="53"/>
      <c r="OW204" s="53"/>
      <c r="OX204" s="53"/>
      <c r="OY204" s="53"/>
      <c r="OZ204" s="53"/>
      <c r="PA204" s="53"/>
      <c r="PB204" s="53"/>
      <c r="PC204" s="53"/>
      <c r="PD204" s="53"/>
      <c r="PE204" s="53"/>
      <c r="PF204" s="53"/>
      <c r="PG204" s="53"/>
      <c r="PH204" s="53"/>
      <c r="PI204" s="53"/>
      <c r="PJ204" s="53"/>
      <c r="PK204" s="53"/>
      <c r="PL204" s="53"/>
      <c r="PM204" s="53"/>
      <c r="PN204" s="53"/>
      <c r="PO204" s="53"/>
      <c r="PP204" s="53"/>
      <c r="PQ204" s="53"/>
      <c r="PR204" s="53"/>
      <c r="PS204" s="53"/>
      <c r="PT204" s="53"/>
      <c r="PU204" s="53"/>
      <c r="PV204" s="53"/>
      <c r="PW204" s="53"/>
      <c r="PX204" s="53"/>
      <c r="PY204" s="53"/>
      <c r="PZ204" s="53"/>
      <c r="QA204" s="53"/>
      <c r="QB204" s="53"/>
      <c r="QC204" s="53"/>
      <c r="QD204" s="53"/>
      <c r="QE204" s="53"/>
      <c r="QF204" s="53"/>
      <c r="QG204" s="53"/>
      <c r="QH204" s="53"/>
      <c r="QI204" s="53"/>
      <c r="QJ204" s="53"/>
      <c r="QK204" s="53"/>
      <c r="QL204" s="53"/>
      <c r="QM204" s="53"/>
      <c r="QN204" s="53"/>
      <c r="QO204" s="53"/>
      <c r="QP204" s="53"/>
      <c r="QQ204" s="53"/>
      <c r="QR204" s="53"/>
      <c r="QS204" s="53"/>
      <c r="QT204" s="53"/>
      <c r="QU204" s="53"/>
      <c r="QV204" s="53"/>
      <c r="QW204" s="53"/>
      <c r="QX204" s="53"/>
      <c r="QY204" s="53"/>
      <c r="QZ204" s="53"/>
      <c r="RA204" s="53"/>
      <c r="RB204" s="53"/>
      <c r="RC204" s="53"/>
      <c r="RD204" s="53"/>
      <c r="RE204" s="53"/>
      <c r="RF204" s="53"/>
      <c r="RG204" s="53"/>
      <c r="RH204" s="53"/>
      <c r="RI204" s="53"/>
      <c r="RJ204" s="53"/>
      <c r="RK204" s="53"/>
      <c r="RL204" s="53"/>
      <c r="RM204" s="53"/>
      <c r="RN204" s="53"/>
      <c r="RO204" s="53"/>
      <c r="RP204" s="53"/>
      <c r="RQ204" s="53"/>
      <c r="RR204" s="53"/>
      <c r="RS204" s="53"/>
      <c r="RT204" s="53"/>
      <c r="RU204" s="53"/>
      <c r="RV204" s="53"/>
      <c r="RW204" s="53"/>
      <c r="RX204" s="53"/>
      <c r="RY204" s="53"/>
      <c r="RZ204" s="53"/>
      <c r="SA204" s="53"/>
      <c r="SB204" s="53"/>
      <c r="SC204" s="53"/>
      <c r="SD204" s="53"/>
      <c r="SE204" s="53"/>
      <c r="SF204" s="53"/>
      <c r="SG204" s="53"/>
      <c r="SH204" s="53"/>
      <c r="SI204" s="53"/>
      <c r="SJ204" s="53"/>
      <c r="SK204" s="53"/>
      <c r="SL204" s="53"/>
      <c r="SM204" s="53"/>
      <c r="SN204" s="53"/>
      <c r="SO204" s="53"/>
      <c r="SP204" s="53"/>
      <c r="SQ204" s="53"/>
      <c r="SR204" s="53"/>
      <c r="SS204" s="53"/>
      <c r="ST204" s="53"/>
      <c r="SU204" s="53"/>
      <c r="SV204" s="53"/>
      <c r="SW204" s="53"/>
      <c r="SX204" s="53"/>
      <c r="SY204" s="53"/>
      <c r="SZ204" s="53"/>
      <c r="TA204" s="53"/>
      <c r="TB204" s="53"/>
      <c r="TC204" s="53"/>
      <c r="TD204" s="53"/>
      <c r="TE204" s="53"/>
      <c r="TF204" s="53"/>
      <c r="TG204" s="53"/>
      <c r="TH204" s="53"/>
      <c r="TI204" s="53"/>
      <c r="TJ204" s="53"/>
      <c r="TK204" s="53"/>
      <c r="TL204" s="53"/>
      <c r="TM204" s="53"/>
      <c r="TN204" s="53"/>
      <c r="TO204" s="53"/>
      <c r="TP204" s="53"/>
      <c r="TQ204" s="53"/>
      <c r="TR204" s="53"/>
      <c r="TS204" s="53"/>
      <c r="TT204" s="53"/>
      <c r="TU204" s="53"/>
      <c r="TV204" s="53"/>
      <c r="TW204" s="53"/>
      <c r="TX204" s="53"/>
      <c r="TY204" s="53"/>
      <c r="TZ204" s="53"/>
      <c r="UA204" s="53"/>
      <c r="UB204" s="53"/>
      <c r="UC204" s="53"/>
      <c r="UD204" s="53"/>
      <c r="UE204" s="53"/>
      <c r="UF204" s="53"/>
      <c r="UG204" s="53"/>
      <c r="UH204" s="53"/>
      <c r="UI204" s="53"/>
      <c r="UJ204" s="53"/>
      <c r="UK204" s="53"/>
      <c r="UL204" s="53"/>
      <c r="UM204" s="53"/>
      <c r="UN204" s="53"/>
      <c r="UO204" s="53"/>
      <c r="UP204" s="53"/>
      <c r="UQ204" s="53"/>
      <c r="UR204" s="53"/>
      <c r="US204" s="53"/>
      <c r="UT204" s="53"/>
      <c r="UU204" s="53"/>
      <c r="UV204" s="53"/>
      <c r="UW204" s="53"/>
      <c r="UX204" s="53"/>
      <c r="UY204" s="53"/>
      <c r="UZ204" s="53"/>
      <c r="VA204" s="53"/>
      <c r="VB204" s="53"/>
      <c r="VC204" s="53"/>
      <c r="VD204" s="53"/>
      <c r="VE204" s="53"/>
      <c r="VF204" s="53"/>
      <c r="VG204" s="53"/>
      <c r="VH204" s="53"/>
      <c r="VI204" s="53"/>
      <c r="VJ204" s="53"/>
      <c r="VK204" s="53"/>
      <c r="VL204" s="53"/>
    </row>
    <row r="205" spans="1:584" s="47" customFormat="1" ht="21" customHeight="1" x14ac:dyDescent="0.25">
      <c r="A205" s="45" t="s">
        <v>258</v>
      </c>
      <c r="B205" s="91" t="str">
        <f>'дод 3'!A131</f>
        <v>4030</v>
      </c>
      <c r="C205" s="91" t="str">
        <f>'дод 3'!B131</f>
        <v>0824</v>
      </c>
      <c r="D205" s="48" t="str">
        <f>'дод 3'!C131</f>
        <v>Забезпечення діяльності бібліотек</v>
      </c>
      <c r="E205" s="115">
        <v>17754990</v>
      </c>
      <c r="F205" s="115">
        <v>12497600</v>
      </c>
      <c r="G205" s="115">
        <f>1288000+13060+100000+248+171371+22000</f>
        <v>1594679</v>
      </c>
      <c r="H205" s="115">
        <v>17414954.789999999</v>
      </c>
      <c r="I205" s="115">
        <v>12461968.859999999</v>
      </c>
      <c r="J205" s="115">
        <v>1511080.95</v>
      </c>
      <c r="K205" s="164">
        <f t="shared" ref="K205:K268" si="59">H205/E205*100</f>
        <v>98.084847076793608</v>
      </c>
      <c r="L205" s="115">
        <f t="shared" si="42"/>
        <v>386020</v>
      </c>
      <c r="M205" s="115">
        <f>300000+5000+43020+10000</f>
        <v>358020</v>
      </c>
      <c r="N205" s="115">
        <v>28000</v>
      </c>
      <c r="O205" s="115">
        <v>5000</v>
      </c>
      <c r="P205" s="115"/>
      <c r="Q205" s="115">
        <f>300000+5000+43020+10000</f>
        <v>358020</v>
      </c>
      <c r="R205" s="115">
        <f t="shared" si="39"/>
        <v>541880.35</v>
      </c>
      <c r="S205" s="115">
        <v>276291.3</v>
      </c>
      <c r="T205" s="115">
        <v>34076.720000000001</v>
      </c>
      <c r="U205" s="115">
        <v>9655.74</v>
      </c>
      <c r="V205" s="115"/>
      <c r="W205" s="115">
        <v>507803.63</v>
      </c>
      <c r="X205" s="166">
        <f t="shared" ref="X205:X267" si="60">R205/L205*100</f>
        <v>140.37623698253975</v>
      </c>
      <c r="Y205" s="115">
        <f t="shared" si="58"/>
        <v>17956835.140000001</v>
      </c>
      <c r="Z205" s="187"/>
      <c r="AA205" s="53"/>
      <c r="AB205" s="53"/>
      <c r="AC205" s="53"/>
      <c r="AD205" s="53"/>
      <c r="AE205" s="79"/>
      <c r="AF205" s="79"/>
      <c r="AG205" s="79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  <c r="IQ205" s="53"/>
      <c r="IR205" s="53"/>
      <c r="IS205" s="53"/>
      <c r="IT205" s="53"/>
      <c r="IU205" s="53"/>
      <c r="IV205" s="53"/>
      <c r="IW205" s="53"/>
      <c r="IX205" s="53"/>
      <c r="IY205" s="53"/>
      <c r="IZ205" s="53"/>
      <c r="JA205" s="53"/>
      <c r="JB205" s="53"/>
      <c r="JC205" s="53"/>
      <c r="JD205" s="53"/>
      <c r="JE205" s="53"/>
      <c r="JF205" s="53"/>
      <c r="JG205" s="53"/>
      <c r="JH205" s="53"/>
      <c r="JI205" s="53"/>
      <c r="JJ205" s="53"/>
      <c r="JK205" s="53"/>
      <c r="JL205" s="53"/>
      <c r="JM205" s="53"/>
      <c r="JN205" s="53"/>
      <c r="JO205" s="53"/>
      <c r="JP205" s="53"/>
      <c r="JQ205" s="53"/>
      <c r="JR205" s="53"/>
      <c r="JS205" s="53"/>
      <c r="JT205" s="53"/>
      <c r="JU205" s="53"/>
      <c r="JV205" s="53"/>
      <c r="JW205" s="53"/>
      <c r="JX205" s="53"/>
      <c r="JY205" s="53"/>
      <c r="JZ205" s="53"/>
      <c r="KA205" s="53"/>
      <c r="KB205" s="53"/>
      <c r="KC205" s="53"/>
      <c r="KD205" s="53"/>
      <c r="KE205" s="53"/>
      <c r="KF205" s="53"/>
      <c r="KG205" s="53"/>
      <c r="KH205" s="53"/>
      <c r="KI205" s="53"/>
      <c r="KJ205" s="53"/>
      <c r="KK205" s="53"/>
      <c r="KL205" s="53"/>
      <c r="KM205" s="53"/>
      <c r="KN205" s="53"/>
      <c r="KO205" s="53"/>
      <c r="KP205" s="53"/>
      <c r="KQ205" s="53"/>
      <c r="KR205" s="53"/>
      <c r="KS205" s="53"/>
      <c r="KT205" s="53"/>
      <c r="KU205" s="53"/>
      <c r="KV205" s="53"/>
      <c r="KW205" s="53"/>
      <c r="KX205" s="53"/>
      <c r="KY205" s="53"/>
      <c r="KZ205" s="53"/>
      <c r="LA205" s="53"/>
      <c r="LB205" s="53"/>
      <c r="LC205" s="53"/>
      <c r="LD205" s="53"/>
      <c r="LE205" s="53"/>
      <c r="LF205" s="53"/>
      <c r="LG205" s="53"/>
      <c r="LH205" s="53"/>
      <c r="LI205" s="53"/>
      <c r="LJ205" s="53"/>
      <c r="LK205" s="53"/>
      <c r="LL205" s="53"/>
      <c r="LM205" s="53"/>
      <c r="LN205" s="53"/>
      <c r="LO205" s="53"/>
      <c r="LP205" s="53"/>
      <c r="LQ205" s="53"/>
      <c r="LR205" s="53"/>
      <c r="LS205" s="53"/>
      <c r="LT205" s="53"/>
      <c r="LU205" s="53"/>
      <c r="LV205" s="53"/>
      <c r="LW205" s="53"/>
      <c r="LX205" s="53"/>
      <c r="LY205" s="53"/>
      <c r="LZ205" s="53"/>
      <c r="MA205" s="53"/>
      <c r="MB205" s="53"/>
      <c r="MC205" s="53"/>
      <c r="MD205" s="53"/>
      <c r="ME205" s="53"/>
      <c r="MF205" s="53"/>
      <c r="MG205" s="53"/>
      <c r="MH205" s="53"/>
      <c r="MI205" s="53"/>
      <c r="MJ205" s="53"/>
      <c r="MK205" s="53"/>
      <c r="ML205" s="53"/>
      <c r="MM205" s="53"/>
      <c r="MN205" s="53"/>
      <c r="MO205" s="53"/>
      <c r="MP205" s="53"/>
      <c r="MQ205" s="53"/>
      <c r="MR205" s="53"/>
      <c r="MS205" s="53"/>
      <c r="MT205" s="53"/>
      <c r="MU205" s="53"/>
      <c r="MV205" s="53"/>
      <c r="MW205" s="53"/>
      <c r="MX205" s="53"/>
      <c r="MY205" s="53"/>
      <c r="MZ205" s="53"/>
      <c r="NA205" s="53"/>
      <c r="NB205" s="53"/>
      <c r="NC205" s="53"/>
      <c r="ND205" s="53"/>
      <c r="NE205" s="53"/>
      <c r="NF205" s="53"/>
      <c r="NG205" s="53"/>
      <c r="NH205" s="53"/>
      <c r="NI205" s="53"/>
      <c r="NJ205" s="53"/>
      <c r="NK205" s="53"/>
      <c r="NL205" s="53"/>
      <c r="NM205" s="53"/>
      <c r="NN205" s="53"/>
      <c r="NO205" s="53"/>
      <c r="NP205" s="53"/>
      <c r="NQ205" s="53"/>
      <c r="NR205" s="53"/>
      <c r="NS205" s="53"/>
      <c r="NT205" s="53"/>
      <c r="NU205" s="53"/>
      <c r="NV205" s="53"/>
      <c r="NW205" s="53"/>
      <c r="NX205" s="53"/>
      <c r="NY205" s="53"/>
      <c r="NZ205" s="53"/>
      <c r="OA205" s="53"/>
      <c r="OB205" s="53"/>
      <c r="OC205" s="53"/>
      <c r="OD205" s="53"/>
      <c r="OE205" s="53"/>
      <c r="OF205" s="53"/>
      <c r="OG205" s="53"/>
      <c r="OH205" s="53"/>
      <c r="OI205" s="53"/>
      <c r="OJ205" s="53"/>
      <c r="OK205" s="53"/>
      <c r="OL205" s="53"/>
      <c r="OM205" s="53"/>
      <c r="ON205" s="53"/>
      <c r="OO205" s="53"/>
      <c r="OP205" s="53"/>
      <c r="OQ205" s="53"/>
      <c r="OR205" s="53"/>
      <c r="OS205" s="53"/>
      <c r="OT205" s="53"/>
      <c r="OU205" s="53"/>
      <c r="OV205" s="53"/>
      <c r="OW205" s="53"/>
      <c r="OX205" s="53"/>
      <c r="OY205" s="53"/>
      <c r="OZ205" s="53"/>
      <c r="PA205" s="53"/>
      <c r="PB205" s="53"/>
      <c r="PC205" s="53"/>
      <c r="PD205" s="53"/>
      <c r="PE205" s="53"/>
      <c r="PF205" s="53"/>
      <c r="PG205" s="53"/>
      <c r="PH205" s="53"/>
      <c r="PI205" s="53"/>
      <c r="PJ205" s="53"/>
      <c r="PK205" s="53"/>
      <c r="PL205" s="53"/>
      <c r="PM205" s="53"/>
      <c r="PN205" s="53"/>
      <c r="PO205" s="53"/>
      <c r="PP205" s="53"/>
      <c r="PQ205" s="53"/>
      <c r="PR205" s="53"/>
      <c r="PS205" s="53"/>
      <c r="PT205" s="53"/>
      <c r="PU205" s="53"/>
      <c r="PV205" s="53"/>
      <c r="PW205" s="53"/>
      <c r="PX205" s="53"/>
      <c r="PY205" s="53"/>
      <c r="PZ205" s="53"/>
      <c r="QA205" s="53"/>
      <c r="QB205" s="53"/>
      <c r="QC205" s="53"/>
      <c r="QD205" s="53"/>
      <c r="QE205" s="53"/>
      <c r="QF205" s="53"/>
      <c r="QG205" s="53"/>
      <c r="QH205" s="53"/>
      <c r="QI205" s="53"/>
      <c r="QJ205" s="53"/>
      <c r="QK205" s="53"/>
      <c r="QL205" s="53"/>
      <c r="QM205" s="53"/>
      <c r="QN205" s="53"/>
      <c r="QO205" s="53"/>
      <c r="QP205" s="53"/>
      <c r="QQ205" s="53"/>
      <c r="QR205" s="53"/>
      <c r="QS205" s="53"/>
      <c r="QT205" s="53"/>
      <c r="QU205" s="53"/>
      <c r="QV205" s="53"/>
      <c r="QW205" s="53"/>
      <c r="QX205" s="53"/>
      <c r="QY205" s="53"/>
      <c r="QZ205" s="53"/>
      <c r="RA205" s="53"/>
      <c r="RB205" s="53"/>
      <c r="RC205" s="53"/>
      <c r="RD205" s="53"/>
      <c r="RE205" s="53"/>
      <c r="RF205" s="53"/>
      <c r="RG205" s="53"/>
      <c r="RH205" s="53"/>
      <c r="RI205" s="53"/>
      <c r="RJ205" s="53"/>
      <c r="RK205" s="53"/>
      <c r="RL205" s="53"/>
      <c r="RM205" s="53"/>
      <c r="RN205" s="53"/>
      <c r="RO205" s="53"/>
      <c r="RP205" s="53"/>
      <c r="RQ205" s="53"/>
      <c r="RR205" s="53"/>
      <c r="RS205" s="53"/>
      <c r="RT205" s="53"/>
      <c r="RU205" s="53"/>
      <c r="RV205" s="53"/>
      <c r="RW205" s="53"/>
      <c r="RX205" s="53"/>
      <c r="RY205" s="53"/>
      <c r="RZ205" s="53"/>
      <c r="SA205" s="53"/>
      <c r="SB205" s="53"/>
      <c r="SC205" s="53"/>
      <c r="SD205" s="53"/>
      <c r="SE205" s="53"/>
      <c r="SF205" s="53"/>
      <c r="SG205" s="53"/>
      <c r="SH205" s="53"/>
      <c r="SI205" s="53"/>
      <c r="SJ205" s="53"/>
      <c r="SK205" s="53"/>
      <c r="SL205" s="53"/>
      <c r="SM205" s="53"/>
      <c r="SN205" s="53"/>
      <c r="SO205" s="53"/>
      <c r="SP205" s="53"/>
      <c r="SQ205" s="53"/>
      <c r="SR205" s="53"/>
      <c r="SS205" s="53"/>
      <c r="ST205" s="53"/>
      <c r="SU205" s="53"/>
      <c r="SV205" s="53"/>
      <c r="SW205" s="53"/>
      <c r="SX205" s="53"/>
      <c r="SY205" s="53"/>
      <c r="SZ205" s="53"/>
      <c r="TA205" s="53"/>
      <c r="TB205" s="53"/>
      <c r="TC205" s="53"/>
      <c r="TD205" s="53"/>
      <c r="TE205" s="53"/>
      <c r="TF205" s="53"/>
      <c r="TG205" s="53"/>
      <c r="TH205" s="53"/>
      <c r="TI205" s="53"/>
      <c r="TJ205" s="53"/>
      <c r="TK205" s="53"/>
      <c r="TL205" s="53"/>
      <c r="TM205" s="53"/>
      <c r="TN205" s="53"/>
      <c r="TO205" s="53"/>
      <c r="TP205" s="53"/>
      <c r="TQ205" s="53"/>
      <c r="TR205" s="53"/>
      <c r="TS205" s="53"/>
      <c r="TT205" s="53"/>
      <c r="TU205" s="53"/>
      <c r="TV205" s="53"/>
      <c r="TW205" s="53"/>
      <c r="TX205" s="53"/>
      <c r="TY205" s="53"/>
      <c r="TZ205" s="53"/>
      <c r="UA205" s="53"/>
      <c r="UB205" s="53"/>
      <c r="UC205" s="53"/>
      <c r="UD205" s="53"/>
      <c r="UE205" s="53"/>
      <c r="UF205" s="53"/>
      <c r="UG205" s="53"/>
      <c r="UH205" s="53"/>
      <c r="UI205" s="53"/>
      <c r="UJ205" s="53"/>
      <c r="UK205" s="53"/>
      <c r="UL205" s="53"/>
      <c r="UM205" s="53"/>
      <c r="UN205" s="53"/>
      <c r="UO205" s="53"/>
      <c r="UP205" s="53"/>
      <c r="UQ205" s="53"/>
      <c r="UR205" s="53"/>
      <c r="US205" s="53"/>
      <c r="UT205" s="53"/>
      <c r="UU205" s="53"/>
      <c r="UV205" s="53"/>
      <c r="UW205" s="53"/>
      <c r="UX205" s="53"/>
      <c r="UY205" s="53"/>
      <c r="UZ205" s="53"/>
      <c r="VA205" s="53"/>
      <c r="VB205" s="53"/>
      <c r="VC205" s="53"/>
      <c r="VD205" s="53"/>
      <c r="VE205" s="53"/>
      <c r="VF205" s="53"/>
      <c r="VG205" s="53"/>
      <c r="VH205" s="53"/>
      <c r="VI205" s="53"/>
      <c r="VJ205" s="53"/>
      <c r="VK205" s="53"/>
      <c r="VL205" s="53"/>
    </row>
    <row r="206" spans="1:584" s="55" customFormat="1" ht="33.75" customHeight="1" x14ac:dyDescent="0.25">
      <c r="A206" s="71">
        <v>1014081</v>
      </c>
      <c r="B206" s="91" t="str">
        <f>'дод 3'!A133</f>
        <v>4081</v>
      </c>
      <c r="C206" s="91" t="str">
        <f>'дод 3'!B133</f>
        <v>0829</v>
      </c>
      <c r="D206" s="48" t="str">
        <f>'дод 3'!C133</f>
        <v xml:space="preserve">Забезпечення діяльності інших закладів в галузі культури і мистецтва </v>
      </c>
      <c r="E206" s="115">
        <v>1457510</v>
      </c>
      <c r="F206" s="115">
        <f>1067900+22300</f>
        <v>1090200</v>
      </c>
      <c r="G206" s="115">
        <f>25650+452+1824+1488</f>
        <v>29414</v>
      </c>
      <c r="H206" s="115">
        <v>1416734.41</v>
      </c>
      <c r="I206" s="115">
        <v>1087838.1499999999</v>
      </c>
      <c r="J206" s="115">
        <v>26728.01</v>
      </c>
      <c r="K206" s="164">
        <f t="shared" si="59"/>
        <v>97.202380086586032</v>
      </c>
      <c r="L206" s="115">
        <f t="shared" si="42"/>
        <v>0</v>
      </c>
      <c r="M206" s="115"/>
      <c r="N206" s="115"/>
      <c r="O206" s="115"/>
      <c r="P206" s="115"/>
      <c r="Q206" s="115"/>
      <c r="R206" s="115">
        <f t="shared" ref="R206:R241" si="61">T206+W206</f>
        <v>0</v>
      </c>
      <c r="S206" s="115"/>
      <c r="T206" s="115"/>
      <c r="U206" s="115"/>
      <c r="V206" s="115"/>
      <c r="W206" s="115"/>
      <c r="X206" s="166"/>
      <c r="Y206" s="115">
        <f t="shared" si="58"/>
        <v>1416734.41</v>
      </c>
      <c r="Z206" s="187"/>
      <c r="AA206" s="77"/>
      <c r="AB206" s="77"/>
      <c r="AC206" s="77"/>
      <c r="AD206" s="77"/>
      <c r="AE206" s="79"/>
      <c r="AF206" s="79"/>
      <c r="AG206" s="79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  <c r="IG206" s="77"/>
      <c r="IH206" s="77"/>
      <c r="II206" s="77"/>
      <c r="IJ206" s="77"/>
      <c r="IK206" s="77"/>
      <c r="IL206" s="77"/>
      <c r="IM206" s="77"/>
      <c r="IN206" s="77"/>
      <c r="IO206" s="77"/>
      <c r="IP206" s="77"/>
      <c r="IQ206" s="77"/>
      <c r="IR206" s="77"/>
      <c r="IS206" s="77"/>
      <c r="IT206" s="77"/>
      <c r="IU206" s="77"/>
      <c r="IV206" s="77"/>
      <c r="IW206" s="77"/>
      <c r="IX206" s="77"/>
      <c r="IY206" s="77"/>
      <c r="IZ206" s="77"/>
      <c r="JA206" s="77"/>
      <c r="JB206" s="77"/>
      <c r="JC206" s="77"/>
      <c r="JD206" s="77"/>
      <c r="JE206" s="77"/>
      <c r="JF206" s="77"/>
      <c r="JG206" s="77"/>
      <c r="JH206" s="77"/>
      <c r="JI206" s="77"/>
      <c r="JJ206" s="77"/>
      <c r="JK206" s="77"/>
      <c r="JL206" s="77"/>
      <c r="JM206" s="77"/>
      <c r="JN206" s="77"/>
      <c r="JO206" s="77"/>
      <c r="JP206" s="77"/>
      <c r="JQ206" s="77"/>
      <c r="JR206" s="77"/>
      <c r="JS206" s="77"/>
      <c r="JT206" s="77"/>
      <c r="JU206" s="77"/>
      <c r="JV206" s="77"/>
      <c r="JW206" s="77"/>
      <c r="JX206" s="77"/>
      <c r="JY206" s="77"/>
      <c r="JZ206" s="77"/>
      <c r="KA206" s="77"/>
      <c r="KB206" s="77"/>
      <c r="KC206" s="77"/>
      <c r="KD206" s="77"/>
      <c r="KE206" s="77"/>
      <c r="KF206" s="77"/>
      <c r="KG206" s="77"/>
      <c r="KH206" s="77"/>
      <c r="KI206" s="77"/>
      <c r="KJ206" s="77"/>
      <c r="KK206" s="77"/>
      <c r="KL206" s="77"/>
      <c r="KM206" s="77"/>
      <c r="KN206" s="77"/>
      <c r="KO206" s="77"/>
      <c r="KP206" s="77"/>
      <c r="KQ206" s="77"/>
      <c r="KR206" s="77"/>
      <c r="KS206" s="77"/>
      <c r="KT206" s="77"/>
      <c r="KU206" s="77"/>
      <c r="KV206" s="77"/>
      <c r="KW206" s="77"/>
      <c r="KX206" s="77"/>
      <c r="KY206" s="77"/>
      <c r="KZ206" s="77"/>
      <c r="LA206" s="77"/>
      <c r="LB206" s="77"/>
      <c r="LC206" s="77"/>
      <c r="LD206" s="77"/>
      <c r="LE206" s="77"/>
      <c r="LF206" s="77"/>
      <c r="LG206" s="77"/>
      <c r="LH206" s="77"/>
      <c r="LI206" s="77"/>
      <c r="LJ206" s="77"/>
      <c r="LK206" s="77"/>
      <c r="LL206" s="77"/>
      <c r="LM206" s="77"/>
      <c r="LN206" s="77"/>
      <c r="LO206" s="77"/>
      <c r="LP206" s="77"/>
      <c r="LQ206" s="77"/>
      <c r="LR206" s="77"/>
      <c r="LS206" s="77"/>
      <c r="LT206" s="77"/>
      <c r="LU206" s="77"/>
      <c r="LV206" s="77"/>
      <c r="LW206" s="77"/>
      <c r="LX206" s="77"/>
      <c r="LY206" s="77"/>
      <c r="LZ206" s="77"/>
      <c r="MA206" s="77"/>
      <c r="MB206" s="77"/>
      <c r="MC206" s="77"/>
      <c r="MD206" s="77"/>
      <c r="ME206" s="77"/>
      <c r="MF206" s="77"/>
      <c r="MG206" s="77"/>
      <c r="MH206" s="77"/>
      <c r="MI206" s="77"/>
      <c r="MJ206" s="77"/>
      <c r="MK206" s="77"/>
      <c r="ML206" s="77"/>
      <c r="MM206" s="77"/>
      <c r="MN206" s="77"/>
      <c r="MO206" s="77"/>
      <c r="MP206" s="77"/>
      <c r="MQ206" s="77"/>
      <c r="MR206" s="77"/>
      <c r="MS206" s="77"/>
      <c r="MT206" s="77"/>
      <c r="MU206" s="77"/>
      <c r="MV206" s="77"/>
      <c r="MW206" s="77"/>
      <c r="MX206" s="77"/>
      <c r="MY206" s="77"/>
      <c r="MZ206" s="77"/>
      <c r="NA206" s="77"/>
      <c r="NB206" s="77"/>
      <c r="NC206" s="77"/>
      <c r="ND206" s="77"/>
      <c r="NE206" s="77"/>
      <c r="NF206" s="77"/>
      <c r="NG206" s="77"/>
      <c r="NH206" s="77"/>
      <c r="NI206" s="77"/>
      <c r="NJ206" s="77"/>
      <c r="NK206" s="77"/>
      <c r="NL206" s="77"/>
      <c r="NM206" s="77"/>
      <c r="NN206" s="77"/>
      <c r="NO206" s="77"/>
      <c r="NP206" s="77"/>
      <c r="NQ206" s="77"/>
      <c r="NR206" s="77"/>
      <c r="NS206" s="77"/>
      <c r="NT206" s="77"/>
      <c r="NU206" s="77"/>
      <c r="NV206" s="77"/>
      <c r="NW206" s="77"/>
      <c r="NX206" s="77"/>
      <c r="NY206" s="77"/>
      <c r="NZ206" s="77"/>
      <c r="OA206" s="77"/>
      <c r="OB206" s="77"/>
      <c r="OC206" s="77"/>
      <c r="OD206" s="77"/>
      <c r="OE206" s="77"/>
      <c r="OF206" s="77"/>
      <c r="OG206" s="77"/>
      <c r="OH206" s="77"/>
      <c r="OI206" s="77"/>
      <c r="OJ206" s="77"/>
      <c r="OK206" s="77"/>
      <c r="OL206" s="77"/>
      <c r="OM206" s="77"/>
      <c r="ON206" s="77"/>
      <c r="OO206" s="77"/>
      <c r="OP206" s="77"/>
      <c r="OQ206" s="77"/>
      <c r="OR206" s="77"/>
      <c r="OS206" s="77"/>
      <c r="OT206" s="77"/>
      <c r="OU206" s="77"/>
      <c r="OV206" s="77"/>
      <c r="OW206" s="77"/>
      <c r="OX206" s="77"/>
      <c r="OY206" s="77"/>
      <c r="OZ206" s="77"/>
      <c r="PA206" s="77"/>
      <c r="PB206" s="77"/>
      <c r="PC206" s="77"/>
      <c r="PD206" s="77"/>
      <c r="PE206" s="77"/>
      <c r="PF206" s="77"/>
      <c r="PG206" s="77"/>
      <c r="PH206" s="77"/>
      <c r="PI206" s="77"/>
      <c r="PJ206" s="77"/>
      <c r="PK206" s="77"/>
      <c r="PL206" s="77"/>
      <c r="PM206" s="77"/>
      <c r="PN206" s="77"/>
      <c r="PO206" s="77"/>
      <c r="PP206" s="77"/>
      <c r="PQ206" s="77"/>
      <c r="PR206" s="77"/>
      <c r="PS206" s="77"/>
      <c r="PT206" s="77"/>
      <c r="PU206" s="77"/>
      <c r="PV206" s="77"/>
      <c r="PW206" s="77"/>
      <c r="PX206" s="77"/>
      <c r="PY206" s="77"/>
      <c r="PZ206" s="77"/>
      <c r="QA206" s="77"/>
      <c r="QB206" s="77"/>
      <c r="QC206" s="77"/>
      <c r="QD206" s="77"/>
      <c r="QE206" s="77"/>
      <c r="QF206" s="77"/>
      <c r="QG206" s="77"/>
      <c r="QH206" s="77"/>
      <c r="QI206" s="77"/>
      <c r="QJ206" s="77"/>
      <c r="QK206" s="77"/>
      <c r="QL206" s="77"/>
      <c r="QM206" s="77"/>
      <c r="QN206" s="77"/>
      <c r="QO206" s="77"/>
      <c r="QP206" s="77"/>
      <c r="QQ206" s="77"/>
      <c r="QR206" s="77"/>
      <c r="QS206" s="77"/>
      <c r="QT206" s="77"/>
      <c r="QU206" s="77"/>
      <c r="QV206" s="77"/>
      <c r="QW206" s="77"/>
      <c r="QX206" s="77"/>
      <c r="QY206" s="77"/>
      <c r="QZ206" s="77"/>
      <c r="RA206" s="77"/>
      <c r="RB206" s="77"/>
      <c r="RC206" s="77"/>
      <c r="RD206" s="77"/>
      <c r="RE206" s="77"/>
      <c r="RF206" s="77"/>
      <c r="RG206" s="77"/>
      <c r="RH206" s="77"/>
      <c r="RI206" s="77"/>
      <c r="RJ206" s="77"/>
      <c r="RK206" s="77"/>
      <c r="RL206" s="77"/>
      <c r="RM206" s="77"/>
      <c r="RN206" s="77"/>
      <c r="RO206" s="77"/>
      <c r="RP206" s="77"/>
      <c r="RQ206" s="77"/>
      <c r="RR206" s="77"/>
      <c r="RS206" s="77"/>
      <c r="RT206" s="77"/>
      <c r="RU206" s="77"/>
      <c r="RV206" s="77"/>
      <c r="RW206" s="77"/>
      <c r="RX206" s="77"/>
      <c r="RY206" s="77"/>
      <c r="RZ206" s="77"/>
      <c r="SA206" s="77"/>
      <c r="SB206" s="77"/>
      <c r="SC206" s="77"/>
      <c r="SD206" s="77"/>
      <c r="SE206" s="77"/>
      <c r="SF206" s="77"/>
      <c r="SG206" s="77"/>
      <c r="SH206" s="77"/>
      <c r="SI206" s="77"/>
      <c r="SJ206" s="77"/>
      <c r="SK206" s="77"/>
      <c r="SL206" s="77"/>
      <c r="SM206" s="77"/>
      <c r="SN206" s="77"/>
      <c r="SO206" s="77"/>
      <c r="SP206" s="77"/>
      <c r="SQ206" s="77"/>
      <c r="SR206" s="77"/>
      <c r="SS206" s="77"/>
      <c r="ST206" s="77"/>
      <c r="SU206" s="77"/>
      <c r="SV206" s="77"/>
      <c r="SW206" s="77"/>
      <c r="SX206" s="77"/>
      <c r="SY206" s="77"/>
      <c r="SZ206" s="77"/>
      <c r="TA206" s="77"/>
      <c r="TB206" s="77"/>
      <c r="TC206" s="77"/>
      <c r="TD206" s="77"/>
      <c r="TE206" s="77"/>
      <c r="TF206" s="77"/>
      <c r="TG206" s="77"/>
      <c r="TH206" s="77"/>
      <c r="TI206" s="77"/>
      <c r="TJ206" s="77"/>
      <c r="TK206" s="77"/>
      <c r="TL206" s="77"/>
      <c r="TM206" s="77"/>
      <c r="TN206" s="77"/>
      <c r="TO206" s="77"/>
      <c r="TP206" s="77"/>
      <c r="TQ206" s="77"/>
      <c r="TR206" s="77"/>
      <c r="TS206" s="77"/>
      <c r="TT206" s="77"/>
      <c r="TU206" s="77"/>
      <c r="TV206" s="77"/>
      <c r="TW206" s="77"/>
      <c r="TX206" s="77"/>
      <c r="TY206" s="77"/>
      <c r="TZ206" s="77"/>
      <c r="UA206" s="77"/>
      <c r="UB206" s="77"/>
      <c r="UC206" s="77"/>
      <c r="UD206" s="77"/>
      <c r="UE206" s="77"/>
      <c r="UF206" s="77"/>
      <c r="UG206" s="77"/>
      <c r="UH206" s="77"/>
      <c r="UI206" s="77"/>
      <c r="UJ206" s="77"/>
      <c r="UK206" s="77"/>
      <c r="UL206" s="77"/>
      <c r="UM206" s="77"/>
      <c r="UN206" s="77"/>
      <c r="UO206" s="77"/>
      <c r="UP206" s="77"/>
      <c r="UQ206" s="77"/>
      <c r="UR206" s="77"/>
      <c r="US206" s="77"/>
      <c r="UT206" s="77"/>
      <c r="UU206" s="77"/>
      <c r="UV206" s="77"/>
      <c r="UW206" s="77"/>
      <c r="UX206" s="77"/>
      <c r="UY206" s="77"/>
      <c r="UZ206" s="77"/>
      <c r="VA206" s="77"/>
      <c r="VB206" s="77"/>
      <c r="VC206" s="77"/>
      <c r="VD206" s="77"/>
      <c r="VE206" s="77"/>
      <c r="VF206" s="77"/>
      <c r="VG206" s="77"/>
      <c r="VH206" s="77"/>
      <c r="VI206" s="77"/>
      <c r="VJ206" s="77"/>
      <c r="VK206" s="77"/>
      <c r="VL206" s="77"/>
    </row>
    <row r="207" spans="1:584" s="55" customFormat="1" ht="25.5" customHeight="1" x14ac:dyDescent="0.25">
      <c r="A207" s="71">
        <v>1014082</v>
      </c>
      <c r="B207" s="91" t="str">
        <f>'дод 3'!A134</f>
        <v>4082</v>
      </c>
      <c r="C207" s="91" t="str">
        <f>'дод 3'!B134</f>
        <v>0829</v>
      </c>
      <c r="D207" s="48" t="str">
        <f>'дод 3'!C134</f>
        <v>Інші заходи в галузі культури і мистецтва</v>
      </c>
      <c r="E207" s="115">
        <v>2502400</v>
      </c>
      <c r="F207" s="115"/>
      <c r="G207" s="115"/>
      <c r="H207" s="115">
        <v>2310297.3199999998</v>
      </c>
      <c r="I207" s="115"/>
      <c r="J207" s="115"/>
      <c r="K207" s="164">
        <f t="shared" si="59"/>
        <v>92.323262468030691</v>
      </c>
      <c r="L207" s="115">
        <f t="shared" si="42"/>
        <v>0</v>
      </c>
      <c r="M207" s="115"/>
      <c r="N207" s="115"/>
      <c r="O207" s="115"/>
      <c r="P207" s="115"/>
      <c r="Q207" s="115"/>
      <c r="R207" s="115">
        <f t="shared" si="61"/>
        <v>0</v>
      </c>
      <c r="S207" s="115"/>
      <c r="T207" s="115"/>
      <c r="U207" s="115"/>
      <c r="V207" s="115"/>
      <c r="W207" s="115"/>
      <c r="X207" s="166"/>
      <c r="Y207" s="115">
        <f t="shared" si="58"/>
        <v>2310297.3199999998</v>
      </c>
      <c r="Z207" s="187"/>
      <c r="AA207" s="77"/>
      <c r="AB207" s="77"/>
      <c r="AC207" s="77"/>
      <c r="AD207" s="77"/>
      <c r="AE207" s="79"/>
      <c r="AF207" s="79"/>
      <c r="AG207" s="79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  <c r="IG207" s="77"/>
      <c r="IH207" s="77"/>
      <c r="II207" s="77"/>
      <c r="IJ207" s="77"/>
      <c r="IK207" s="77"/>
      <c r="IL207" s="77"/>
      <c r="IM207" s="77"/>
      <c r="IN207" s="77"/>
      <c r="IO207" s="77"/>
      <c r="IP207" s="77"/>
      <c r="IQ207" s="77"/>
      <c r="IR207" s="77"/>
      <c r="IS207" s="77"/>
      <c r="IT207" s="77"/>
      <c r="IU207" s="77"/>
      <c r="IV207" s="77"/>
      <c r="IW207" s="77"/>
      <c r="IX207" s="77"/>
      <c r="IY207" s="77"/>
      <c r="IZ207" s="77"/>
      <c r="JA207" s="77"/>
      <c r="JB207" s="77"/>
      <c r="JC207" s="77"/>
      <c r="JD207" s="77"/>
      <c r="JE207" s="77"/>
      <c r="JF207" s="77"/>
      <c r="JG207" s="77"/>
      <c r="JH207" s="77"/>
      <c r="JI207" s="77"/>
      <c r="JJ207" s="77"/>
      <c r="JK207" s="77"/>
      <c r="JL207" s="77"/>
      <c r="JM207" s="77"/>
      <c r="JN207" s="77"/>
      <c r="JO207" s="77"/>
      <c r="JP207" s="77"/>
      <c r="JQ207" s="77"/>
      <c r="JR207" s="77"/>
      <c r="JS207" s="77"/>
      <c r="JT207" s="77"/>
      <c r="JU207" s="77"/>
      <c r="JV207" s="77"/>
      <c r="JW207" s="77"/>
      <c r="JX207" s="77"/>
      <c r="JY207" s="77"/>
      <c r="JZ207" s="77"/>
      <c r="KA207" s="77"/>
      <c r="KB207" s="77"/>
      <c r="KC207" s="77"/>
      <c r="KD207" s="77"/>
      <c r="KE207" s="77"/>
      <c r="KF207" s="77"/>
      <c r="KG207" s="77"/>
      <c r="KH207" s="77"/>
      <c r="KI207" s="77"/>
      <c r="KJ207" s="77"/>
      <c r="KK207" s="77"/>
      <c r="KL207" s="77"/>
      <c r="KM207" s="77"/>
      <c r="KN207" s="77"/>
      <c r="KO207" s="77"/>
      <c r="KP207" s="77"/>
      <c r="KQ207" s="77"/>
      <c r="KR207" s="77"/>
      <c r="KS207" s="77"/>
      <c r="KT207" s="77"/>
      <c r="KU207" s="77"/>
      <c r="KV207" s="77"/>
      <c r="KW207" s="77"/>
      <c r="KX207" s="77"/>
      <c r="KY207" s="77"/>
      <c r="KZ207" s="77"/>
      <c r="LA207" s="77"/>
      <c r="LB207" s="77"/>
      <c r="LC207" s="77"/>
      <c r="LD207" s="77"/>
      <c r="LE207" s="77"/>
      <c r="LF207" s="77"/>
      <c r="LG207" s="77"/>
      <c r="LH207" s="77"/>
      <c r="LI207" s="77"/>
      <c r="LJ207" s="77"/>
      <c r="LK207" s="77"/>
      <c r="LL207" s="77"/>
      <c r="LM207" s="77"/>
      <c r="LN207" s="77"/>
      <c r="LO207" s="77"/>
      <c r="LP207" s="77"/>
      <c r="LQ207" s="77"/>
      <c r="LR207" s="77"/>
      <c r="LS207" s="77"/>
      <c r="LT207" s="77"/>
      <c r="LU207" s="77"/>
      <c r="LV207" s="77"/>
      <c r="LW207" s="77"/>
      <c r="LX207" s="77"/>
      <c r="LY207" s="77"/>
      <c r="LZ207" s="77"/>
      <c r="MA207" s="77"/>
      <c r="MB207" s="77"/>
      <c r="MC207" s="77"/>
      <c r="MD207" s="77"/>
      <c r="ME207" s="77"/>
      <c r="MF207" s="77"/>
      <c r="MG207" s="77"/>
      <c r="MH207" s="77"/>
      <c r="MI207" s="77"/>
      <c r="MJ207" s="77"/>
      <c r="MK207" s="77"/>
      <c r="ML207" s="77"/>
      <c r="MM207" s="77"/>
      <c r="MN207" s="77"/>
      <c r="MO207" s="77"/>
      <c r="MP207" s="77"/>
      <c r="MQ207" s="77"/>
      <c r="MR207" s="77"/>
      <c r="MS207" s="77"/>
      <c r="MT207" s="77"/>
      <c r="MU207" s="77"/>
      <c r="MV207" s="77"/>
      <c r="MW207" s="77"/>
      <c r="MX207" s="77"/>
      <c r="MY207" s="77"/>
      <c r="MZ207" s="77"/>
      <c r="NA207" s="77"/>
      <c r="NB207" s="77"/>
      <c r="NC207" s="77"/>
      <c r="ND207" s="77"/>
      <c r="NE207" s="77"/>
      <c r="NF207" s="77"/>
      <c r="NG207" s="77"/>
      <c r="NH207" s="77"/>
      <c r="NI207" s="77"/>
      <c r="NJ207" s="77"/>
      <c r="NK207" s="77"/>
      <c r="NL207" s="77"/>
      <c r="NM207" s="77"/>
      <c r="NN207" s="77"/>
      <c r="NO207" s="77"/>
      <c r="NP207" s="77"/>
      <c r="NQ207" s="77"/>
      <c r="NR207" s="77"/>
      <c r="NS207" s="77"/>
      <c r="NT207" s="77"/>
      <c r="NU207" s="77"/>
      <c r="NV207" s="77"/>
      <c r="NW207" s="77"/>
      <c r="NX207" s="77"/>
      <c r="NY207" s="77"/>
      <c r="NZ207" s="77"/>
      <c r="OA207" s="77"/>
      <c r="OB207" s="77"/>
      <c r="OC207" s="77"/>
      <c r="OD207" s="77"/>
      <c r="OE207" s="77"/>
      <c r="OF207" s="77"/>
      <c r="OG207" s="77"/>
      <c r="OH207" s="77"/>
      <c r="OI207" s="77"/>
      <c r="OJ207" s="77"/>
      <c r="OK207" s="77"/>
      <c r="OL207" s="77"/>
      <c r="OM207" s="77"/>
      <c r="ON207" s="77"/>
      <c r="OO207" s="77"/>
      <c r="OP207" s="77"/>
      <c r="OQ207" s="77"/>
      <c r="OR207" s="77"/>
      <c r="OS207" s="77"/>
      <c r="OT207" s="77"/>
      <c r="OU207" s="77"/>
      <c r="OV207" s="77"/>
      <c r="OW207" s="77"/>
      <c r="OX207" s="77"/>
      <c r="OY207" s="77"/>
      <c r="OZ207" s="77"/>
      <c r="PA207" s="77"/>
      <c r="PB207" s="77"/>
      <c r="PC207" s="77"/>
      <c r="PD207" s="77"/>
      <c r="PE207" s="77"/>
      <c r="PF207" s="77"/>
      <c r="PG207" s="77"/>
      <c r="PH207" s="77"/>
      <c r="PI207" s="77"/>
      <c r="PJ207" s="77"/>
      <c r="PK207" s="77"/>
      <c r="PL207" s="77"/>
      <c r="PM207" s="77"/>
      <c r="PN207" s="77"/>
      <c r="PO207" s="77"/>
      <c r="PP207" s="77"/>
      <c r="PQ207" s="77"/>
      <c r="PR207" s="77"/>
      <c r="PS207" s="77"/>
      <c r="PT207" s="77"/>
      <c r="PU207" s="77"/>
      <c r="PV207" s="77"/>
      <c r="PW207" s="77"/>
      <c r="PX207" s="77"/>
      <c r="PY207" s="77"/>
      <c r="PZ207" s="77"/>
      <c r="QA207" s="77"/>
      <c r="QB207" s="77"/>
      <c r="QC207" s="77"/>
      <c r="QD207" s="77"/>
      <c r="QE207" s="77"/>
      <c r="QF207" s="77"/>
      <c r="QG207" s="77"/>
      <c r="QH207" s="77"/>
      <c r="QI207" s="77"/>
      <c r="QJ207" s="77"/>
      <c r="QK207" s="77"/>
      <c r="QL207" s="77"/>
      <c r="QM207" s="77"/>
      <c r="QN207" s="77"/>
      <c r="QO207" s="77"/>
      <c r="QP207" s="77"/>
      <c r="QQ207" s="77"/>
      <c r="QR207" s="77"/>
      <c r="QS207" s="77"/>
      <c r="QT207" s="77"/>
      <c r="QU207" s="77"/>
      <c r="QV207" s="77"/>
      <c r="QW207" s="77"/>
      <c r="QX207" s="77"/>
      <c r="QY207" s="77"/>
      <c r="QZ207" s="77"/>
      <c r="RA207" s="77"/>
      <c r="RB207" s="77"/>
      <c r="RC207" s="77"/>
      <c r="RD207" s="77"/>
      <c r="RE207" s="77"/>
      <c r="RF207" s="77"/>
      <c r="RG207" s="77"/>
      <c r="RH207" s="77"/>
      <c r="RI207" s="77"/>
      <c r="RJ207" s="77"/>
      <c r="RK207" s="77"/>
      <c r="RL207" s="77"/>
      <c r="RM207" s="77"/>
      <c r="RN207" s="77"/>
      <c r="RO207" s="77"/>
      <c r="RP207" s="77"/>
      <c r="RQ207" s="77"/>
      <c r="RR207" s="77"/>
      <c r="RS207" s="77"/>
      <c r="RT207" s="77"/>
      <c r="RU207" s="77"/>
      <c r="RV207" s="77"/>
      <c r="RW207" s="77"/>
      <c r="RX207" s="77"/>
      <c r="RY207" s="77"/>
      <c r="RZ207" s="77"/>
      <c r="SA207" s="77"/>
      <c r="SB207" s="77"/>
      <c r="SC207" s="77"/>
      <c r="SD207" s="77"/>
      <c r="SE207" s="77"/>
      <c r="SF207" s="77"/>
      <c r="SG207" s="77"/>
      <c r="SH207" s="77"/>
      <c r="SI207" s="77"/>
      <c r="SJ207" s="77"/>
      <c r="SK207" s="77"/>
      <c r="SL207" s="77"/>
      <c r="SM207" s="77"/>
      <c r="SN207" s="77"/>
      <c r="SO207" s="77"/>
      <c r="SP207" s="77"/>
      <c r="SQ207" s="77"/>
      <c r="SR207" s="77"/>
      <c r="SS207" s="77"/>
      <c r="ST207" s="77"/>
      <c r="SU207" s="77"/>
      <c r="SV207" s="77"/>
      <c r="SW207" s="77"/>
      <c r="SX207" s="77"/>
      <c r="SY207" s="77"/>
      <c r="SZ207" s="77"/>
      <c r="TA207" s="77"/>
      <c r="TB207" s="77"/>
      <c r="TC207" s="77"/>
      <c r="TD207" s="77"/>
      <c r="TE207" s="77"/>
      <c r="TF207" s="77"/>
      <c r="TG207" s="77"/>
      <c r="TH207" s="77"/>
      <c r="TI207" s="77"/>
      <c r="TJ207" s="77"/>
      <c r="TK207" s="77"/>
      <c r="TL207" s="77"/>
      <c r="TM207" s="77"/>
      <c r="TN207" s="77"/>
      <c r="TO207" s="77"/>
      <c r="TP207" s="77"/>
      <c r="TQ207" s="77"/>
      <c r="TR207" s="77"/>
      <c r="TS207" s="77"/>
      <c r="TT207" s="77"/>
      <c r="TU207" s="77"/>
      <c r="TV207" s="77"/>
      <c r="TW207" s="77"/>
      <c r="TX207" s="77"/>
      <c r="TY207" s="77"/>
      <c r="TZ207" s="77"/>
      <c r="UA207" s="77"/>
      <c r="UB207" s="77"/>
      <c r="UC207" s="77"/>
      <c r="UD207" s="77"/>
      <c r="UE207" s="77"/>
      <c r="UF207" s="77"/>
      <c r="UG207" s="77"/>
      <c r="UH207" s="77"/>
      <c r="UI207" s="77"/>
      <c r="UJ207" s="77"/>
      <c r="UK207" s="77"/>
      <c r="UL207" s="77"/>
      <c r="UM207" s="77"/>
      <c r="UN207" s="77"/>
      <c r="UO207" s="77"/>
      <c r="UP207" s="77"/>
      <c r="UQ207" s="77"/>
      <c r="UR207" s="77"/>
      <c r="US207" s="77"/>
      <c r="UT207" s="77"/>
      <c r="UU207" s="77"/>
      <c r="UV207" s="77"/>
      <c r="UW207" s="77"/>
      <c r="UX207" s="77"/>
      <c r="UY207" s="77"/>
      <c r="UZ207" s="77"/>
      <c r="VA207" s="77"/>
      <c r="VB207" s="77"/>
      <c r="VC207" s="77"/>
      <c r="VD207" s="77"/>
      <c r="VE207" s="77"/>
      <c r="VF207" s="77"/>
      <c r="VG207" s="77"/>
      <c r="VH207" s="77"/>
      <c r="VI207" s="77"/>
      <c r="VJ207" s="77"/>
      <c r="VK207" s="77"/>
      <c r="VL207" s="77"/>
    </row>
    <row r="208" spans="1:584" s="55" customFormat="1" ht="37.5" customHeight="1" x14ac:dyDescent="0.25">
      <c r="A208" s="45" t="s">
        <v>538</v>
      </c>
      <c r="B208" s="91" t="s">
        <v>495</v>
      </c>
      <c r="C208" s="91" t="s">
        <v>112</v>
      </c>
      <c r="D208" s="48" t="s">
        <v>496</v>
      </c>
      <c r="E208" s="115">
        <v>0</v>
      </c>
      <c r="F208" s="115"/>
      <c r="G208" s="115"/>
      <c r="H208" s="115"/>
      <c r="I208" s="115"/>
      <c r="J208" s="115"/>
      <c r="K208" s="135"/>
      <c r="L208" s="115">
        <f t="shared" si="42"/>
        <v>500000</v>
      </c>
      <c r="M208" s="115">
        <v>500000</v>
      </c>
      <c r="N208" s="115"/>
      <c r="O208" s="115"/>
      <c r="P208" s="115"/>
      <c r="Q208" s="115">
        <v>500000</v>
      </c>
      <c r="R208" s="115">
        <f t="shared" si="61"/>
        <v>500000</v>
      </c>
      <c r="S208" s="115">
        <v>500000</v>
      </c>
      <c r="T208" s="115"/>
      <c r="U208" s="115"/>
      <c r="V208" s="115"/>
      <c r="W208" s="115">
        <v>500000</v>
      </c>
      <c r="X208" s="166">
        <f t="shared" si="60"/>
        <v>100</v>
      </c>
      <c r="Y208" s="115">
        <f t="shared" si="58"/>
        <v>500000</v>
      </c>
      <c r="Z208" s="187"/>
      <c r="AA208" s="77"/>
      <c r="AB208" s="77"/>
      <c r="AC208" s="77"/>
      <c r="AD208" s="77"/>
      <c r="AE208" s="79"/>
      <c r="AF208" s="79"/>
      <c r="AG208" s="79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  <c r="IG208" s="77"/>
      <c r="IH208" s="77"/>
      <c r="II208" s="77"/>
      <c r="IJ208" s="77"/>
      <c r="IK208" s="77"/>
      <c r="IL208" s="77"/>
      <c r="IM208" s="77"/>
      <c r="IN208" s="77"/>
      <c r="IO208" s="77"/>
      <c r="IP208" s="77"/>
      <c r="IQ208" s="77"/>
      <c r="IR208" s="77"/>
      <c r="IS208" s="77"/>
      <c r="IT208" s="77"/>
      <c r="IU208" s="77"/>
      <c r="IV208" s="77"/>
      <c r="IW208" s="77"/>
      <c r="IX208" s="77"/>
      <c r="IY208" s="77"/>
      <c r="IZ208" s="77"/>
      <c r="JA208" s="77"/>
      <c r="JB208" s="77"/>
      <c r="JC208" s="77"/>
      <c r="JD208" s="77"/>
      <c r="JE208" s="77"/>
      <c r="JF208" s="77"/>
      <c r="JG208" s="77"/>
      <c r="JH208" s="77"/>
      <c r="JI208" s="77"/>
      <c r="JJ208" s="77"/>
      <c r="JK208" s="77"/>
      <c r="JL208" s="77"/>
      <c r="JM208" s="77"/>
      <c r="JN208" s="77"/>
      <c r="JO208" s="77"/>
      <c r="JP208" s="77"/>
      <c r="JQ208" s="77"/>
      <c r="JR208" s="77"/>
      <c r="JS208" s="77"/>
      <c r="JT208" s="77"/>
      <c r="JU208" s="77"/>
      <c r="JV208" s="77"/>
      <c r="JW208" s="77"/>
      <c r="JX208" s="77"/>
      <c r="JY208" s="77"/>
      <c r="JZ208" s="77"/>
      <c r="KA208" s="77"/>
      <c r="KB208" s="77"/>
      <c r="KC208" s="77"/>
      <c r="KD208" s="77"/>
      <c r="KE208" s="77"/>
      <c r="KF208" s="77"/>
      <c r="KG208" s="77"/>
      <c r="KH208" s="77"/>
      <c r="KI208" s="77"/>
      <c r="KJ208" s="77"/>
      <c r="KK208" s="77"/>
      <c r="KL208" s="77"/>
      <c r="KM208" s="77"/>
      <c r="KN208" s="77"/>
      <c r="KO208" s="77"/>
      <c r="KP208" s="77"/>
      <c r="KQ208" s="77"/>
      <c r="KR208" s="77"/>
      <c r="KS208" s="77"/>
      <c r="KT208" s="77"/>
      <c r="KU208" s="77"/>
      <c r="KV208" s="77"/>
      <c r="KW208" s="77"/>
      <c r="KX208" s="77"/>
      <c r="KY208" s="77"/>
      <c r="KZ208" s="77"/>
      <c r="LA208" s="77"/>
      <c r="LB208" s="77"/>
      <c r="LC208" s="77"/>
      <c r="LD208" s="77"/>
      <c r="LE208" s="77"/>
      <c r="LF208" s="77"/>
      <c r="LG208" s="77"/>
      <c r="LH208" s="77"/>
      <c r="LI208" s="77"/>
      <c r="LJ208" s="77"/>
      <c r="LK208" s="77"/>
      <c r="LL208" s="77"/>
      <c r="LM208" s="77"/>
      <c r="LN208" s="77"/>
      <c r="LO208" s="77"/>
      <c r="LP208" s="77"/>
      <c r="LQ208" s="77"/>
      <c r="LR208" s="77"/>
      <c r="LS208" s="77"/>
      <c r="LT208" s="77"/>
      <c r="LU208" s="77"/>
      <c r="LV208" s="77"/>
      <c r="LW208" s="77"/>
      <c r="LX208" s="77"/>
      <c r="LY208" s="77"/>
      <c r="LZ208" s="77"/>
      <c r="MA208" s="77"/>
      <c r="MB208" s="77"/>
      <c r="MC208" s="77"/>
      <c r="MD208" s="77"/>
      <c r="ME208" s="77"/>
      <c r="MF208" s="77"/>
      <c r="MG208" s="77"/>
      <c r="MH208" s="77"/>
      <c r="MI208" s="77"/>
      <c r="MJ208" s="77"/>
      <c r="MK208" s="77"/>
      <c r="ML208" s="77"/>
      <c r="MM208" s="77"/>
      <c r="MN208" s="77"/>
      <c r="MO208" s="77"/>
      <c r="MP208" s="77"/>
      <c r="MQ208" s="77"/>
      <c r="MR208" s="77"/>
      <c r="MS208" s="77"/>
      <c r="MT208" s="77"/>
      <c r="MU208" s="77"/>
      <c r="MV208" s="77"/>
      <c r="MW208" s="77"/>
      <c r="MX208" s="77"/>
      <c r="MY208" s="77"/>
      <c r="MZ208" s="77"/>
      <c r="NA208" s="77"/>
      <c r="NB208" s="77"/>
      <c r="NC208" s="77"/>
      <c r="ND208" s="77"/>
      <c r="NE208" s="77"/>
      <c r="NF208" s="77"/>
      <c r="NG208" s="77"/>
      <c r="NH208" s="77"/>
      <c r="NI208" s="77"/>
      <c r="NJ208" s="77"/>
      <c r="NK208" s="77"/>
      <c r="NL208" s="77"/>
      <c r="NM208" s="77"/>
      <c r="NN208" s="77"/>
      <c r="NO208" s="77"/>
      <c r="NP208" s="77"/>
      <c r="NQ208" s="77"/>
      <c r="NR208" s="77"/>
      <c r="NS208" s="77"/>
      <c r="NT208" s="77"/>
      <c r="NU208" s="77"/>
      <c r="NV208" s="77"/>
      <c r="NW208" s="77"/>
      <c r="NX208" s="77"/>
      <c r="NY208" s="77"/>
      <c r="NZ208" s="77"/>
      <c r="OA208" s="77"/>
      <c r="OB208" s="77"/>
      <c r="OC208" s="77"/>
      <c r="OD208" s="77"/>
      <c r="OE208" s="77"/>
      <c r="OF208" s="77"/>
      <c r="OG208" s="77"/>
      <c r="OH208" s="77"/>
      <c r="OI208" s="77"/>
      <c r="OJ208" s="77"/>
      <c r="OK208" s="77"/>
      <c r="OL208" s="77"/>
      <c r="OM208" s="77"/>
      <c r="ON208" s="77"/>
      <c r="OO208" s="77"/>
      <c r="OP208" s="77"/>
      <c r="OQ208" s="77"/>
      <c r="OR208" s="77"/>
      <c r="OS208" s="77"/>
      <c r="OT208" s="77"/>
      <c r="OU208" s="77"/>
      <c r="OV208" s="77"/>
      <c r="OW208" s="77"/>
      <c r="OX208" s="77"/>
      <c r="OY208" s="77"/>
      <c r="OZ208" s="77"/>
      <c r="PA208" s="77"/>
      <c r="PB208" s="77"/>
      <c r="PC208" s="77"/>
      <c r="PD208" s="77"/>
      <c r="PE208" s="77"/>
      <c r="PF208" s="77"/>
      <c r="PG208" s="77"/>
      <c r="PH208" s="77"/>
      <c r="PI208" s="77"/>
      <c r="PJ208" s="77"/>
      <c r="PK208" s="77"/>
      <c r="PL208" s="77"/>
      <c r="PM208" s="77"/>
      <c r="PN208" s="77"/>
      <c r="PO208" s="77"/>
      <c r="PP208" s="77"/>
      <c r="PQ208" s="77"/>
      <c r="PR208" s="77"/>
      <c r="PS208" s="77"/>
      <c r="PT208" s="77"/>
      <c r="PU208" s="77"/>
      <c r="PV208" s="77"/>
      <c r="PW208" s="77"/>
      <c r="PX208" s="77"/>
      <c r="PY208" s="77"/>
      <c r="PZ208" s="77"/>
      <c r="QA208" s="77"/>
      <c r="QB208" s="77"/>
      <c r="QC208" s="77"/>
      <c r="QD208" s="77"/>
      <c r="QE208" s="77"/>
      <c r="QF208" s="77"/>
      <c r="QG208" s="77"/>
      <c r="QH208" s="77"/>
      <c r="QI208" s="77"/>
      <c r="QJ208" s="77"/>
      <c r="QK208" s="77"/>
      <c r="QL208" s="77"/>
      <c r="QM208" s="77"/>
      <c r="QN208" s="77"/>
      <c r="QO208" s="77"/>
      <c r="QP208" s="77"/>
      <c r="QQ208" s="77"/>
      <c r="QR208" s="77"/>
      <c r="QS208" s="77"/>
      <c r="QT208" s="77"/>
      <c r="QU208" s="77"/>
      <c r="QV208" s="77"/>
      <c r="QW208" s="77"/>
      <c r="QX208" s="77"/>
      <c r="QY208" s="77"/>
      <c r="QZ208" s="77"/>
      <c r="RA208" s="77"/>
      <c r="RB208" s="77"/>
      <c r="RC208" s="77"/>
      <c r="RD208" s="77"/>
      <c r="RE208" s="77"/>
      <c r="RF208" s="77"/>
      <c r="RG208" s="77"/>
      <c r="RH208" s="77"/>
      <c r="RI208" s="77"/>
      <c r="RJ208" s="77"/>
      <c r="RK208" s="77"/>
      <c r="RL208" s="77"/>
      <c r="RM208" s="77"/>
      <c r="RN208" s="77"/>
      <c r="RO208" s="77"/>
      <c r="RP208" s="77"/>
      <c r="RQ208" s="77"/>
      <c r="RR208" s="77"/>
      <c r="RS208" s="77"/>
      <c r="RT208" s="77"/>
      <c r="RU208" s="77"/>
      <c r="RV208" s="77"/>
      <c r="RW208" s="77"/>
      <c r="RX208" s="77"/>
      <c r="RY208" s="77"/>
      <c r="RZ208" s="77"/>
      <c r="SA208" s="77"/>
      <c r="SB208" s="77"/>
      <c r="SC208" s="77"/>
      <c r="SD208" s="77"/>
      <c r="SE208" s="77"/>
      <c r="SF208" s="77"/>
      <c r="SG208" s="77"/>
      <c r="SH208" s="77"/>
      <c r="SI208" s="77"/>
      <c r="SJ208" s="77"/>
      <c r="SK208" s="77"/>
      <c r="SL208" s="77"/>
      <c r="SM208" s="77"/>
      <c r="SN208" s="77"/>
      <c r="SO208" s="77"/>
      <c r="SP208" s="77"/>
      <c r="SQ208" s="77"/>
      <c r="SR208" s="77"/>
      <c r="SS208" s="77"/>
      <c r="ST208" s="77"/>
      <c r="SU208" s="77"/>
      <c r="SV208" s="77"/>
      <c r="SW208" s="77"/>
      <c r="SX208" s="77"/>
      <c r="SY208" s="77"/>
      <c r="SZ208" s="77"/>
      <c r="TA208" s="77"/>
      <c r="TB208" s="77"/>
      <c r="TC208" s="77"/>
      <c r="TD208" s="77"/>
      <c r="TE208" s="77"/>
      <c r="TF208" s="77"/>
      <c r="TG208" s="77"/>
      <c r="TH208" s="77"/>
      <c r="TI208" s="77"/>
      <c r="TJ208" s="77"/>
      <c r="TK208" s="77"/>
      <c r="TL208" s="77"/>
      <c r="TM208" s="77"/>
      <c r="TN208" s="77"/>
      <c r="TO208" s="77"/>
      <c r="TP208" s="77"/>
      <c r="TQ208" s="77"/>
      <c r="TR208" s="77"/>
      <c r="TS208" s="77"/>
      <c r="TT208" s="77"/>
      <c r="TU208" s="77"/>
      <c r="TV208" s="77"/>
      <c r="TW208" s="77"/>
      <c r="TX208" s="77"/>
      <c r="TY208" s="77"/>
      <c r="TZ208" s="77"/>
      <c r="UA208" s="77"/>
      <c r="UB208" s="77"/>
      <c r="UC208" s="77"/>
      <c r="UD208" s="77"/>
      <c r="UE208" s="77"/>
      <c r="UF208" s="77"/>
      <c r="UG208" s="77"/>
      <c r="UH208" s="77"/>
      <c r="UI208" s="77"/>
      <c r="UJ208" s="77"/>
      <c r="UK208" s="77"/>
      <c r="UL208" s="77"/>
      <c r="UM208" s="77"/>
      <c r="UN208" s="77"/>
      <c r="UO208" s="77"/>
      <c r="UP208" s="77"/>
      <c r="UQ208" s="77"/>
      <c r="UR208" s="77"/>
      <c r="US208" s="77"/>
      <c r="UT208" s="77"/>
      <c r="UU208" s="77"/>
      <c r="UV208" s="77"/>
      <c r="UW208" s="77"/>
      <c r="UX208" s="77"/>
      <c r="UY208" s="77"/>
      <c r="UZ208" s="77"/>
      <c r="VA208" s="77"/>
      <c r="VB208" s="77"/>
      <c r="VC208" s="77"/>
      <c r="VD208" s="77"/>
      <c r="VE208" s="77"/>
      <c r="VF208" s="77"/>
      <c r="VG208" s="77"/>
      <c r="VH208" s="77"/>
      <c r="VI208" s="77"/>
      <c r="VJ208" s="77"/>
      <c r="VK208" s="77"/>
      <c r="VL208" s="77"/>
    </row>
    <row r="209" spans="1:584" s="55" customFormat="1" ht="20.25" customHeight="1" x14ac:dyDescent="0.25">
      <c r="A209" s="45"/>
      <c r="B209" s="91"/>
      <c r="C209" s="91"/>
      <c r="D209" s="48" t="s">
        <v>342</v>
      </c>
      <c r="E209" s="115">
        <v>0</v>
      </c>
      <c r="F209" s="115"/>
      <c r="G209" s="115"/>
      <c r="H209" s="115"/>
      <c r="I209" s="115"/>
      <c r="J209" s="115"/>
      <c r="K209" s="135"/>
      <c r="L209" s="115">
        <f t="shared" si="42"/>
        <v>500000</v>
      </c>
      <c r="M209" s="115">
        <v>500000</v>
      </c>
      <c r="N209" s="115"/>
      <c r="O209" s="115"/>
      <c r="P209" s="115"/>
      <c r="Q209" s="115">
        <v>500000</v>
      </c>
      <c r="R209" s="115">
        <f t="shared" si="61"/>
        <v>500000</v>
      </c>
      <c r="S209" s="115">
        <v>500000</v>
      </c>
      <c r="T209" s="115"/>
      <c r="U209" s="115"/>
      <c r="V209" s="115"/>
      <c r="W209" s="115">
        <v>500000</v>
      </c>
      <c r="X209" s="166">
        <f t="shared" si="60"/>
        <v>100</v>
      </c>
      <c r="Y209" s="115">
        <f t="shared" si="58"/>
        <v>500000</v>
      </c>
      <c r="Z209" s="187"/>
      <c r="AA209" s="77"/>
      <c r="AB209" s="77"/>
      <c r="AC209" s="77"/>
      <c r="AD209" s="77"/>
      <c r="AE209" s="79"/>
      <c r="AF209" s="79"/>
      <c r="AG209" s="79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  <c r="IW209" s="77"/>
      <c r="IX209" s="77"/>
      <c r="IY209" s="77"/>
      <c r="IZ209" s="77"/>
      <c r="JA209" s="77"/>
      <c r="JB209" s="77"/>
      <c r="JC209" s="77"/>
      <c r="JD209" s="77"/>
      <c r="JE209" s="77"/>
      <c r="JF209" s="77"/>
      <c r="JG209" s="77"/>
      <c r="JH209" s="77"/>
      <c r="JI209" s="77"/>
      <c r="JJ209" s="77"/>
      <c r="JK209" s="77"/>
      <c r="JL209" s="77"/>
      <c r="JM209" s="77"/>
      <c r="JN209" s="77"/>
      <c r="JO209" s="77"/>
      <c r="JP209" s="77"/>
      <c r="JQ209" s="77"/>
      <c r="JR209" s="77"/>
      <c r="JS209" s="77"/>
      <c r="JT209" s="77"/>
      <c r="JU209" s="77"/>
      <c r="JV209" s="77"/>
      <c r="JW209" s="77"/>
      <c r="JX209" s="77"/>
      <c r="JY209" s="77"/>
      <c r="JZ209" s="77"/>
      <c r="KA209" s="77"/>
      <c r="KB209" s="77"/>
      <c r="KC209" s="77"/>
      <c r="KD209" s="77"/>
      <c r="KE209" s="77"/>
      <c r="KF209" s="77"/>
      <c r="KG209" s="77"/>
      <c r="KH209" s="77"/>
      <c r="KI209" s="77"/>
      <c r="KJ209" s="77"/>
      <c r="KK209" s="77"/>
      <c r="KL209" s="77"/>
      <c r="KM209" s="77"/>
      <c r="KN209" s="77"/>
      <c r="KO209" s="77"/>
      <c r="KP209" s="77"/>
      <c r="KQ209" s="77"/>
      <c r="KR209" s="77"/>
      <c r="KS209" s="77"/>
      <c r="KT209" s="77"/>
      <c r="KU209" s="77"/>
      <c r="KV209" s="77"/>
      <c r="KW209" s="77"/>
      <c r="KX209" s="77"/>
      <c r="KY209" s="77"/>
      <c r="KZ209" s="77"/>
      <c r="LA209" s="77"/>
      <c r="LB209" s="77"/>
      <c r="LC209" s="77"/>
      <c r="LD209" s="77"/>
      <c r="LE209" s="77"/>
      <c r="LF209" s="77"/>
      <c r="LG209" s="77"/>
      <c r="LH209" s="77"/>
      <c r="LI209" s="77"/>
      <c r="LJ209" s="77"/>
      <c r="LK209" s="77"/>
      <c r="LL209" s="77"/>
      <c r="LM209" s="77"/>
      <c r="LN209" s="77"/>
      <c r="LO209" s="77"/>
      <c r="LP209" s="77"/>
      <c r="LQ209" s="77"/>
      <c r="LR209" s="77"/>
      <c r="LS209" s="77"/>
      <c r="LT209" s="77"/>
      <c r="LU209" s="77"/>
      <c r="LV209" s="77"/>
      <c r="LW209" s="77"/>
      <c r="LX209" s="77"/>
      <c r="LY209" s="77"/>
      <c r="LZ209" s="77"/>
      <c r="MA209" s="77"/>
      <c r="MB209" s="77"/>
      <c r="MC209" s="77"/>
      <c r="MD209" s="77"/>
      <c r="ME209" s="77"/>
      <c r="MF209" s="77"/>
      <c r="MG209" s="77"/>
      <c r="MH209" s="77"/>
      <c r="MI209" s="77"/>
      <c r="MJ209" s="77"/>
      <c r="MK209" s="77"/>
      <c r="ML209" s="77"/>
      <c r="MM209" s="77"/>
      <c r="MN209" s="77"/>
      <c r="MO209" s="77"/>
      <c r="MP209" s="77"/>
      <c r="MQ209" s="77"/>
      <c r="MR209" s="77"/>
      <c r="MS209" s="77"/>
      <c r="MT209" s="77"/>
      <c r="MU209" s="77"/>
      <c r="MV209" s="77"/>
      <c r="MW209" s="77"/>
      <c r="MX209" s="77"/>
      <c r="MY209" s="77"/>
      <c r="MZ209" s="77"/>
      <c r="NA209" s="77"/>
      <c r="NB209" s="77"/>
      <c r="NC209" s="77"/>
      <c r="ND209" s="77"/>
      <c r="NE209" s="77"/>
      <c r="NF209" s="77"/>
      <c r="NG209" s="77"/>
      <c r="NH209" s="77"/>
      <c r="NI209" s="77"/>
      <c r="NJ209" s="77"/>
      <c r="NK209" s="77"/>
      <c r="NL209" s="77"/>
      <c r="NM209" s="77"/>
      <c r="NN209" s="77"/>
      <c r="NO209" s="77"/>
      <c r="NP209" s="77"/>
      <c r="NQ209" s="77"/>
      <c r="NR209" s="77"/>
      <c r="NS209" s="77"/>
      <c r="NT209" s="77"/>
      <c r="NU209" s="77"/>
      <c r="NV209" s="77"/>
      <c r="NW209" s="77"/>
      <c r="NX209" s="77"/>
      <c r="NY209" s="77"/>
      <c r="NZ209" s="77"/>
      <c r="OA209" s="77"/>
      <c r="OB209" s="77"/>
      <c r="OC209" s="77"/>
      <c r="OD209" s="77"/>
      <c r="OE209" s="77"/>
      <c r="OF209" s="77"/>
      <c r="OG209" s="77"/>
      <c r="OH209" s="77"/>
      <c r="OI209" s="77"/>
      <c r="OJ209" s="77"/>
      <c r="OK209" s="77"/>
      <c r="OL209" s="77"/>
      <c r="OM209" s="77"/>
      <c r="ON209" s="77"/>
      <c r="OO209" s="77"/>
      <c r="OP209" s="77"/>
      <c r="OQ209" s="77"/>
      <c r="OR209" s="77"/>
      <c r="OS209" s="77"/>
      <c r="OT209" s="77"/>
      <c r="OU209" s="77"/>
      <c r="OV209" s="77"/>
      <c r="OW209" s="77"/>
      <c r="OX209" s="77"/>
      <c r="OY209" s="77"/>
      <c r="OZ209" s="77"/>
      <c r="PA209" s="77"/>
      <c r="PB209" s="77"/>
      <c r="PC209" s="77"/>
      <c r="PD209" s="77"/>
      <c r="PE209" s="77"/>
      <c r="PF209" s="77"/>
      <c r="PG209" s="77"/>
      <c r="PH209" s="77"/>
      <c r="PI209" s="77"/>
      <c r="PJ209" s="77"/>
      <c r="PK209" s="77"/>
      <c r="PL209" s="77"/>
      <c r="PM209" s="77"/>
      <c r="PN209" s="77"/>
      <c r="PO209" s="77"/>
      <c r="PP209" s="77"/>
      <c r="PQ209" s="77"/>
      <c r="PR209" s="77"/>
      <c r="PS209" s="77"/>
      <c r="PT209" s="77"/>
      <c r="PU209" s="77"/>
      <c r="PV209" s="77"/>
      <c r="PW209" s="77"/>
      <c r="PX209" s="77"/>
      <c r="PY209" s="77"/>
      <c r="PZ209" s="77"/>
      <c r="QA209" s="77"/>
      <c r="QB209" s="77"/>
      <c r="QC209" s="77"/>
      <c r="QD209" s="77"/>
      <c r="QE209" s="77"/>
      <c r="QF209" s="77"/>
      <c r="QG209" s="77"/>
      <c r="QH209" s="77"/>
      <c r="QI209" s="77"/>
      <c r="QJ209" s="77"/>
      <c r="QK209" s="77"/>
      <c r="QL209" s="77"/>
      <c r="QM209" s="77"/>
      <c r="QN209" s="77"/>
      <c r="QO209" s="77"/>
      <c r="QP209" s="77"/>
      <c r="QQ209" s="77"/>
      <c r="QR209" s="77"/>
      <c r="QS209" s="77"/>
      <c r="QT209" s="77"/>
      <c r="QU209" s="77"/>
      <c r="QV209" s="77"/>
      <c r="QW209" s="77"/>
      <c r="QX209" s="77"/>
      <c r="QY209" s="77"/>
      <c r="QZ209" s="77"/>
      <c r="RA209" s="77"/>
      <c r="RB209" s="77"/>
      <c r="RC209" s="77"/>
      <c r="RD209" s="77"/>
      <c r="RE209" s="77"/>
      <c r="RF209" s="77"/>
      <c r="RG209" s="77"/>
      <c r="RH209" s="77"/>
      <c r="RI209" s="77"/>
      <c r="RJ209" s="77"/>
      <c r="RK209" s="77"/>
      <c r="RL209" s="77"/>
      <c r="RM209" s="77"/>
      <c r="RN209" s="77"/>
      <c r="RO209" s="77"/>
      <c r="RP209" s="77"/>
      <c r="RQ209" s="77"/>
      <c r="RR209" s="77"/>
      <c r="RS209" s="77"/>
      <c r="RT209" s="77"/>
      <c r="RU209" s="77"/>
      <c r="RV209" s="77"/>
      <c r="RW209" s="77"/>
      <c r="RX209" s="77"/>
      <c r="RY209" s="77"/>
      <c r="RZ209" s="77"/>
      <c r="SA209" s="77"/>
      <c r="SB209" s="77"/>
      <c r="SC209" s="77"/>
      <c r="SD209" s="77"/>
      <c r="SE209" s="77"/>
      <c r="SF209" s="77"/>
      <c r="SG209" s="77"/>
      <c r="SH209" s="77"/>
      <c r="SI209" s="77"/>
      <c r="SJ209" s="77"/>
      <c r="SK209" s="77"/>
      <c r="SL209" s="77"/>
      <c r="SM209" s="77"/>
      <c r="SN209" s="77"/>
      <c r="SO209" s="77"/>
      <c r="SP209" s="77"/>
      <c r="SQ209" s="77"/>
      <c r="SR209" s="77"/>
      <c r="SS209" s="77"/>
      <c r="ST209" s="77"/>
      <c r="SU209" s="77"/>
      <c r="SV209" s="77"/>
      <c r="SW209" s="77"/>
      <c r="SX209" s="77"/>
      <c r="SY209" s="77"/>
      <c r="SZ209" s="77"/>
      <c r="TA209" s="77"/>
      <c r="TB209" s="77"/>
      <c r="TC209" s="77"/>
      <c r="TD209" s="77"/>
      <c r="TE209" s="77"/>
      <c r="TF209" s="77"/>
      <c r="TG209" s="77"/>
      <c r="TH209" s="77"/>
      <c r="TI209" s="77"/>
      <c r="TJ209" s="77"/>
      <c r="TK209" s="77"/>
      <c r="TL209" s="77"/>
      <c r="TM209" s="77"/>
      <c r="TN209" s="77"/>
      <c r="TO209" s="77"/>
      <c r="TP209" s="77"/>
      <c r="TQ209" s="77"/>
      <c r="TR209" s="77"/>
      <c r="TS209" s="77"/>
      <c r="TT209" s="77"/>
      <c r="TU209" s="77"/>
      <c r="TV209" s="77"/>
      <c r="TW209" s="77"/>
      <c r="TX209" s="77"/>
      <c r="TY209" s="77"/>
      <c r="TZ209" s="77"/>
      <c r="UA209" s="77"/>
      <c r="UB209" s="77"/>
      <c r="UC209" s="77"/>
      <c r="UD209" s="77"/>
      <c r="UE209" s="77"/>
      <c r="UF209" s="77"/>
      <c r="UG209" s="77"/>
      <c r="UH209" s="77"/>
      <c r="UI209" s="77"/>
      <c r="UJ209" s="77"/>
      <c r="UK209" s="77"/>
      <c r="UL209" s="77"/>
      <c r="UM209" s="77"/>
      <c r="UN209" s="77"/>
      <c r="UO209" s="77"/>
      <c r="UP209" s="77"/>
      <c r="UQ209" s="77"/>
      <c r="UR209" s="77"/>
      <c r="US209" s="77"/>
      <c r="UT209" s="77"/>
      <c r="UU209" s="77"/>
      <c r="UV209" s="77"/>
      <c r="UW209" s="77"/>
      <c r="UX209" s="77"/>
      <c r="UY209" s="77"/>
      <c r="UZ209" s="77"/>
      <c r="VA209" s="77"/>
      <c r="VB209" s="77"/>
      <c r="VC209" s="77"/>
      <c r="VD209" s="77"/>
      <c r="VE209" s="77"/>
      <c r="VF209" s="77"/>
      <c r="VG209" s="77"/>
      <c r="VH209" s="77"/>
      <c r="VI209" s="77"/>
      <c r="VJ209" s="77"/>
      <c r="VK209" s="77"/>
      <c r="VL209" s="77"/>
    </row>
    <row r="210" spans="1:584" s="47" customFormat="1" ht="22.5" customHeight="1" x14ac:dyDescent="0.25">
      <c r="A210" s="45" t="s">
        <v>197</v>
      </c>
      <c r="B210" s="91" t="str">
        <f>'дод 3'!A189</f>
        <v>7640</v>
      </c>
      <c r="C210" s="91" t="str">
        <f>'дод 3'!B189</f>
        <v>0470</v>
      </c>
      <c r="D210" s="48" t="str">
        <f>'дод 3'!C189</f>
        <v>Заходи з енергозбереження</v>
      </c>
      <c r="E210" s="115">
        <v>0</v>
      </c>
      <c r="F210" s="115"/>
      <c r="G210" s="115"/>
      <c r="H210" s="115"/>
      <c r="I210" s="115"/>
      <c r="J210" s="115"/>
      <c r="K210" s="135"/>
      <c r="L210" s="115">
        <f t="shared" si="42"/>
        <v>870000</v>
      </c>
      <c r="M210" s="115">
        <f>1006000-136000</f>
        <v>870000</v>
      </c>
      <c r="N210" s="115"/>
      <c r="O210" s="115"/>
      <c r="P210" s="115"/>
      <c r="Q210" s="115">
        <f>1006000-136000</f>
        <v>870000</v>
      </c>
      <c r="R210" s="115">
        <f t="shared" si="61"/>
        <v>683236.31</v>
      </c>
      <c r="S210" s="115">
        <v>683236.31</v>
      </c>
      <c r="T210" s="115"/>
      <c r="U210" s="115"/>
      <c r="V210" s="115"/>
      <c r="W210" s="115">
        <v>683236.31</v>
      </c>
      <c r="X210" s="166">
        <f t="shared" si="60"/>
        <v>78.532909195402297</v>
      </c>
      <c r="Y210" s="115">
        <f t="shared" si="58"/>
        <v>683236.31</v>
      </c>
      <c r="Z210" s="187"/>
      <c r="AA210" s="53"/>
      <c r="AB210" s="53"/>
      <c r="AC210" s="53"/>
      <c r="AD210" s="53"/>
      <c r="AE210" s="79"/>
      <c r="AF210" s="79"/>
      <c r="AG210" s="79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/>
      <c r="IN210" s="53"/>
      <c r="IO210" s="53"/>
      <c r="IP210" s="53"/>
      <c r="IQ210" s="53"/>
      <c r="IR210" s="53"/>
      <c r="IS210" s="53"/>
      <c r="IT210" s="53"/>
      <c r="IU210" s="53"/>
      <c r="IV210" s="53"/>
      <c r="IW210" s="53"/>
      <c r="IX210" s="53"/>
      <c r="IY210" s="53"/>
      <c r="IZ210" s="53"/>
      <c r="JA210" s="53"/>
      <c r="JB210" s="53"/>
      <c r="JC210" s="53"/>
      <c r="JD210" s="53"/>
      <c r="JE210" s="53"/>
      <c r="JF210" s="53"/>
      <c r="JG210" s="53"/>
      <c r="JH210" s="53"/>
      <c r="JI210" s="53"/>
      <c r="JJ210" s="53"/>
      <c r="JK210" s="53"/>
      <c r="JL210" s="53"/>
      <c r="JM210" s="53"/>
      <c r="JN210" s="53"/>
      <c r="JO210" s="53"/>
      <c r="JP210" s="53"/>
      <c r="JQ210" s="53"/>
      <c r="JR210" s="53"/>
      <c r="JS210" s="53"/>
      <c r="JT210" s="53"/>
      <c r="JU210" s="53"/>
      <c r="JV210" s="53"/>
      <c r="JW210" s="53"/>
      <c r="JX210" s="53"/>
      <c r="JY210" s="53"/>
      <c r="JZ210" s="53"/>
      <c r="KA210" s="53"/>
      <c r="KB210" s="53"/>
      <c r="KC210" s="53"/>
      <c r="KD210" s="53"/>
      <c r="KE210" s="53"/>
      <c r="KF210" s="53"/>
      <c r="KG210" s="53"/>
      <c r="KH210" s="53"/>
      <c r="KI210" s="53"/>
      <c r="KJ210" s="53"/>
      <c r="KK210" s="53"/>
      <c r="KL210" s="53"/>
      <c r="KM210" s="53"/>
      <c r="KN210" s="53"/>
      <c r="KO210" s="53"/>
      <c r="KP210" s="53"/>
      <c r="KQ210" s="53"/>
      <c r="KR210" s="53"/>
      <c r="KS210" s="53"/>
      <c r="KT210" s="53"/>
      <c r="KU210" s="53"/>
      <c r="KV210" s="53"/>
      <c r="KW210" s="53"/>
      <c r="KX210" s="53"/>
      <c r="KY210" s="53"/>
      <c r="KZ210" s="53"/>
      <c r="LA210" s="53"/>
      <c r="LB210" s="53"/>
      <c r="LC210" s="53"/>
      <c r="LD210" s="53"/>
      <c r="LE210" s="53"/>
      <c r="LF210" s="53"/>
      <c r="LG210" s="53"/>
      <c r="LH210" s="53"/>
      <c r="LI210" s="53"/>
      <c r="LJ210" s="53"/>
      <c r="LK210" s="53"/>
      <c r="LL210" s="53"/>
      <c r="LM210" s="53"/>
      <c r="LN210" s="53"/>
      <c r="LO210" s="53"/>
      <c r="LP210" s="53"/>
      <c r="LQ210" s="53"/>
      <c r="LR210" s="53"/>
      <c r="LS210" s="53"/>
      <c r="LT210" s="53"/>
      <c r="LU210" s="53"/>
      <c r="LV210" s="53"/>
      <c r="LW210" s="53"/>
      <c r="LX210" s="53"/>
      <c r="LY210" s="53"/>
      <c r="LZ210" s="53"/>
      <c r="MA210" s="53"/>
      <c r="MB210" s="53"/>
      <c r="MC210" s="53"/>
      <c r="MD210" s="53"/>
      <c r="ME210" s="53"/>
      <c r="MF210" s="53"/>
      <c r="MG210" s="53"/>
      <c r="MH210" s="53"/>
      <c r="MI210" s="53"/>
      <c r="MJ210" s="53"/>
      <c r="MK210" s="53"/>
      <c r="ML210" s="53"/>
      <c r="MM210" s="53"/>
      <c r="MN210" s="53"/>
      <c r="MO210" s="53"/>
      <c r="MP210" s="53"/>
      <c r="MQ210" s="53"/>
      <c r="MR210" s="53"/>
      <c r="MS210" s="53"/>
      <c r="MT210" s="53"/>
      <c r="MU210" s="53"/>
      <c r="MV210" s="53"/>
      <c r="MW210" s="53"/>
      <c r="MX210" s="53"/>
      <c r="MY210" s="53"/>
      <c r="MZ210" s="53"/>
      <c r="NA210" s="53"/>
      <c r="NB210" s="53"/>
      <c r="NC210" s="53"/>
      <c r="ND210" s="53"/>
      <c r="NE210" s="53"/>
      <c r="NF210" s="53"/>
      <c r="NG210" s="53"/>
      <c r="NH210" s="53"/>
      <c r="NI210" s="53"/>
      <c r="NJ210" s="53"/>
      <c r="NK210" s="53"/>
      <c r="NL210" s="53"/>
      <c r="NM210" s="53"/>
      <c r="NN210" s="53"/>
      <c r="NO210" s="53"/>
      <c r="NP210" s="53"/>
      <c r="NQ210" s="53"/>
      <c r="NR210" s="53"/>
      <c r="NS210" s="53"/>
      <c r="NT210" s="53"/>
      <c r="NU210" s="53"/>
      <c r="NV210" s="53"/>
      <c r="NW210" s="53"/>
      <c r="NX210" s="53"/>
      <c r="NY210" s="53"/>
      <c r="NZ210" s="53"/>
      <c r="OA210" s="53"/>
      <c r="OB210" s="53"/>
      <c r="OC210" s="53"/>
      <c r="OD210" s="53"/>
      <c r="OE210" s="53"/>
      <c r="OF210" s="53"/>
      <c r="OG210" s="53"/>
      <c r="OH210" s="53"/>
      <c r="OI210" s="53"/>
      <c r="OJ210" s="53"/>
      <c r="OK210" s="53"/>
      <c r="OL210" s="53"/>
      <c r="OM210" s="53"/>
      <c r="ON210" s="53"/>
      <c r="OO210" s="53"/>
      <c r="OP210" s="53"/>
      <c r="OQ210" s="53"/>
      <c r="OR210" s="53"/>
      <c r="OS210" s="53"/>
      <c r="OT210" s="53"/>
      <c r="OU210" s="53"/>
      <c r="OV210" s="53"/>
      <c r="OW210" s="53"/>
      <c r="OX210" s="53"/>
      <c r="OY210" s="53"/>
      <c r="OZ210" s="53"/>
      <c r="PA210" s="53"/>
      <c r="PB210" s="53"/>
      <c r="PC210" s="53"/>
      <c r="PD210" s="53"/>
      <c r="PE210" s="53"/>
      <c r="PF210" s="53"/>
      <c r="PG210" s="53"/>
      <c r="PH210" s="53"/>
      <c r="PI210" s="53"/>
      <c r="PJ210" s="53"/>
      <c r="PK210" s="53"/>
      <c r="PL210" s="53"/>
      <c r="PM210" s="53"/>
      <c r="PN210" s="53"/>
      <c r="PO210" s="53"/>
      <c r="PP210" s="53"/>
      <c r="PQ210" s="53"/>
      <c r="PR210" s="53"/>
      <c r="PS210" s="53"/>
      <c r="PT210" s="53"/>
      <c r="PU210" s="53"/>
      <c r="PV210" s="53"/>
      <c r="PW210" s="53"/>
      <c r="PX210" s="53"/>
      <c r="PY210" s="53"/>
      <c r="PZ210" s="53"/>
      <c r="QA210" s="53"/>
      <c r="QB210" s="53"/>
      <c r="QC210" s="53"/>
      <c r="QD210" s="53"/>
      <c r="QE210" s="53"/>
      <c r="QF210" s="53"/>
      <c r="QG210" s="53"/>
      <c r="QH210" s="53"/>
      <c r="QI210" s="53"/>
      <c r="QJ210" s="53"/>
      <c r="QK210" s="53"/>
      <c r="QL210" s="53"/>
      <c r="QM210" s="53"/>
      <c r="QN210" s="53"/>
      <c r="QO210" s="53"/>
      <c r="QP210" s="53"/>
      <c r="QQ210" s="53"/>
      <c r="QR210" s="53"/>
      <c r="QS210" s="53"/>
      <c r="QT210" s="53"/>
      <c r="QU210" s="53"/>
      <c r="QV210" s="53"/>
      <c r="QW210" s="53"/>
      <c r="QX210" s="53"/>
      <c r="QY210" s="53"/>
      <c r="QZ210" s="53"/>
      <c r="RA210" s="53"/>
      <c r="RB210" s="53"/>
      <c r="RC210" s="53"/>
      <c r="RD210" s="53"/>
      <c r="RE210" s="53"/>
      <c r="RF210" s="53"/>
      <c r="RG210" s="53"/>
      <c r="RH210" s="53"/>
      <c r="RI210" s="53"/>
      <c r="RJ210" s="53"/>
      <c r="RK210" s="53"/>
      <c r="RL210" s="53"/>
      <c r="RM210" s="53"/>
      <c r="RN210" s="53"/>
      <c r="RO210" s="53"/>
      <c r="RP210" s="53"/>
      <c r="RQ210" s="53"/>
      <c r="RR210" s="53"/>
      <c r="RS210" s="53"/>
      <c r="RT210" s="53"/>
      <c r="RU210" s="53"/>
      <c r="RV210" s="53"/>
      <c r="RW210" s="53"/>
      <c r="RX210" s="53"/>
      <c r="RY210" s="53"/>
      <c r="RZ210" s="53"/>
      <c r="SA210" s="53"/>
      <c r="SB210" s="53"/>
      <c r="SC210" s="53"/>
      <c r="SD210" s="53"/>
      <c r="SE210" s="53"/>
      <c r="SF210" s="53"/>
      <c r="SG210" s="53"/>
      <c r="SH210" s="53"/>
      <c r="SI210" s="53"/>
      <c r="SJ210" s="53"/>
      <c r="SK210" s="53"/>
      <c r="SL210" s="53"/>
      <c r="SM210" s="53"/>
      <c r="SN210" s="53"/>
      <c r="SO210" s="53"/>
      <c r="SP210" s="53"/>
      <c r="SQ210" s="53"/>
      <c r="SR210" s="53"/>
      <c r="SS210" s="53"/>
      <c r="ST210" s="53"/>
      <c r="SU210" s="53"/>
      <c r="SV210" s="53"/>
      <c r="SW210" s="53"/>
      <c r="SX210" s="53"/>
      <c r="SY210" s="53"/>
      <c r="SZ210" s="53"/>
      <c r="TA210" s="53"/>
      <c r="TB210" s="53"/>
      <c r="TC210" s="53"/>
      <c r="TD210" s="53"/>
      <c r="TE210" s="53"/>
      <c r="TF210" s="53"/>
      <c r="TG210" s="53"/>
      <c r="TH210" s="53"/>
      <c r="TI210" s="53"/>
      <c r="TJ210" s="53"/>
      <c r="TK210" s="53"/>
      <c r="TL210" s="53"/>
      <c r="TM210" s="53"/>
      <c r="TN210" s="53"/>
      <c r="TO210" s="53"/>
      <c r="TP210" s="53"/>
      <c r="TQ210" s="53"/>
      <c r="TR210" s="53"/>
      <c r="TS210" s="53"/>
      <c r="TT210" s="53"/>
      <c r="TU210" s="53"/>
      <c r="TV210" s="53"/>
      <c r="TW210" s="53"/>
      <c r="TX210" s="53"/>
      <c r="TY210" s="53"/>
      <c r="TZ210" s="53"/>
      <c r="UA210" s="53"/>
      <c r="UB210" s="53"/>
      <c r="UC210" s="53"/>
      <c r="UD210" s="53"/>
      <c r="UE210" s="53"/>
      <c r="UF210" s="53"/>
      <c r="UG210" s="53"/>
      <c r="UH210" s="53"/>
      <c r="UI210" s="53"/>
      <c r="UJ210" s="53"/>
      <c r="UK210" s="53"/>
      <c r="UL210" s="53"/>
      <c r="UM210" s="53"/>
      <c r="UN210" s="53"/>
      <c r="UO210" s="53"/>
      <c r="UP210" s="53"/>
      <c r="UQ210" s="53"/>
      <c r="UR210" s="53"/>
      <c r="US210" s="53"/>
      <c r="UT210" s="53"/>
      <c r="UU210" s="53"/>
      <c r="UV210" s="53"/>
      <c r="UW210" s="53"/>
      <c r="UX210" s="53"/>
      <c r="UY210" s="53"/>
      <c r="UZ210" s="53"/>
      <c r="VA210" s="53"/>
      <c r="VB210" s="53"/>
      <c r="VC210" s="53"/>
      <c r="VD210" s="53"/>
      <c r="VE210" s="53"/>
      <c r="VF210" s="53"/>
      <c r="VG210" s="53"/>
      <c r="VH210" s="53"/>
      <c r="VI210" s="53"/>
      <c r="VJ210" s="53"/>
      <c r="VK210" s="53"/>
      <c r="VL210" s="53"/>
    </row>
    <row r="211" spans="1:584" s="64" customFormat="1" ht="21.75" customHeight="1" x14ac:dyDescent="0.25">
      <c r="A211" s="62" t="s">
        <v>259</v>
      </c>
      <c r="B211" s="97"/>
      <c r="C211" s="97"/>
      <c r="D211" s="63" t="s">
        <v>53</v>
      </c>
      <c r="E211" s="116">
        <f>E212</f>
        <v>263693052.95000002</v>
      </c>
      <c r="F211" s="116">
        <f t="shared" ref="F211:Y211" si="62">F212</f>
        <v>8866830</v>
      </c>
      <c r="G211" s="116">
        <f t="shared" si="62"/>
        <v>26440773.59</v>
      </c>
      <c r="H211" s="116">
        <f>H212</f>
        <v>259946894.81999999</v>
      </c>
      <c r="I211" s="116">
        <f t="shared" si="62"/>
        <v>8777902.8800000008</v>
      </c>
      <c r="J211" s="116">
        <f t="shared" si="62"/>
        <v>26105358.27</v>
      </c>
      <c r="K211" s="135">
        <f t="shared" si="59"/>
        <v>98.579348948297721</v>
      </c>
      <c r="L211" s="116">
        <f t="shared" si="62"/>
        <v>193721187.16000003</v>
      </c>
      <c r="M211" s="116">
        <f t="shared" si="62"/>
        <v>147456979.28000003</v>
      </c>
      <c r="N211" s="116">
        <f t="shared" si="62"/>
        <v>43439115.409999996</v>
      </c>
      <c r="O211" s="116">
        <f t="shared" si="62"/>
        <v>0</v>
      </c>
      <c r="P211" s="116">
        <f t="shared" si="62"/>
        <v>540000</v>
      </c>
      <c r="Q211" s="116">
        <f t="shared" si="62"/>
        <v>150282071.75</v>
      </c>
      <c r="R211" s="116">
        <f t="shared" si="62"/>
        <v>149532078.76999998</v>
      </c>
      <c r="S211" s="116">
        <f t="shared" si="62"/>
        <v>105039472.98999999</v>
      </c>
      <c r="T211" s="116">
        <f t="shared" si="62"/>
        <v>43100909.659999996</v>
      </c>
      <c r="U211" s="116">
        <f t="shared" si="62"/>
        <v>0</v>
      </c>
      <c r="V211" s="116">
        <f t="shared" si="62"/>
        <v>540000</v>
      </c>
      <c r="W211" s="116">
        <f t="shared" si="62"/>
        <v>106431169.11</v>
      </c>
      <c r="X211" s="149">
        <f t="shared" si="60"/>
        <v>77.189326042327551</v>
      </c>
      <c r="Y211" s="116">
        <f t="shared" si="62"/>
        <v>409478973.59000003</v>
      </c>
      <c r="Z211" s="187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/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9"/>
      <c r="DM211" s="79"/>
      <c r="DN211" s="79"/>
      <c r="DO211" s="79"/>
      <c r="DP211" s="79"/>
      <c r="DQ211" s="79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79"/>
      <c r="FA211" s="79"/>
      <c r="FB211" s="79"/>
      <c r="FC211" s="79"/>
      <c r="FD211" s="79"/>
      <c r="FE211" s="79"/>
      <c r="FF211" s="79"/>
      <c r="FG211" s="79"/>
      <c r="FH211" s="79"/>
      <c r="FI211" s="79"/>
      <c r="FJ211" s="79"/>
      <c r="FK211" s="79"/>
      <c r="FL211" s="79"/>
      <c r="FM211" s="79"/>
      <c r="FN211" s="79"/>
      <c r="FO211" s="79"/>
      <c r="FP211" s="79"/>
      <c r="FQ211" s="79"/>
      <c r="FR211" s="79"/>
      <c r="FS211" s="79"/>
      <c r="FT211" s="79"/>
      <c r="FU211" s="79"/>
      <c r="FV211" s="79"/>
      <c r="FW211" s="79"/>
      <c r="FX211" s="79"/>
      <c r="FY211" s="79"/>
      <c r="FZ211" s="79"/>
      <c r="GA211" s="79"/>
      <c r="GB211" s="79"/>
      <c r="GC211" s="79"/>
      <c r="GD211" s="79"/>
      <c r="GE211" s="79"/>
      <c r="GF211" s="79"/>
      <c r="GG211" s="79"/>
      <c r="GH211" s="79"/>
      <c r="GI211" s="79"/>
      <c r="GJ211" s="79"/>
      <c r="GK211" s="79"/>
      <c r="GL211" s="79"/>
      <c r="GM211" s="79"/>
      <c r="GN211" s="79"/>
      <c r="GO211" s="79"/>
      <c r="GP211" s="79"/>
      <c r="GQ211" s="79"/>
      <c r="GR211" s="79"/>
      <c r="GS211" s="79"/>
      <c r="GT211" s="79"/>
      <c r="GU211" s="79"/>
      <c r="GV211" s="79"/>
      <c r="GW211" s="79"/>
      <c r="GX211" s="79"/>
      <c r="GY211" s="79"/>
      <c r="GZ211" s="79"/>
      <c r="HA211" s="79"/>
      <c r="HB211" s="79"/>
      <c r="HC211" s="79"/>
      <c r="HD211" s="79"/>
      <c r="HE211" s="79"/>
      <c r="HF211" s="79"/>
      <c r="HG211" s="79"/>
      <c r="HH211" s="79"/>
      <c r="HI211" s="79"/>
      <c r="HJ211" s="79"/>
      <c r="HK211" s="79"/>
      <c r="HL211" s="79"/>
      <c r="HM211" s="79"/>
      <c r="HN211" s="79"/>
      <c r="HO211" s="79"/>
      <c r="HP211" s="79"/>
      <c r="HQ211" s="79"/>
      <c r="HR211" s="79"/>
      <c r="HS211" s="79"/>
      <c r="HT211" s="79"/>
      <c r="HU211" s="79"/>
      <c r="HV211" s="79"/>
      <c r="HW211" s="79"/>
      <c r="HX211" s="79"/>
      <c r="HY211" s="79"/>
      <c r="HZ211" s="79"/>
      <c r="IA211" s="79"/>
      <c r="IB211" s="79"/>
      <c r="IC211" s="79"/>
      <c r="ID211" s="79"/>
      <c r="IE211" s="79"/>
      <c r="IF211" s="79"/>
      <c r="IG211" s="79"/>
      <c r="IH211" s="79"/>
      <c r="II211" s="79"/>
      <c r="IJ211" s="79"/>
      <c r="IK211" s="79"/>
      <c r="IL211" s="79"/>
      <c r="IM211" s="79"/>
      <c r="IN211" s="79"/>
      <c r="IO211" s="79"/>
      <c r="IP211" s="79"/>
      <c r="IQ211" s="79"/>
      <c r="IR211" s="79"/>
      <c r="IS211" s="79"/>
      <c r="IT211" s="79"/>
      <c r="IU211" s="79"/>
      <c r="IV211" s="79"/>
      <c r="IW211" s="79"/>
      <c r="IX211" s="79"/>
      <c r="IY211" s="79"/>
      <c r="IZ211" s="79"/>
      <c r="JA211" s="79"/>
      <c r="JB211" s="79"/>
      <c r="JC211" s="79"/>
      <c r="JD211" s="79"/>
      <c r="JE211" s="79"/>
      <c r="JF211" s="79"/>
      <c r="JG211" s="79"/>
      <c r="JH211" s="79"/>
      <c r="JI211" s="79"/>
      <c r="JJ211" s="79"/>
      <c r="JK211" s="79"/>
      <c r="JL211" s="79"/>
      <c r="JM211" s="79"/>
      <c r="JN211" s="79"/>
      <c r="JO211" s="79"/>
      <c r="JP211" s="79"/>
      <c r="JQ211" s="79"/>
      <c r="JR211" s="79"/>
      <c r="JS211" s="79"/>
      <c r="JT211" s="79"/>
      <c r="JU211" s="79"/>
      <c r="JV211" s="79"/>
      <c r="JW211" s="79"/>
      <c r="JX211" s="79"/>
      <c r="JY211" s="79"/>
      <c r="JZ211" s="79"/>
      <c r="KA211" s="79"/>
      <c r="KB211" s="79"/>
      <c r="KC211" s="79"/>
      <c r="KD211" s="79"/>
      <c r="KE211" s="79"/>
      <c r="KF211" s="79"/>
      <c r="KG211" s="79"/>
      <c r="KH211" s="79"/>
      <c r="KI211" s="79"/>
      <c r="KJ211" s="79"/>
      <c r="KK211" s="79"/>
      <c r="KL211" s="79"/>
      <c r="KM211" s="79"/>
      <c r="KN211" s="79"/>
      <c r="KO211" s="79"/>
      <c r="KP211" s="79"/>
      <c r="KQ211" s="79"/>
      <c r="KR211" s="79"/>
      <c r="KS211" s="79"/>
      <c r="KT211" s="79"/>
      <c r="KU211" s="79"/>
      <c r="KV211" s="79"/>
      <c r="KW211" s="79"/>
      <c r="KX211" s="79"/>
      <c r="KY211" s="79"/>
      <c r="KZ211" s="79"/>
      <c r="LA211" s="79"/>
      <c r="LB211" s="79"/>
      <c r="LC211" s="79"/>
      <c r="LD211" s="79"/>
      <c r="LE211" s="79"/>
      <c r="LF211" s="79"/>
      <c r="LG211" s="79"/>
      <c r="LH211" s="79"/>
      <c r="LI211" s="79"/>
      <c r="LJ211" s="79"/>
      <c r="LK211" s="79"/>
      <c r="LL211" s="79"/>
      <c r="LM211" s="79"/>
      <c r="LN211" s="79"/>
      <c r="LO211" s="79"/>
      <c r="LP211" s="79"/>
      <c r="LQ211" s="79"/>
      <c r="LR211" s="79"/>
      <c r="LS211" s="79"/>
      <c r="LT211" s="79"/>
      <c r="LU211" s="79"/>
      <c r="LV211" s="79"/>
      <c r="LW211" s="79"/>
      <c r="LX211" s="79"/>
      <c r="LY211" s="79"/>
      <c r="LZ211" s="79"/>
      <c r="MA211" s="79"/>
      <c r="MB211" s="79"/>
      <c r="MC211" s="79"/>
      <c r="MD211" s="79"/>
      <c r="ME211" s="79"/>
      <c r="MF211" s="79"/>
      <c r="MG211" s="79"/>
      <c r="MH211" s="79"/>
      <c r="MI211" s="79"/>
      <c r="MJ211" s="79"/>
      <c r="MK211" s="79"/>
      <c r="ML211" s="79"/>
      <c r="MM211" s="79"/>
      <c r="MN211" s="79"/>
      <c r="MO211" s="79"/>
      <c r="MP211" s="79"/>
      <c r="MQ211" s="79"/>
      <c r="MR211" s="79"/>
      <c r="MS211" s="79"/>
      <c r="MT211" s="79"/>
      <c r="MU211" s="79"/>
      <c r="MV211" s="79"/>
      <c r="MW211" s="79"/>
      <c r="MX211" s="79"/>
      <c r="MY211" s="79"/>
      <c r="MZ211" s="79"/>
      <c r="NA211" s="79"/>
      <c r="NB211" s="79"/>
      <c r="NC211" s="79"/>
      <c r="ND211" s="79"/>
      <c r="NE211" s="79"/>
      <c r="NF211" s="79"/>
      <c r="NG211" s="79"/>
      <c r="NH211" s="79"/>
      <c r="NI211" s="79"/>
      <c r="NJ211" s="79"/>
      <c r="NK211" s="79"/>
      <c r="NL211" s="79"/>
      <c r="NM211" s="79"/>
      <c r="NN211" s="79"/>
      <c r="NO211" s="79"/>
      <c r="NP211" s="79"/>
      <c r="NQ211" s="79"/>
      <c r="NR211" s="79"/>
      <c r="NS211" s="79"/>
      <c r="NT211" s="79"/>
      <c r="NU211" s="79"/>
      <c r="NV211" s="79"/>
      <c r="NW211" s="79"/>
      <c r="NX211" s="79"/>
      <c r="NY211" s="79"/>
      <c r="NZ211" s="79"/>
      <c r="OA211" s="79"/>
      <c r="OB211" s="79"/>
      <c r="OC211" s="79"/>
      <c r="OD211" s="79"/>
      <c r="OE211" s="79"/>
      <c r="OF211" s="79"/>
      <c r="OG211" s="79"/>
      <c r="OH211" s="79"/>
      <c r="OI211" s="79"/>
      <c r="OJ211" s="79"/>
      <c r="OK211" s="79"/>
      <c r="OL211" s="79"/>
      <c r="OM211" s="79"/>
      <c r="ON211" s="79"/>
      <c r="OO211" s="79"/>
      <c r="OP211" s="79"/>
      <c r="OQ211" s="79"/>
      <c r="OR211" s="79"/>
      <c r="OS211" s="79"/>
      <c r="OT211" s="79"/>
      <c r="OU211" s="79"/>
      <c r="OV211" s="79"/>
      <c r="OW211" s="79"/>
      <c r="OX211" s="79"/>
      <c r="OY211" s="79"/>
      <c r="OZ211" s="79"/>
      <c r="PA211" s="79"/>
      <c r="PB211" s="79"/>
      <c r="PC211" s="79"/>
      <c r="PD211" s="79"/>
      <c r="PE211" s="79"/>
      <c r="PF211" s="79"/>
      <c r="PG211" s="79"/>
      <c r="PH211" s="79"/>
      <c r="PI211" s="79"/>
      <c r="PJ211" s="79"/>
      <c r="PK211" s="79"/>
      <c r="PL211" s="79"/>
      <c r="PM211" s="79"/>
      <c r="PN211" s="79"/>
      <c r="PO211" s="79"/>
      <c r="PP211" s="79"/>
      <c r="PQ211" s="79"/>
      <c r="PR211" s="79"/>
      <c r="PS211" s="79"/>
      <c r="PT211" s="79"/>
      <c r="PU211" s="79"/>
      <c r="PV211" s="79"/>
      <c r="PW211" s="79"/>
      <c r="PX211" s="79"/>
      <c r="PY211" s="79"/>
      <c r="PZ211" s="79"/>
      <c r="QA211" s="79"/>
      <c r="QB211" s="79"/>
      <c r="QC211" s="79"/>
      <c r="QD211" s="79"/>
      <c r="QE211" s="79"/>
      <c r="QF211" s="79"/>
      <c r="QG211" s="79"/>
      <c r="QH211" s="79"/>
      <c r="QI211" s="79"/>
      <c r="QJ211" s="79"/>
      <c r="QK211" s="79"/>
      <c r="QL211" s="79"/>
      <c r="QM211" s="79"/>
      <c r="QN211" s="79"/>
      <c r="QO211" s="79"/>
      <c r="QP211" s="79"/>
      <c r="QQ211" s="79"/>
      <c r="QR211" s="79"/>
      <c r="QS211" s="79"/>
      <c r="QT211" s="79"/>
      <c r="QU211" s="79"/>
      <c r="QV211" s="79"/>
      <c r="QW211" s="79"/>
      <c r="QX211" s="79"/>
      <c r="QY211" s="79"/>
      <c r="QZ211" s="79"/>
      <c r="RA211" s="79"/>
      <c r="RB211" s="79"/>
      <c r="RC211" s="79"/>
      <c r="RD211" s="79"/>
      <c r="RE211" s="79"/>
      <c r="RF211" s="79"/>
      <c r="RG211" s="79"/>
      <c r="RH211" s="79"/>
      <c r="RI211" s="79"/>
      <c r="RJ211" s="79"/>
      <c r="RK211" s="79"/>
      <c r="RL211" s="79"/>
      <c r="RM211" s="79"/>
      <c r="RN211" s="79"/>
      <c r="RO211" s="79"/>
      <c r="RP211" s="79"/>
      <c r="RQ211" s="79"/>
      <c r="RR211" s="79"/>
      <c r="RS211" s="79"/>
      <c r="RT211" s="79"/>
      <c r="RU211" s="79"/>
      <c r="RV211" s="79"/>
      <c r="RW211" s="79"/>
      <c r="RX211" s="79"/>
      <c r="RY211" s="79"/>
      <c r="RZ211" s="79"/>
      <c r="SA211" s="79"/>
      <c r="SB211" s="79"/>
      <c r="SC211" s="79"/>
      <c r="SD211" s="79"/>
      <c r="SE211" s="79"/>
      <c r="SF211" s="79"/>
      <c r="SG211" s="79"/>
      <c r="SH211" s="79"/>
      <c r="SI211" s="79"/>
      <c r="SJ211" s="79"/>
      <c r="SK211" s="79"/>
      <c r="SL211" s="79"/>
      <c r="SM211" s="79"/>
      <c r="SN211" s="79"/>
      <c r="SO211" s="79"/>
      <c r="SP211" s="79"/>
      <c r="SQ211" s="79"/>
      <c r="SR211" s="79"/>
      <c r="SS211" s="79"/>
      <c r="ST211" s="79"/>
      <c r="SU211" s="79"/>
      <c r="SV211" s="79"/>
      <c r="SW211" s="79"/>
      <c r="SX211" s="79"/>
      <c r="SY211" s="79"/>
      <c r="SZ211" s="79"/>
      <c r="TA211" s="79"/>
      <c r="TB211" s="79"/>
      <c r="TC211" s="79"/>
      <c r="TD211" s="79"/>
      <c r="TE211" s="79"/>
      <c r="TF211" s="79"/>
      <c r="TG211" s="79"/>
      <c r="TH211" s="79"/>
      <c r="TI211" s="79"/>
      <c r="TJ211" s="79"/>
      <c r="TK211" s="79"/>
      <c r="TL211" s="79"/>
      <c r="TM211" s="79"/>
      <c r="TN211" s="79"/>
      <c r="TO211" s="79"/>
      <c r="TP211" s="79"/>
      <c r="TQ211" s="79"/>
      <c r="TR211" s="79"/>
      <c r="TS211" s="79"/>
      <c r="TT211" s="79"/>
      <c r="TU211" s="79"/>
      <c r="TV211" s="79"/>
      <c r="TW211" s="79"/>
      <c r="TX211" s="79"/>
      <c r="TY211" s="79"/>
      <c r="TZ211" s="79"/>
      <c r="UA211" s="79"/>
      <c r="UB211" s="79"/>
      <c r="UC211" s="79"/>
      <c r="UD211" s="79"/>
      <c r="UE211" s="79"/>
      <c r="UF211" s="79"/>
      <c r="UG211" s="79"/>
      <c r="UH211" s="79"/>
      <c r="UI211" s="79"/>
      <c r="UJ211" s="79"/>
      <c r="UK211" s="79"/>
      <c r="UL211" s="79"/>
      <c r="UM211" s="79"/>
      <c r="UN211" s="79"/>
      <c r="UO211" s="79"/>
      <c r="UP211" s="79"/>
      <c r="UQ211" s="79"/>
      <c r="UR211" s="79"/>
      <c r="US211" s="79"/>
      <c r="UT211" s="79"/>
      <c r="UU211" s="79"/>
      <c r="UV211" s="79"/>
      <c r="UW211" s="79"/>
      <c r="UX211" s="79"/>
      <c r="UY211" s="79"/>
      <c r="UZ211" s="79"/>
      <c r="VA211" s="79"/>
      <c r="VB211" s="79"/>
      <c r="VC211" s="79"/>
      <c r="VD211" s="79"/>
      <c r="VE211" s="79"/>
      <c r="VF211" s="79"/>
      <c r="VG211" s="79"/>
      <c r="VH211" s="79"/>
      <c r="VI211" s="79"/>
      <c r="VJ211" s="79"/>
      <c r="VK211" s="79"/>
      <c r="VL211" s="79"/>
    </row>
    <row r="212" spans="1:584" s="81" customFormat="1" ht="25.5" customHeight="1" x14ac:dyDescent="0.25">
      <c r="A212" s="67" t="s">
        <v>260</v>
      </c>
      <c r="B212" s="98"/>
      <c r="C212" s="98"/>
      <c r="D212" s="68" t="s">
        <v>53</v>
      </c>
      <c r="E212" s="114">
        <f>E214+E215+E216+E217+E218+E219+E220+E221+E222+E223+E227+E228+E229+E233+E236+E237+E238+E240+E241+E230+E231+E234</f>
        <v>263693052.95000002</v>
      </c>
      <c r="F212" s="114">
        <f t="shared" ref="F212:Q212" si="63">F214+F215+F216+F217+F218+F219+F220+F221+F222+F223+F227+F228+F229+F233+F236+F237+F238+F240+F241+F230+F231+F234</f>
        <v>8866830</v>
      </c>
      <c r="G212" s="114">
        <f t="shared" si="63"/>
        <v>26440773.59</v>
      </c>
      <c r="H212" s="114">
        <f>H214+H215+H216+H217+H218+H219+H220+H221+H222+H223+H227+H228+H229+H233+H236+H237+H238+H240+H241+H230+H231+H234</f>
        <v>259946894.81999999</v>
      </c>
      <c r="I212" s="114">
        <f t="shared" ref="I212:J212" si="64">I214+I215+I216+I217+I218+I219+I220+I221+I222+I223+I227+I228+I229+I233+I236+I237+I238+I240+I241+I230+I231+I234</f>
        <v>8777902.8800000008</v>
      </c>
      <c r="J212" s="114">
        <f t="shared" si="64"/>
        <v>26105358.27</v>
      </c>
      <c r="K212" s="153">
        <f t="shared" si="59"/>
        <v>98.579348948297721</v>
      </c>
      <c r="L212" s="114">
        <f t="shared" si="63"/>
        <v>193721187.16000003</v>
      </c>
      <c r="M212" s="114">
        <f t="shared" si="63"/>
        <v>147456979.28000003</v>
      </c>
      <c r="N212" s="114">
        <f t="shared" si="63"/>
        <v>43439115.409999996</v>
      </c>
      <c r="O212" s="114">
        <f t="shared" si="63"/>
        <v>0</v>
      </c>
      <c r="P212" s="114">
        <f t="shared" si="63"/>
        <v>540000</v>
      </c>
      <c r="Q212" s="114">
        <f t="shared" si="63"/>
        <v>150282071.75</v>
      </c>
      <c r="R212" s="114">
        <f t="shared" ref="R212:W212" si="65">R214+R215+R216+R217+R218+R219+R220+R221+R222+R223+R227+R228+R229+R233+R236+R237+R238+R240+R241+R230+R231+R234</f>
        <v>149532078.76999998</v>
      </c>
      <c r="S212" s="114">
        <f t="shared" si="65"/>
        <v>105039472.98999999</v>
      </c>
      <c r="T212" s="114">
        <f t="shared" si="65"/>
        <v>43100909.659999996</v>
      </c>
      <c r="U212" s="114">
        <f t="shared" si="65"/>
        <v>0</v>
      </c>
      <c r="V212" s="114">
        <f t="shared" si="65"/>
        <v>540000</v>
      </c>
      <c r="W212" s="114">
        <f t="shared" si="65"/>
        <v>106431169.11</v>
      </c>
      <c r="X212" s="165">
        <f t="shared" si="60"/>
        <v>77.189326042327551</v>
      </c>
      <c r="Y212" s="114">
        <f>Y214+Y215+Y216+Y217+Y218+Y219+Y220+Y221+Y222+Y223+Y227+Y228+Y229+Y233+Y236+Y237+Y238+Y240+Y241+Y230+Y231+Y234</f>
        <v>409478973.59000003</v>
      </c>
      <c r="Z212" s="187"/>
      <c r="AA212" s="80"/>
      <c r="AB212" s="80"/>
      <c r="AC212" s="80"/>
      <c r="AD212" s="80"/>
      <c r="AE212" s="79"/>
      <c r="AF212" s="79"/>
      <c r="AG212" s="79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/>
      <c r="EC212" s="80"/>
      <c r="ED212" s="80"/>
      <c r="EE212" s="80"/>
      <c r="EF212" s="80"/>
      <c r="EG212" s="80"/>
      <c r="EH212" s="80"/>
      <c r="EI212" s="80"/>
      <c r="EJ212" s="80"/>
      <c r="EK212" s="80"/>
      <c r="EL212" s="80"/>
      <c r="EM212" s="80"/>
      <c r="EN212" s="80"/>
      <c r="EO212" s="80"/>
      <c r="EP212" s="80"/>
      <c r="EQ212" s="80"/>
      <c r="ER212" s="80"/>
      <c r="ES212" s="80"/>
      <c r="ET212" s="80"/>
      <c r="EU212" s="80"/>
      <c r="EV212" s="80"/>
      <c r="EW212" s="80"/>
      <c r="EX212" s="80"/>
      <c r="EY212" s="80"/>
      <c r="EZ212" s="80"/>
      <c r="FA212" s="80"/>
      <c r="FB212" s="80"/>
      <c r="FC212" s="80"/>
      <c r="FD212" s="80"/>
      <c r="FE212" s="80"/>
      <c r="FF212" s="80"/>
      <c r="FG212" s="80"/>
      <c r="FH212" s="80"/>
      <c r="FI212" s="80"/>
      <c r="FJ212" s="80"/>
      <c r="FK212" s="80"/>
      <c r="FL212" s="80"/>
      <c r="FM212" s="80"/>
      <c r="FN212" s="80"/>
      <c r="FO212" s="80"/>
      <c r="FP212" s="80"/>
      <c r="FQ212" s="80"/>
      <c r="FR212" s="80"/>
      <c r="FS212" s="80"/>
      <c r="FT212" s="80"/>
      <c r="FU212" s="80"/>
      <c r="FV212" s="80"/>
      <c r="FW212" s="80"/>
      <c r="FX212" s="80"/>
      <c r="FY212" s="80"/>
      <c r="FZ212" s="80"/>
      <c r="GA212" s="80"/>
      <c r="GB212" s="80"/>
      <c r="GC212" s="80"/>
      <c r="GD212" s="80"/>
      <c r="GE212" s="80"/>
      <c r="GF212" s="80"/>
      <c r="GG212" s="80"/>
      <c r="GH212" s="80"/>
      <c r="GI212" s="80"/>
      <c r="GJ212" s="80"/>
      <c r="GK212" s="80"/>
      <c r="GL212" s="80"/>
      <c r="GM212" s="80"/>
      <c r="GN212" s="80"/>
      <c r="GO212" s="80"/>
      <c r="GP212" s="80"/>
      <c r="GQ212" s="80"/>
      <c r="GR212" s="80"/>
      <c r="GS212" s="80"/>
      <c r="GT212" s="80"/>
      <c r="GU212" s="80"/>
      <c r="GV212" s="80"/>
      <c r="GW212" s="80"/>
      <c r="GX212" s="80"/>
      <c r="GY212" s="80"/>
      <c r="GZ212" s="80"/>
      <c r="HA212" s="80"/>
      <c r="HB212" s="80"/>
      <c r="HC212" s="80"/>
      <c r="HD212" s="80"/>
      <c r="HE212" s="80"/>
      <c r="HF212" s="80"/>
      <c r="HG212" s="80"/>
      <c r="HH212" s="80"/>
      <c r="HI212" s="80"/>
      <c r="HJ212" s="80"/>
      <c r="HK212" s="80"/>
      <c r="HL212" s="80"/>
      <c r="HM212" s="80"/>
      <c r="HN212" s="80"/>
      <c r="HO212" s="80"/>
      <c r="HP212" s="80"/>
      <c r="HQ212" s="80"/>
      <c r="HR212" s="80"/>
      <c r="HS212" s="80"/>
      <c r="HT212" s="80"/>
      <c r="HU212" s="80"/>
      <c r="HV212" s="80"/>
      <c r="HW212" s="80"/>
      <c r="HX212" s="80"/>
      <c r="HY212" s="80"/>
      <c r="HZ212" s="80"/>
      <c r="IA212" s="80"/>
      <c r="IB212" s="80"/>
      <c r="IC212" s="80"/>
      <c r="ID212" s="80"/>
      <c r="IE212" s="80"/>
      <c r="IF212" s="80"/>
      <c r="IG212" s="80"/>
      <c r="IH212" s="80"/>
      <c r="II212" s="80"/>
      <c r="IJ212" s="80"/>
      <c r="IK212" s="80"/>
      <c r="IL212" s="80"/>
      <c r="IM212" s="80"/>
      <c r="IN212" s="80"/>
      <c r="IO212" s="80"/>
      <c r="IP212" s="80"/>
      <c r="IQ212" s="80"/>
      <c r="IR212" s="80"/>
      <c r="IS212" s="80"/>
      <c r="IT212" s="80"/>
      <c r="IU212" s="80"/>
      <c r="IV212" s="80"/>
      <c r="IW212" s="80"/>
      <c r="IX212" s="80"/>
      <c r="IY212" s="80"/>
      <c r="IZ212" s="80"/>
      <c r="JA212" s="80"/>
      <c r="JB212" s="80"/>
      <c r="JC212" s="80"/>
      <c r="JD212" s="80"/>
      <c r="JE212" s="80"/>
      <c r="JF212" s="80"/>
      <c r="JG212" s="80"/>
      <c r="JH212" s="80"/>
      <c r="JI212" s="80"/>
      <c r="JJ212" s="80"/>
      <c r="JK212" s="80"/>
      <c r="JL212" s="80"/>
      <c r="JM212" s="80"/>
      <c r="JN212" s="80"/>
      <c r="JO212" s="80"/>
      <c r="JP212" s="80"/>
      <c r="JQ212" s="80"/>
      <c r="JR212" s="80"/>
      <c r="JS212" s="80"/>
      <c r="JT212" s="80"/>
      <c r="JU212" s="80"/>
      <c r="JV212" s="80"/>
      <c r="JW212" s="80"/>
      <c r="JX212" s="80"/>
      <c r="JY212" s="80"/>
      <c r="JZ212" s="80"/>
      <c r="KA212" s="80"/>
      <c r="KB212" s="80"/>
      <c r="KC212" s="80"/>
      <c r="KD212" s="80"/>
      <c r="KE212" s="80"/>
      <c r="KF212" s="80"/>
      <c r="KG212" s="80"/>
      <c r="KH212" s="80"/>
      <c r="KI212" s="80"/>
      <c r="KJ212" s="80"/>
      <c r="KK212" s="80"/>
      <c r="KL212" s="80"/>
      <c r="KM212" s="80"/>
      <c r="KN212" s="80"/>
      <c r="KO212" s="80"/>
      <c r="KP212" s="80"/>
      <c r="KQ212" s="80"/>
      <c r="KR212" s="80"/>
      <c r="KS212" s="80"/>
      <c r="KT212" s="80"/>
      <c r="KU212" s="80"/>
      <c r="KV212" s="80"/>
      <c r="KW212" s="80"/>
      <c r="KX212" s="80"/>
      <c r="KY212" s="80"/>
      <c r="KZ212" s="80"/>
      <c r="LA212" s="80"/>
      <c r="LB212" s="80"/>
      <c r="LC212" s="80"/>
      <c r="LD212" s="80"/>
      <c r="LE212" s="80"/>
      <c r="LF212" s="80"/>
      <c r="LG212" s="80"/>
      <c r="LH212" s="80"/>
      <c r="LI212" s="80"/>
      <c r="LJ212" s="80"/>
      <c r="LK212" s="80"/>
      <c r="LL212" s="80"/>
      <c r="LM212" s="80"/>
      <c r="LN212" s="80"/>
      <c r="LO212" s="80"/>
      <c r="LP212" s="80"/>
      <c r="LQ212" s="80"/>
      <c r="LR212" s="80"/>
      <c r="LS212" s="80"/>
      <c r="LT212" s="80"/>
      <c r="LU212" s="80"/>
      <c r="LV212" s="80"/>
      <c r="LW212" s="80"/>
      <c r="LX212" s="80"/>
      <c r="LY212" s="80"/>
      <c r="LZ212" s="80"/>
      <c r="MA212" s="80"/>
      <c r="MB212" s="80"/>
      <c r="MC212" s="80"/>
      <c r="MD212" s="80"/>
      <c r="ME212" s="80"/>
      <c r="MF212" s="80"/>
      <c r="MG212" s="80"/>
      <c r="MH212" s="80"/>
      <c r="MI212" s="80"/>
      <c r="MJ212" s="80"/>
      <c r="MK212" s="80"/>
      <c r="ML212" s="80"/>
      <c r="MM212" s="80"/>
      <c r="MN212" s="80"/>
      <c r="MO212" s="80"/>
      <c r="MP212" s="80"/>
      <c r="MQ212" s="80"/>
      <c r="MR212" s="80"/>
      <c r="MS212" s="80"/>
      <c r="MT212" s="80"/>
      <c r="MU212" s="80"/>
      <c r="MV212" s="80"/>
      <c r="MW212" s="80"/>
      <c r="MX212" s="80"/>
      <c r="MY212" s="80"/>
      <c r="MZ212" s="80"/>
      <c r="NA212" s="80"/>
      <c r="NB212" s="80"/>
      <c r="NC212" s="80"/>
      <c r="ND212" s="80"/>
      <c r="NE212" s="80"/>
      <c r="NF212" s="80"/>
      <c r="NG212" s="80"/>
      <c r="NH212" s="80"/>
      <c r="NI212" s="80"/>
      <c r="NJ212" s="80"/>
      <c r="NK212" s="80"/>
      <c r="NL212" s="80"/>
      <c r="NM212" s="80"/>
      <c r="NN212" s="80"/>
      <c r="NO212" s="80"/>
      <c r="NP212" s="80"/>
      <c r="NQ212" s="80"/>
      <c r="NR212" s="80"/>
      <c r="NS212" s="80"/>
      <c r="NT212" s="80"/>
      <c r="NU212" s="80"/>
      <c r="NV212" s="80"/>
      <c r="NW212" s="80"/>
      <c r="NX212" s="80"/>
      <c r="NY212" s="80"/>
      <c r="NZ212" s="80"/>
      <c r="OA212" s="80"/>
      <c r="OB212" s="80"/>
      <c r="OC212" s="80"/>
      <c r="OD212" s="80"/>
      <c r="OE212" s="80"/>
      <c r="OF212" s="80"/>
      <c r="OG212" s="80"/>
      <c r="OH212" s="80"/>
      <c r="OI212" s="80"/>
      <c r="OJ212" s="80"/>
      <c r="OK212" s="80"/>
      <c r="OL212" s="80"/>
      <c r="OM212" s="80"/>
      <c r="ON212" s="80"/>
      <c r="OO212" s="80"/>
      <c r="OP212" s="80"/>
      <c r="OQ212" s="80"/>
      <c r="OR212" s="80"/>
      <c r="OS212" s="80"/>
      <c r="OT212" s="80"/>
      <c r="OU212" s="80"/>
      <c r="OV212" s="80"/>
      <c r="OW212" s="80"/>
      <c r="OX212" s="80"/>
      <c r="OY212" s="80"/>
      <c r="OZ212" s="80"/>
      <c r="PA212" s="80"/>
      <c r="PB212" s="80"/>
      <c r="PC212" s="80"/>
      <c r="PD212" s="80"/>
      <c r="PE212" s="80"/>
      <c r="PF212" s="80"/>
      <c r="PG212" s="80"/>
      <c r="PH212" s="80"/>
      <c r="PI212" s="80"/>
      <c r="PJ212" s="80"/>
      <c r="PK212" s="80"/>
      <c r="PL212" s="80"/>
      <c r="PM212" s="80"/>
      <c r="PN212" s="80"/>
      <c r="PO212" s="80"/>
      <c r="PP212" s="80"/>
      <c r="PQ212" s="80"/>
      <c r="PR212" s="80"/>
      <c r="PS212" s="80"/>
      <c r="PT212" s="80"/>
      <c r="PU212" s="80"/>
      <c r="PV212" s="80"/>
      <c r="PW212" s="80"/>
      <c r="PX212" s="80"/>
      <c r="PY212" s="80"/>
      <c r="PZ212" s="80"/>
      <c r="QA212" s="80"/>
      <c r="QB212" s="80"/>
      <c r="QC212" s="80"/>
      <c r="QD212" s="80"/>
      <c r="QE212" s="80"/>
      <c r="QF212" s="80"/>
      <c r="QG212" s="80"/>
      <c r="QH212" s="80"/>
      <c r="QI212" s="80"/>
      <c r="QJ212" s="80"/>
      <c r="QK212" s="80"/>
      <c r="QL212" s="80"/>
      <c r="QM212" s="80"/>
      <c r="QN212" s="80"/>
      <c r="QO212" s="80"/>
      <c r="QP212" s="80"/>
      <c r="QQ212" s="80"/>
      <c r="QR212" s="80"/>
      <c r="QS212" s="80"/>
      <c r="QT212" s="80"/>
      <c r="QU212" s="80"/>
      <c r="QV212" s="80"/>
      <c r="QW212" s="80"/>
      <c r="QX212" s="80"/>
      <c r="QY212" s="80"/>
      <c r="QZ212" s="80"/>
      <c r="RA212" s="80"/>
      <c r="RB212" s="80"/>
      <c r="RC212" s="80"/>
      <c r="RD212" s="80"/>
      <c r="RE212" s="80"/>
      <c r="RF212" s="80"/>
      <c r="RG212" s="80"/>
      <c r="RH212" s="80"/>
      <c r="RI212" s="80"/>
      <c r="RJ212" s="80"/>
      <c r="RK212" s="80"/>
      <c r="RL212" s="80"/>
      <c r="RM212" s="80"/>
      <c r="RN212" s="80"/>
      <c r="RO212" s="80"/>
      <c r="RP212" s="80"/>
      <c r="RQ212" s="80"/>
      <c r="RR212" s="80"/>
      <c r="RS212" s="80"/>
      <c r="RT212" s="80"/>
      <c r="RU212" s="80"/>
      <c r="RV212" s="80"/>
      <c r="RW212" s="80"/>
      <c r="RX212" s="80"/>
      <c r="RY212" s="80"/>
      <c r="RZ212" s="80"/>
      <c r="SA212" s="80"/>
      <c r="SB212" s="80"/>
      <c r="SC212" s="80"/>
      <c r="SD212" s="80"/>
      <c r="SE212" s="80"/>
      <c r="SF212" s="80"/>
      <c r="SG212" s="80"/>
      <c r="SH212" s="80"/>
      <c r="SI212" s="80"/>
      <c r="SJ212" s="80"/>
      <c r="SK212" s="80"/>
      <c r="SL212" s="80"/>
      <c r="SM212" s="80"/>
      <c r="SN212" s="80"/>
      <c r="SO212" s="80"/>
      <c r="SP212" s="80"/>
      <c r="SQ212" s="80"/>
      <c r="SR212" s="80"/>
      <c r="SS212" s="80"/>
      <c r="ST212" s="80"/>
      <c r="SU212" s="80"/>
      <c r="SV212" s="80"/>
      <c r="SW212" s="80"/>
      <c r="SX212" s="80"/>
      <c r="SY212" s="80"/>
      <c r="SZ212" s="80"/>
      <c r="TA212" s="80"/>
      <c r="TB212" s="80"/>
      <c r="TC212" s="80"/>
      <c r="TD212" s="80"/>
      <c r="TE212" s="80"/>
      <c r="TF212" s="80"/>
      <c r="TG212" s="80"/>
      <c r="TH212" s="80"/>
      <c r="TI212" s="80"/>
      <c r="TJ212" s="80"/>
      <c r="TK212" s="80"/>
      <c r="TL212" s="80"/>
      <c r="TM212" s="80"/>
      <c r="TN212" s="80"/>
      <c r="TO212" s="80"/>
      <c r="TP212" s="80"/>
      <c r="TQ212" s="80"/>
      <c r="TR212" s="80"/>
      <c r="TS212" s="80"/>
      <c r="TT212" s="80"/>
      <c r="TU212" s="80"/>
      <c r="TV212" s="80"/>
      <c r="TW212" s="80"/>
      <c r="TX212" s="80"/>
      <c r="TY212" s="80"/>
      <c r="TZ212" s="80"/>
      <c r="UA212" s="80"/>
      <c r="UB212" s="80"/>
      <c r="UC212" s="80"/>
      <c r="UD212" s="80"/>
      <c r="UE212" s="80"/>
      <c r="UF212" s="80"/>
      <c r="UG212" s="80"/>
      <c r="UH212" s="80"/>
      <c r="UI212" s="80"/>
      <c r="UJ212" s="80"/>
      <c r="UK212" s="80"/>
      <c r="UL212" s="80"/>
      <c r="UM212" s="80"/>
      <c r="UN212" s="80"/>
      <c r="UO212" s="80"/>
      <c r="UP212" s="80"/>
      <c r="UQ212" s="80"/>
      <c r="UR212" s="80"/>
      <c r="US212" s="80"/>
      <c r="UT212" s="80"/>
      <c r="UU212" s="80"/>
      <c r="UV212" s="80"/>
      <c r="UW212" s="80"/>
      <c r="UX212" s="80"/>
      <c r="UY212" s="80"/>
      <c r="UZ212" s="80"/>
      <c r="VA212" s="80"/>
      <c r="VB212" s="80"/>
      <c r="VC212" s="80"/>
      <c r="VD212" s="80"/>
      <c r="VE212" s="80"/>
      <c r="VF212" s="80"/>
      <c r="VG212" s="80"/>
      <c r="VH212" s="80"/>
      <c r="VI212" s="80"/>
      <c r="VJ212" s="80"/>
      <c r="VK212" s="80"/>
      <c r="VL212" s="80"/>
    </row>
    <row r="213" spans="1:584" s="81" customFormat="1" ht="20.25" customHeight="1" x14ac:dyDescent="0.25">
      <c r="A213" s="62"/>
      <c r="B213" s="97"/>
      <c r="C213" s="97"/>
      <c r="D213" s="63" t="s">
        <v>342</v>
      </c>
      <c r="E213" s="116">
        <f>E225+E232+E235</f>
        <v>0</v>
      </c>
      <c r="F213" s="116">
        <f t="shared" ref="F213:Y213" si="66">F225+F232+F235</f>
        <v>0</v>
      </c>
      <c r="G213" s="116">
        <f t="shared" si="66"/>
        <v>0</v>
      </c>
      <c r="H213" s="116">
        <f>H225+H232+H235</f>
        <v>0</v>
      </c>
      <c r="I213" s="116">
        <f t="shared" ref="I213:J213" si="67">I225+I232+I235</f>
        <v>0</v>
      </c>
      <c r="J213" s="116">
        <f t="shared" si="67"/>
        <v>0</v>
      </c>
      <c r="K213" s="135"/>
      <c r="L213" s="116">
        <f t="shared" si="66"/>
        <v>72728677.879999995</v>
      </c>
      <c r="M213" s="116">
        <f t="shared" si="66"/>
        <v>31728677.880000003</v>
      </c>
      <c r="N213" s="116">
        <f t="shared" si="66"/>
        <v>41000000</v>
      </c>
      <c r="O213" s="116">
        <f t="shared" si="66"/>
        <v>0</v>
      </c>
      <c r="P213" s="116">
        <f t="shared" si="66"/>
        <v>0</v>
      </c>
      <c r="Q213" s="116">
        <f t="shared" si="66"/>
        <v>31728677.880000003</v>
      </c>
      <c r="R213" s="116">
        <f t="shared" ref="R213:W213" si="68">R225+R232+R235</f>
        <v>71658804.780000001</v>
      </c>
      <c r="S213" s="116">
        <f t="shared" si="68"/>
        <v>30658844.780000001</v>
      </c>
      <c r="T213" s="116">
        <f t="shared" si="68"/>
        <v>40999960</v>
      </c>
      <c r="U213" s="116">
        <f t="shared" si="68"/>
        <v>0</v>
      </c>
      <c r="V213" s="116">
        <f t="shared" si="68"/>
        <v>0</v>
      </c>
      <c r="W213" s="116">
        <f t="shared" si="68"/>
        <v>30658844.780000001</v>
      </c>
      <c r="X213" s="149">
        <f t="shared" si="60"/>
        <v>98.52895290938018</v>
      </c>
      <c r="Y213" s="116">
        <f t="shared" si="66"/>
        <v>71658804.780000001</v>
      </c>
      <c r="Z213" s="187"/>
      <c r="AA213" s="80"/>
      <c r="AB213" s="80"/>
      <c r="AC213" s="80"/>
      <c r="AD213" s="80"/>
      <c r="AE213" s="79"/>
      <c r="AF213" s="79"/>
      <c r="AG213" s="79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  <c r="DP213" s="80"/>
      <c r="DQ213" s="80"/>
      <c r="DR213" s="80"/>
      <c r="DS213" s="80"/>
      <c r="DT213" s="80"/>
      <c r="DU213" s="80"/>
      <c r="DV213" s="80"/>
      <c r="DW213" s="80"/>
      <c r="DX213" s="80"/>
      <c r="DY213" s="80"/>
      <c r="DZ213" s="80"/>
      <c r="EA213" s="80"/>
      <c r="EB213" s="80"/>
      <c r="EC213" s="80"/>
      <c r="ED213" s="80"/>
      <c r="EE213" s="80"/>
      <c r="EF213" s="80"/>
      <c r="EG213" s="80"/>
      <c r="EH213" s="80"/>
      <c r="EI213" s="80"/>
      <c r="EJ213" s="80"/>
      <c r="EK213" s="80"/>
      <c r="EL213" s="80"/>
      <c r="EM213" s="80"/>
      <c r="EN213" s="80"/>
      <c r="EO213" s="80"/>
      <c r="EP213" s="80"/>
      <c r="EQ213" s="80"/>
      <c r="ER213" s="80"/>
      <c r="ES213" s="80"/>
      <c r="ET213" s="80"/>
      <c r="EU213" s="80"/>
      <c r="EV213" s="80"/>
      <c r="EW213" s="80"/>
      <c r="EX213" s="80"/>
      <c r="EY213" s="80"/>
      <c r="EZ213" s="80"/>
      <c r="FA213" s="80"/>
      <c r="FB213" s="80"/>
      <c r="FC213" s="80"/>
      <c r="FD213" s="80"/>
      <c r="FE213" s="80"/>
      <c r="FF213" s="80"/>
      <c r="FG213" s="80"/>
      <c r="FH213" s="80"/>
      <c r="FI213" s="80"/>
      <c r="FJ213" s="80"/>
      <c r="FK213" s="80"/>
      <c r="FL213" s="80"/>
      <c r="FM213" s="80"/>
      <c r="FN213" s="80"/>
      <c r="FO213" s="80"/>
      <c r="FP213" s="80"/>
      <c r="FQ213" s="80"/>
      <c r="FR213" s="80"/>
      <c r="FS213" s="80"/>
      <c r="FT213" s="80"/>
      <c r="FU213" s="80"/>
      <c r="FV213" s="80"/>
      <c r="FW213" s="80"/>
      <c r="FX213" s="80"/>
      <c r="FY213" s="80"/>
      <c r="FZ213" s="80"/>
      <c r="GA213" s="80"/>
      <c r="GB213" s="80"/>
      <c r="GC213" s="80"/>
      <c r="GD213" s="80"/>
      <c r="GE213" s="80"/>
      <c r="GF213" s="80"/>
      <c r="GG213" s="80"/>
      <c r="GH213" s="80"/>
      <c r="GI213" s="80"/>
      <c r="GJ213" s="80"/>
      <c r="GK213" s="80"/>
      <c r="GL213" s="80"/>
      <c r="GM213" s="80"/>
      <c r="GN213" s="80"/>
      <c r="GO213" s="80"/>
      <c r="GP213" s="80"/>
      <c r="GQ213" s="80"/>
      <c r="GR213" s="80"/>
      <c r="GS213" s="80"/>
      <c r="GT213" s="80"/>
      <c r="GU213" s="80"/>
      <c r="GV213" s="80"/>
      <c r="GW213" s="80"/>
      <c r="GX213" s="80"/>
      <c r="GY213" s="80"/>
      <c r="GZ213" s="80"/>
      <c r="HA213" s="80"/>
      <c r="HB213" s="80"/>
      <c r="HC213" s="80"/>
      <c r="HD213" s="80"/>
      <c r="HE213" s="80"/>
      <c r="HF213" s="80"/>
      <c r="HG213" s="80"/>
      <c r="HH213" s="80"/>
      <c r="HI213" s="80"/>
      <c r="HJ213" s="80"/>
      <c r="HK213" s="80"/>
      <c r="HL213" s="80"/>
      <c r="HM213" s="80"/>
      <c r="HN213" s="80"/>
      <c r="HO213" s="80"/>
      <c r="HP213" s="80"/>
      <c r="HQ213" s="80"/>
      <c r="HR213" s="80"/>
      <c r="HS213" s="80"/>
      <c r="HT213" s="80"/>
      <c r="HU213" s="80"/>
      <c r="HV213" s="80"/>
      <c r="HW213" s="80"/>
      <c r="HX213" s="80"/>
      <c r="HY213" s="80"/>
      <c r="HZ213" s="80"/>
      <c r="IA213" s="80"/>
      <c r="IB213" s="80"/>
      <c r="IC213" s="80"/>
      <c r="ID213" s="80"/>
      <c r="IE213" s="80"/>
      <c r="IF213" s="80"/>
      <c r="IG213" s="80"/>
      <c r="IH213" s="80"/>
      <c r="II213" s="80"/>
      <c r="IJ213" s="80"/>
      <c r="IK213" s="80"/>
      <c r="IL213" s="80"/>
      <c r="IM213" s="80"/>
      <c r="IN213" s="80"/>
      <c r="IO213" s="80"/>
      <c r="IP213" s="80"/>
      <c r="IQ213" s="80"/>
      <c r="IR213" s="80"/>
      <c r="IS213" s="80"/>
      <c r="IT213" s="80"/>
      <c r="IU213" s="80"/>
      <c r="IV213" s="80"/>
      <c r="IW213" s="80"/>
      <c r="IX213" s="80"/>
      <c r="IY213" s="80"/>
      <c r="IZ213" s="80"/>
      <c r="JA213" s="80"/>
      <c r="JB213" s="80"/>
      <c r="JC213" s="80"/>
      <c r="JD213" s="80"/>
      <c r="JE213" s="80"/>
      <c r="JF213" s="80"/>
      <c r="JG213" s="80"/>
      <c r="JH213" s="80"/>
      <c r="JI213" s="80"/>
      <c r="JJ213" s="80"/>
      <c r="JK213" s="80"/>
      <c r="JL213" s="80"/>
      <c r="JM213" s="80"/>
      <c r="JN213" s="80"/>
      <c r="JO213" s="80"/>
      <c r="JP213" s="80"/>
      <c r="JQ213" s="80"/>
      <c r="JR213" s="80"/>
      <c r="JS213" s="80"/>
      <c r="JT213" s="80"/>
      <c r="JU213" s="80"/>
      <c r="JV213" s="80"/>
      <c r="JW213" s="80"/>
      <c r="JX213" s="80"/>
      <c r="JY213" s="80"/>
      <c r="JZ213" s="80"/>
      <c r="KA213" s="80"/>
      <c r="KB213" s="80"/>
      <c r="KC213" s="80"/>
      <c r="KD213" s="80"/>
      <c r="KE213" s="80"/>
      <c r="KF213" s="80"/>
      <c r="KG213" s="80"/>
      <c r="KH213" s="80"/>
      <c r="KI213" s="80"/>
      <c r="KJ213" s="80"/>
      <c r="KK213" s="80"/>
      <c r="KL213" s="80"/>
      <c r="KM213" s="80"/>
      <c r="KN213" s="80"/>
      <c r="KO213" s="80"/>
      <c r="KP213" s="80"/>
      <c r="KQ213" s="80"/>
      <c r="KR213" s="80"/>
      <c r="KS213" s="80"/>
      <c r="KT213" s="80"/>
      <c r="KU213" s="80"/>
      <c r="KV213" s="80"/>
      <c r="KW213" s="80"/>
      <c r="KX213" s="80"/>
      <c r="KY213" s="80"/>
      <c r="KZ213" s="80"/>
      <c r="LA213" s="80"/>
      <c r="LB213" s="80"/>
      <c r="LC213" s="80"/>
      <c r="LD213" s="80"/>
      <c r="LE213" s="80"/>
      <c r="LF213" s="80"/>
      <c r="LG213" s="80"/>
      <c r="LH213" s="80"/>
      <c r="LI213" s="80"/>
      <c r="LJ213" s="80"/>
      <c r="LK213" s="80"/>
      <c r="LL213" s="80"/>
      <c r="LM213" s="80"/>
      <c r="LN213" s="80"/>
      <c r="LO213" s="80"/>
      <c r="LP213" s="80"/>
      <c r="LQ213" s="80"/>
      <c r="LR213" s="80"/>
      <c r="LS213" s="80"/>
      <c r="LT213" s="80"/>
      <c r="LU213" s="80"/>
      <c r="LV213" s="80"/>
      <c r="LW213" s="80"/>
      <c r="LX213" s="80"/>
      <c r="LY213" s="80"/>
      <c r="LZ213" s="80"/>
      <c r="MA213" s="80"/>
      <c r="MB213" s="80"/>
      <c r="MC213" s="80"/>
      <c r="MD213" s="80"/>
      <c r="ME213" s="80"/>
      <c r="MF213" s="80"/>
      <c r="MG213" s="80"/>
      <c r="MH213" s="80"/>
      <c r="MI213" s="80"/>
      <c r="MJ213" s="80"/>
      <c r="MK213" s="80"/>
      <c r="ML213" s="80"/>
      <c r="MM213" s="80"/>
      <c r="MN213" s="80"/>
      <c r="MO213" s="80"/>
      <c r="MP213" s="80"/>
      <c r="MQ213" s="80"/>
      <c r="MR213" s="80"/>
      <c r="MS213" s="80"/>
      <c r="MT213" s="80"/>
      <c r="MU213" s="80"/>
      <c r="MV213" s="80"/>
      <c r="MW213" s="80"/>
      <c r="MX213" s="80"/>
      <c r="MY213" s="80"/>
      <c r="MZ213" s="80"/>
      <c r="NA213" s="80"/>
      <c r="NB213" s="80"/>
      <c r="NC213" s="80"/>
      <c r="ND213" s="80"/>
      <c r="NE213" s="80"/>
      <c r="NF213" s="80"/>
      <c r="NG213" s="80"/>
      <c r="NH213" s="80"/>
      <c r="NI213" s="80"/>
      <c r="NJ213" s="80"/>
      <c r="NK213" s="80"/>
      <c r="NL213" s="80"/>
      <c r="NM213" s="80"/>
      <c r="NN213" s="80"/>
      <c r="NO213" s="80"/>
      <c r="NP213" s="80"/>
      <c r="NQ213" s="80"/>
      <c r="NR213" s="80"/>
      <c r="NS213" s="80"/>
      <c r="NT213" s="80"/>
      <c r="NU213" s="80"/>
      <c r="NV213" s="80"/>
      <c r="NW213" s="80"/>
      <c r="NX213" s="80"/>
      <c r="NY213" s="80"/>
      <c r="NZ213" s="80"/>
      <c r="OA213" s="80"/>
      <c r="OB213" s="80"/>
      <c r="OC213" s="80"/>
      <c r="OD213" s="80"/>
      <c r="OE213" s="80"/>
      <c r="OF213" s="80"/>
      <c r="OG213" s="80"/>
      <c r="OH213" s="80"/>
      <c r="OI213" s="80"/>
      <c r="OJ213" s="80"/>
      <c r="OK213" s="80"/>
      <c r="OL213" s="80"/>
      <c r="OM213" s="80"/>
      <c r="ON213" s="80"/>
      <c r="OO213" s="80"/>
      <c r="OP213" s="80"/>
      <c r="OQ213" s="80"/>
      <c r="OR213" s="80"/>
      <c r="OS213" s="80"/>
      <c r="OT213" s="80"/>
      <c r="OU213" s="80"/>
      <c r="OV213" s="80"/>
      <c r="OW213" s="80"/>
      <c r="OX213" s="80"/>
      <c r="OY213" s="80"/>
      <c r="OZ213" s="80"/>
      <c r="PA213" s="80"/>
      <c r="PB213" s="80"/>
      <c r="PC213" s="80"/>
      <c r="PD213" s="80"/>
      <c r="PE213" s="80"/>
      <c r="PF213" s="80"/>
      <c r="PG213" s="80"/>
      <c r="PH213" s="80"/>
      <c r="PI213" s="80"/>
      <c r="PJ213" s="80"/>
      <c r="PK213" s="80"/>
      <c r="PL213" s="80"/>
      <c r="PM213" s="80"/>
      <c r="PN213" s="80"/>
      <c r="PO213" s="80"/>
      <c r="PP213" s="80"/>
      <c r="PQ213" s="80"/>
      <c r="PR213" s="80"/>
      <c r="PS213" s="80"/>
      <c r="PT213" s="80"/>
      <c r="PU213" s="80"/>
      <c r="PV213" s="80"/>
      <c r="PW213" s="80"/>
      <c r="PX213" s="80"/>
      <c r="PY213" s="80"/>
      <c r="PZ213" s="80"/>
      <c r="QA213" s="80"/>
      <c r="QB213" s="80"/>
      <c r="QC213" s="80"/>
      <c r="QD213" s="80"/>
      <c r="QE213" s="80"/>
      <c r="QF213" s="80"/>
      <c r="QG213" s="80"/>
      <c r="QH213" s="80"/>
      <c r="QI213" s="80"/>
      <c r="QJ213" s="80"/>
      <c r="QK213" s="80"/>
      <c r="QL213" s="80"/>
      <c r="QM213" s="80"/>
      <c r="QN213" s="80"/>
      <c r="QO213" s="80"/>
      <c r="QP213" s="80"/>
      <c r="QQ213" s="80"/>
      <c r="QR213" s="80"/>
      <c r="QS213" s="80"/>
      <c r="QT213" s="80"/>
      <c r="QU213" s="80"/>
      <c r="QV213" s="80"/>
      <c r="QW213" s="80"/>
      <c r="QX213" s="80"/>
      <c r="QY213" s="80"/>
      <c r="QZ213" s="80"/>
      <c r="RA213" s="80"/>
      <c r="RB213" s="80"/>
      <c r="RC213" s="80"/>
      <c r="RD213" s="80"/>
      <c r="RE213" s="80"/>
      <c r="RF213" s="80"/>
      <c r="RG213" s="80"/>
      <c r="RH213" s="80"/>
      <c r="RI213" s="80"/>
      <c r="RJ213" s="80"/>
      <c r="RK213" s="80"/>
      <c r="RL213" s="80"/>
      <c r="RM213" s="80"/>
      <c r="RN213" s="80"/>
      <c r="RO213" s="80"/>
      <c r="RP213" s="80"/>
      <c r="RQ213" s="80"/>
      <c r="RR213" s="80"/>
      <c r="RS213" s="80"/>
      <c r="RT213" s="80"/>
      <c r="RU213" s="80"/>
      <c r="RV213" s="80"/>
      <c r="RW213" s="80"/>
      <c r="RX213" s="80"/>
      <c r="RY213" s="80"/>
      <c r="RZ213" s="80"/>
      <c r="SA213" s="80"/>
      <c r="SB213" s="80"/>
      <c r="SC213" s="80"/>
      <c r="SD213" s="80"/>
      <c r="SE213" s="80"/>
      <c r="SF213" s="80"/>
      <c r="SG213" s="80"/>
      <c r="SH213" s="80"/>
      <c r="SI213" s="80"/>
      <c r="SJ213" s="80"/>
      <c r="SK213" s="80"/>
      <c r="SL213" s="80"/>
      <c r="SM213" s="80"/>
      <c r="SN213" s="80"/>
      <c r="SO213" s="80"/>
      <c r="SP213" s="80"/>
      <c r="SQ213" s="80"/>
      <c r="SR213" s="80"/>
      <c r="SS213" s="80"/>
      <c r="ST213" s="80"/>
      <c r="SU213" s="80"/>
      <c r="SV213" s="80"/>
      <c r="SW213" s="80"/>
      <c r="SX213" s="80"/>
      <c r="SY213" s="80"/>
      <c r="SZ213" s="80"/>
      <c r="TA213" s="80"/>
      <c r="TB213" s="80"/>
      <c r="TC213" s="80"/>
      <c r="TD213" s="80"/>
      <c r="TE213" s="80"/>
      <c r="TF213" s="80"/>
      <c r="TG213" s="80"/>
      <c r="TH213" s="80"/>
      <c r="TI213" s="80"/>
      <c r="TJ213" s="80"/>
      <c r="TK213" s="80"/>
      <c r="TL213" s="80"/>
      <c r="TM213" s="80"/>
      <c r="TN213" s="80"/>
      <c r="TO213" s="80"/>
      <c r="TP213" s="80"/>
      <c r="TQ213" s="80"/>
      <c r="TR213" s="80"/>
      <c r="TS213" s="80"/>
      <c r="TT213" s="80"/>
      <c r="TU213" s="80"/>
      <c r="TV213" s="80"/>
      <c r="TW213" s="80"/>
      <c r="TX213" s="80"/>
      <c r="TY213" s="80"/>
      <c r="TZ213" s="80"/>
      <c r="UA213" s="80"/>
      <c r="UB213" s="80"/>
      <c r="UC213" s="80"/>
      <c r="UD213" s="80"/>
      <c r="UE213" s="80"/>
      <c r="UF213" s="80"/>
      <c r="UG213" s="80"/>
      <c r="UH213" s="80"/>
      <c r="UI213" s="80"/>
      <c r="UJ213" s="80"/>
      <c r="UK213" s="80"/>
      <c r="UL213" s="80"/>
      <c r="UM213" s="80"/>
      <c r="UN213" s="80"/>
      <c r="UO213" s="80"/>
      <c r="UP213" s="80"/>
      <c r="UQ213" s="80"/>
      <c r="UR213" s="80"/>
      <c r="US213" s="80"/>
      <c r="UT213" s="80"/>
      <c r="UU213" s="80"/>
      <c r="UV213" s="80"/>
      <c r="UW213" s="80"/>
      <c r="UX213" s="80"/>
      <c r="UY213" s="80"/>
      <c r="UZ213" s="80"/>
      <c r="VA213" s="80"/>
      <c r="VB213" s="80"/>
      <c r="VC213" s="80"/>
      <c r="VD213" s="80"/>
      <c r="VE213" s="80"/>
      <c r="VF213" s="80"/>
      <c r="VG213" s="80"/>
      <c r="VH213" s="80"/>
      <c r="VI213" s="80"/>
      <c r="VJ213" s="80"/>
      <c r="VK213" s="80"/>
      <c r="VL213" s="80"/>
    </row>
    <row r="214" spans="1:584" s="47" customFormat="1" ht="38.25" customHeight="1" x14ac:dyDescent="0.25">
      <c r="A214" s="45" t="s">
        <v>261</v>
      </c>
      <c r="B214" s="91" t="str">
        <f>'дод 3'!A13</f>
        <v>0160</v>
      </c>
      <c r="C214" s="91" t="str">
        <f>'дод 3'!B13</f>
        <v>0111</v>
      </c>
      <c r="D214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14" s="115">
        <v>11351354</v>
      </c>
      <c r="F214" s="115">
        <f>8745720+121110</f>
        <v>8866830</v>
      </c>
      <c r="G214" s="115">
        <f>125237+2502+7737</f>
        <v>135476</v>
      </c>
      <c r="H214" s="115">
        <v>11007904.41</v>
      </c>
      <c r="I214" s="115">
        <v>8777902.8800000008</v>
      </c>
      <c r="J214" s="115">
        <v>132763.32999999999</v>
      </c>
      <c r="K214" s="164">
        <f t="shared" si="59"/>
        <v>96.974373365503368</v>
      </c>
      <c r="L214" s="115">
        <f t="shared" si="42"/>
        <v>100000</v>
      </c>
      <c r="M214" s="115">
        <v>100000</v>
      </c>
      <c r="N214" s="115"/>
      <c r="O214" s="115"/>
      <c r="P214" s="115"/>
      <c r="Q214" s="115">
        <f>100000</f>
        <v>100000</v>
      </c>
      <c r="R214" s="115">
        <f t="shared" si="61"/>
        <v>99742.59</v>
      </c>
      <c r="S214" s="115">
        <v>99742.59</v>
      </c>
      <c r="T214" s="115"/>
      <c r="U214" s="115"/>
      <c r="V214" s="115"/>
      <c r="W214" s="115">
        <v>99742.59</v>
      </c>
      <c r="X214" s="166">
        <f t="shared" si="60"/>
        <v>99.742589999999993</v>
      </c>
      <c r="Y214" s="115">
        <f t="shared" ref="Y214:Y241" si="69">H214+R214</f>
        <v>11107647</v>
      </c>
      <c r="Z214" s="187">
        <v>15</v>
      </c>
      <c r="AA214" s="53"/>
      <c r="AB214" s="53"/>
      <c r="AC214" s="53"/>
      <c r="AD214" s="53"/>
      <c r="AE214" s="79"/>
      <c r="AF214" s="79"/>
      <c r="AG214" s="79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  <c r="IQ214" s="53"/>
      <c r="IR214" s="53"/>
      <c r="IS214" s="53"/>
      <c r="IT214" s="53"/>
      <c r="IU214" s="53"/>
      <c r="IV214" s="53"/>
      <c r="IW214" s="53"/>
      <c r="IX214" s="53"/>
      <c r="IY214" s="53"/>
      <c r="IZ214" s="53"/>
      <c r="JA214" s="53"/>
      <c r="JB214" s="53"/>
      <c r="JC214" s="53"/>
      <c r="JD214" s="53"/>
      <c r="JE214" s="53"/>
      <c r="JF214" s="53"/>
      <c r="JG214" s="53"/>
      <c r="JH214" s="53"/>
      <c r="JI214" s="53"/>
      <c r="JJ214" s="53"/>
      <c r="JK214" s="53"/>
      <c r="JL214" s="53"/>
      <c r="JM214" s="53"/>
      <c r="JN214" s="53"/>
      <c r="JO214" s="53"/>
      <c r="JP214" s="53"/>
      <c r="JQ214" s="53"/>
      <c r="JR214" s="53"/>
      <c r="JS214" s="53"/>
      <c r="JT214" s="53"/>
      <c r="JU214" s="53"/>
      <c r="JV214" s="53"/>
      <c r="JW214" s="53"/>
      <c r="JX214" s="53"/>
      <c r="JY214" s="53"/>
      <c r="JZ214" s="53"/>
      <c r="KA214" s="53"/>
      <c r="KB214" s="53"/>
      <c r="KC214" s="53"/>
      <c r="KD214" s="53"/>
      <c r="KE214" s="53"/>
      <c r="KF214" s="53"/>
      <c r="KG214" s="53"/>
      <c r="KH214" s="53"/>
      <c r="KI214" s="53"/>
      <c r="KJ214" s="53"/>
      <c r="KK214" s="53"/>
      <c r="KL214" s="53"/>
      <c r="KM214" s="53"/>
      <c r="KN214" s="53"/>
      <c r="KO214" s="53"/>
      <c r="KP214" s="53"/>
      <c r="KQ214" s="53"/>
      <c r="KR214" s="53"/>
      <c r="KS214" s="53"/>
      <c r="KT214" s="53"/>
      <c r="KU214" s="53"/>
      <c r="KV214" s="53"/>
      <c r="KW214" s="53"/>
      <c r="KX214" s="53"/>
      <c r="KY214" s="53"/>
      <c r="KZ214" s="53"/>
      <c r="LA214" s="53"/>
      <c r="LB214" s="53"/>
      <c r="LC214" s="53"/>
      <c r="LD214" s="53"/>
      <c r="LE214" s="53"/>
      <c r="LF214" s="53"/>
      <c r="LG214" s="53"/>
      <c r="LH214" s="53"/>
      <c r="LI214" s="53"/>
      <c r="LJ214" s="53"/>
      <c r="LK214" s="53"/>
      <c r="LL214" s="53"/>
      <c r="LM214" s="53"/>
      <c r="LN214" s="53"/>
      <c r="LO214" s="53"/>
      <c r="LP214" s="53"/>
      <c r="LQ214" s="53"/>
      <c r="LR214" s="53"/>
      <c r="LS214" s="53"/>
      <c r="LT214" s="53"/>
      <c r="LU214" s="53"/>
      <c r="LV214" s="53"/>
      <c r="LW214" s="53"/>
      <c r="LX214" s="53"/>
      <c r="LY214" s="53"/>
      <c r="LZ214" s="53"/>
      <c r="MA214" s="53"/>
      <c r="MB214" s="53"/>
      <c r="MC214" s="53"/>
      <c r="MD214" s="53"/>
      <c r="ME214" s="53"/>
      <c r="MF214" s="53"/>
      <c r="MG214" s="53"/>
      <c r="MH214" s="53"/>
      <c r="MI214" s="53"/>
      <c r="MJ214" s="53"/>
      <c r="MK214" s="53"/>
      <c r="ML214" s="53"/>
      <c r="MM214" s="53"/>
      <c r="MN214" s="53"/>
      <c r="MO214" s="53"/>
      <c r="MP214" s="53"/>
      <c r="MQ214" s="53"/>
      <c r="MR214" s="53"/>
      <c r="MS214" s="53"/>
      <c r="MT214" s="53"/>
      <c r="MU214" s="53"/>
      <c r="MV214" s="53"/>
      <c r="MW214" s="53"/>
      <c r="MX214" s="53"/>
      <c r="MY214" s="53"/>
      <c r="MZ214" s="53"/>
      <c r="NA214" s="53"/>
      <c r="NB214" s="53"/>
      <c r="NC214" s="53"/>
      <c r="ND214" s="53"/>
      <c r="NE214" s="53"/>
      <c r="NF214" s="53"/>
      <c r="NG214" s="53"/>
      <c r="NH214" s="53"/>
      <c r="NI214" s="53"/>
      <c r="NJ214" s="53"/>
      <c r="NK214" s="53"/>
      <c r="NL214" s="53"/>
      <c r="NM214" s="53"/>
      <c r="NN214" s="53"/>
      <c r="NO214" s="53"/>
      <c r="NP214" s="53"/>
      <c r="NQ214" s="53"/>
      <c r="NR214" s="53"/>
      <c r="NS214" s="53"/>
      <c r="NT214" s="53"/>
      <c r="NU214" s="53"/>
      <c r="NV214" s="53"/>
      <c r="NW214" s="53"/>
      <c r="NX214" s="53"/>
      <c r="NY214" s="53"/>
      <c r="NZ214" s="53"/>
      <c r="OA214" s="53"/>
      <c r="OB214" s="53"/>
      <c r="OC214" s="53"/>
      <c r="OD214" s="53"/>
      <c r="OE214" s="53"/>
      <c r="OF214" s="53"/>
      <c r="OG214" s="53"/>
      <c r="OH214" s="53"/>
      <c r="OI214" s="53"/>
      <c r="OJ214" s="53"/>
      <c r="OK214" s="53"/>
      <c r="OL214" s="53"/>
      <c r="OM214" s="53"/>
      <c r="ON214" s="53"/>
      <c r="OO214" s="53"/>
      <c r="OP214" s="53"/>
      <c r="OQ214" s="53"/>
      <c r="OR214" s="53"/>
      <c r="OS214" s="53"/>
      <c r="OT214" s="53"/>
      <c r="OU214" s="53"/>
      <c r="OV214" s="53"/>
      <c r="OW214" s="53"/>
      <c r="OX214" s="53"/>
      <c r="OY214" s="53"/>
      <c r="OZ214" s="53"/>
      <c r="PA214" s="53"/>
      <c r="PB214" s="53"/>
      <c r="PC214" s="53"/>
      <c r="PD214" s="53"/>
      <c r="PE214" s="53"/>
      <c r="PF214" s="53"/>
      <c r="PG214" s="53"/>
      <c r="PH214" s="53"/>
      <c r="PI214" s="53"/>
      <c r="PJ214" s="53"/>
      <c r="PK214" s="53"/>
      <c r="PL214" s="53"/>
      <c r="PM214" s="53"/>
      <c r="PN214" s="53"/>
      <c r="PO214" s="53"/>
      <c r="PP214" s="53"/>
      <c r="PQ214" s="53"/>
      <c r="PR214" s="53"/>
      <c r="PS214" s="53"/>
      <c r="PT214" s="53"/>
      <c r="PU214" s="53"/>
      <c r="PV214" s="53"/>
      <c r="PW214" s="53"/>
      <c r="PX214" s="53"/>
      <c r="PY214" s="53"/>
      <c r="PZ214" s="53"/>
      <c r="QA214" s="53"/>
      <c r="QB214" s="53"/>
      <c r="QC214" s="53"/>
      <c r="QD214" s="53"/>
      <c r="QE214" s="53"/>
      <c r="QF214" s="53"/>
      <c r="QG214" s="53"/>
      <c r="QH214" s="53"/>
      <c r="QI214" s="53"/>
      <c r="QJ214" s="53"/>
      <c r="QK214" s="53"/>
      <c r="QL214" s="53"/>
      <c r="QM214" s="53"/>
      <c r="QN214" s="53"/>
      <c r="QO214" s="53"/>
      <c r="QP214" s="53"/>
      <c r="QQ214" s="53"/>
      <c r="QR214" s="53"/>
      <c r="QS214" s="53"/>
      <c r="QT214" s="53"/>
      <c r="QU214" s="53"/>
      <c r="QV214" s="53"/>
      <c r="QW214" s="53"/>
      <c r="QX214" s="53"/>
      <c r="QY214" s="53"/>
      <c r="QZ214" s="53"/>
      <c r="RA214" s="53"/>
      <c r="RB214" s="53"/>
      <c r="RC214" s="53"/>
      <c r="RD214" s="53"/>
      <c r="RE214" s="53"/>
      <c r="RF214" s="53"/>
      <c r="RG214" s="53"/>
      <c r="RH214" s="53"/>
      <c r="RI214" s="53"/>
      <c r="RJ214" s="53"/>
      <c r="RK214" s="53"/>
      <c r="RL214" s="53"/>
      <c r="RM214" s="53"/>
      <c r="RN214" s="53"/>
      <c r="RO214" s="53"/>
      <c r="RP214" s="53"/>
      <c r="RQ214" s="53"/>
      <c r="RR214" s="53"/>
      <c r="RS214" s="53"/>
      <c r="RT214" s="53"/>
      <c r="RU214" s="53"/>
      <c r="RV214" s="53"/>
      <c r="RW214" s="53"/>
      <c r="RX214" s="53"/>
      <c r="RY214" s="53"/>
      <c r="RZ214" s="53"/>
      <c r="SA214" s="53"/>
      <c r="SB214" s="53"/>
      <c r="SC214" s="53"/>
      <c r="SD214" s="53"/>
      <c r="SE214" s="53"/>
      <c r="SF214" s="53"/>
      <c r="SG214" s="53"/>
      <c r="SH214" s="53"/>
      <c r="SI214" s="53"/>
      <c r="SJ214" s="53"/>
      <c r="SK214" s="53"/>
      <c r="SL214" s="53"/>
      <c r="SM214" s="53"/>
      <c r="SN214" s="53"/>
      <c r="SO214" s="53"/>
      <c r="SP214" s="53"/>
      <c r="SQ214" s="53"/>
      <c r="SR214" s="53"/>
      <c r="SS214" s="53"/>
      <c r="ST214" s="53"/>
      <c r="SU214" s="53"/>
      <c r="SV214" s="53"/>
      <c r="SW214" s="53"/>
      <c r="SX214" s="53"/>
      <c r="SY214" s="53"/>
      <c r="SZ214" s="53"/>
      <c r="TA214" s="53"/>
      <c r="TB214" s="53"/>
      <c r="TC214" s="53"/>
      <c r="TD214" s="53"/>
      <c r="TE214" s="53"/>
      <c r="TF214" s="53"/>
      <c r="TG214" s="53"/>
      <c r="TH214" s="53"/>
      <c r="TI214" s="53"/>
      <c r="TJ214" s="53"/>
      <c r="TK214" s="53"/>
      <c r="TL214" s="53"/>
      <c r="TM214" s="53"/>
      <c r="TN214" s="53"/>
      <c r="TO214" s="53"/>
      <c r="TP214" s="53"/>
      <c r="TQ214" s="53"/>
      <c r="TR214" s="53"/>
      <c r="TS214" s="53"/>
      <c r="TT214" s="53"/>
      <c r="TU214" s="53"/>
      <c r="TV214" s="53"/>
      <c r="TW214" s="53"/>
      <c r="TX214" s="53"/>
      <c r="TY214" s="53"/>
      <c r="TZ214" s="53"/>
      <c r="UA214" s="53"/>
      <c r="UB214" s="53"/>
      <c r="UC214" s="53"/>
      <c r="UD214" s="53"/>
      <c r="UE214" s="53"/>
      <c r="UF214" s="53"/>
      <c r="UG214" s="53"/>
      <c r="UH214" s="53"/>
      <c r="UI214" s="53"/>
      <c r="UJ214" s="53"/>
      <c r="UK214" s="53"/>
      <c r="UL214" s="53"/>
      <c r="UM214" s="53"/>
      <c r="UN214" s="53"/>
      <c r="UO214" s="53"/>
      <c r="UP214" s="53"/>
      <c r="UQ214" s="53"/>
      <c r="UR214" s="53"/>
      <c r="US214" s="53"/>
      <c r="UT214" s="53"/>
      <c r="UU214" s="53"/>
      <c r="UV214" s="53"/>
      <c r="UW214" s="53"/>
      <c r="UX214" s="53"/>
      <c r="UY214" s="53"/>
      <c r="UZ214" s="53"/>
      <c r="VA214" s="53"/>
      <c r="VB214" s="53"/>
      <c r="VC214" s="53"/>
      <c r="VD214" s="53"/>
      <c r="VE214" s="53"/>
      <c r="VF214" s="53"/>
      <c r="VG214" s="53"/>
      <c r="VH214" s="53"/>
      <c r="VI214" s="53"/>
      <c r="VJ214" s="53"/>
      <c r="VK214" s="53"/>
      <c r="VL214" s="53"/>
    </row>
    <row r="215" spans="1:584" s="47" customFormat="1" ht="19.5" customHeight="1" x14ac:dyDescent="0.25">
      <c r="A215" s="49" t="s">
        <v>392</v>
      </c>
      <c r="B215" s="93" t="str">
        <f>'дод 3'!A117</f>
        <v>3210</v>
      </c>
      <c r="C215" s="93" t="str">
        <f>'дод 3'!B117</f>
        <v>1050</v>
      </c>
      <c r="D215" s="46" t="str">
        <f>'дод 3'!C117</f>
        <v>Організація та проведення громадських робіт</v>
      </c>
      <c r="E215" s="115">
        <v>380000</v>
      </c>
      <c r="F215" s="115"/>
      <c r="G215" s="115"/>
      <c r="H215" s="115">
        <v>361167.62</v>
      </c>
      <c r="I215" s="115"/>
      <c r="J215" s="115"/>
      <c r="K215" s="164">
        <f t="shared" si="59"/>
        <v>95.044110526315791</v>
      </c>
      <c r="L215" s="115">
        <f t="shared" si="42"/>
        <v>0</v>
      </c>
      <c r="M215" s="115"/>
      <c r="N215" s="115"/>
      <c r="O215" s="115"/>
      <c r="P215" s="115"/>
      <c r="Q215" s="115"/>
      <c r="R215" s="115">
        <f t="shared" si="61"/>
        <v>0</v>
      </c>
      <c r="S215" s="115"/>
      <c r="T215" s="115"/>
      <c r="U215" s="115"/>
      <c r="V215" s="115"/>
      <c r="W215" s="115"/>
      <c r="X215" s="166"/>
      <c r="Y215" s="115">
        <f t="shared" si="69"/>
        <v>361167.62</v>
      </c>
      <c r="Z215" s="187"/>
      <c r="AA215" s="53"/>
      <c r="AB215" s="53"/>
      <c r="AC215" s="53"/>
      <c r="AD215" s="53"/>
      <c r="AE215" s="79"/>
      <c r="AF215" s="79"/>
      <c r="AG215" s="79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  <c r="IU215" s="53"/>
      <c r="IV215" s="53"/>
      <c r="IW215" s="53"/>
      <c r="IX215" s="53"/>
      <c r="IY215" s="53"/>
      <c r="IZ215" s="53"/>
      <c r="JA215" s="53"/>
      <c r="JB215" s="53"/>
      <c r="JC215" s="53"/>
      <c r="JD215" s="53"/>
      <c r="JE215" s="53"/>
      <c r="JF215" s="53"/>
      <c r="JG215" s="53"/>
      <c r="JH215" s="53"/>
      <c r="JI215" s="53"/>
      <c r="JJ215" s="53"/>
      <c r="JK215" s="53"/>
      <c r="JL215" s="53"/>
      <c r="JM215" s="53"/>
      <c r="JN215" s="53"/>
      <c r="JO215" s="53"/>
      <c r="JP215" s="53"/>
      <c r="JQ215" s="53"/>
      <c r="JR215" s="53"/>
      <c r="JS215" s="53"/>
      <c r="JT215" s="53"/>
      <c r="JU215" s="53"/>
      <c r="JV215" s="53"/>
      <c r="JW215" s="53"/>
      <c r="JX215" s="53"/>
      <c r="JY215" s="53"/>
      <c r="JZ215" s="53"/>
      <c r="KA215" s="53"/>
      <c r="KB215" s="53"/>
      <c r="KC215" s="53"/>
      <c r="KD215" s="53"/>
      <c r="KE215" s="53"/>
      <c r="KF215" s="53"/>
      <c r="KG215" s="53"/>
      <c r="KH215" s="53"/>
      <c r="KI215" s="53"/>
      <c r="KJ215" s="53"/>
      <c r="KK215" s="53"/>
      <c r="KL215" s="53"/>
      <c r="KM215" s="53"/>
      <c r="KN215" s="53"/>
      <c r="KO215" s="53"/>
      <c r="KP215" s="53"/>
      <c r="KQ215" s="53"/>
      <c r="KR215" s="53"/>
      <c r="KS215" s="53"/>
      <c r="KT215" s="53"/>
      <c r="KU215" s="53"/>
      <c r="KV215" s="53"/>
      <c r="KW215" s="53"/>
      <c r="KX215" s="53"/>
      <c r="KY215" s="53"/>
      <c r="KZ215" s="53"/>
      <c r="LA215" s="53"/>
      <c r="LB215" s="53"/>
      <c r="LC215" s="53"/>
      <c r="LD215" s="53"/>
      <c r="LE215" s="53"/>
      <c r="LF215" s="53"/>
      <c r="LG215" s="53"/>
      <c r="LH215" s="53"/>
      <c r="LI215" s="53"/>
      <c r="LJ215" s="53"/>
      <c r="LK215" s="53"/>
      <c r="LL215" s="53"/>
      <c r="LM215" s="53"/>
      <c r="LN215" s="53"/>
      <c r="LO215" s="53"/>
      <c r="LP215" s="53"/>
      <c r="LQ215" s="53"/>
      <c r="LR215" s="53"/>
      <c r="LS215" s="53"/>
      <c r="LT215" s="53"/>
      <c r="LU215" s="53"/>
      <c r="LV215" s="53"/>
      <c r="LW215" s="53"/>
      <c r="LX215" s="53"/>
      <c r="LY215" s="53"/>
      <c r="LZ215" s="53"/>
      <c r="MA215" s="53"/>
      <c r="MB215" s="53"/>
      <c r="MC215" s="53"/>
      <c r="MD215" s="53"/>
      <c r="ME215" s="53"/>
      <c r="MF215" s="53"/>
      <c r="MG215" s="53"/>
      <c r="MH215" s="53"/>
      <c r="MI215" s="53"/>
      <c r="MJ215" s="53"/>
      <c r="MK215" s="53"/>
      <c r="ML215" s="53"/>
      <c r="MM215" s="53"/>
      <c r="MN215" s="53"/>
      <c r="MO215" s="53"/>
      <c r="MP215" s="53"/>
      <c r="MQ215" s="53"/>
      <c r="MR215" s="53"/>
      <c r="MS215" s="53"/>
      <c r="MT215" s="53"/>
      <c r="MU215" s="53"/>
      <c r="MV215" s="53"/>
      <c r="MW215" s="53"/>
      <c r="MX215" s="53"/>
      <c r="MY215" s="53"/>
      <c r="MZ215" s="53"/>
      <c r="NA215" s="53"/>
      <c r="NB215" s="53"/>
      <c r="NC215" s="53"/>
      <c r="ND215" s="53"/>
      <c r="NE215" s="53"/>
      <c r="NF215" s="53"/>
      <c r="NG215" s="53"/>
      <c r="NH215" s="53"/>
      <c r="NI215" s="53"/>
      <c r="NJ215" s="53"/>
      <c r="NK215" s="53"/>
      <c r="NL215" s="53"/>
      <c r="NM215" s="53"/>
      <c r="NN215" s="53"/>
      <c r="NO215" s="53"/>
      <c r="NP215" s="53"/>
      <c r="NQ215" s="53"/>
      <c r="NR215" s="53"/>
      <c r="NS215" s="53"/>
      <c r="NT215" s="53"/>
      <c r="NU215" s="53"/>
      <c r="NV215" s="53"/>
      <c r="NW215" s="53"/>
      <c r="NX215" s="53"/>
      <c r="NY215" s="53"/>
      <c r="NZ215" s="53"/>
      <c r="OA215" s="53"/>
      <c r="OB215" s="53"/>
      <c r="OC215" s="53"/>
      <c r="OD215" s="53"/>
      <c r="OE215" s="53"/>
      <c r="OF215" s="53"/>
      <c r="OG215" s="53"/>
      <c r="OH215" s="53"/>
      <c r="OI215" s="53"/>
      <c r="OJ215" s="53"/>
      <c r="OK215" s="53"/>
      <c r="OL215" s="53"/>
      <c r="OM215" s="53"/>
      <c r="ON215" s="53"/>
      <c r="OO215" s="53"/>
      <c r="OP215" s="53"/>
      <c r="OQ215" s="53"/>
      <c r="OR215" s="53"/>
      <c r="OS215" s="53"/>
      <c r="OT215" s="53"/>
      <c r="OU215" s="53"/>
      <c r="OV215" s="53"/>
      <c r="OW215" s="53"/>
      <c r="OX215" s="53"/>
      <c r="OY215" s="53"/>
      <c r="OZ215" s="53"/>
      <c r="PA215" s="53"/>
      <c r="PB215" s="53"/>
      <c r="PC215" s="53"/>
      <c r="PD215" s="53"/>
      <c r="PE215" s="53"/>
      <c r="PF215" s="53"/>
      <c r="PG215" s="53"/>
      <c r="PH215" s="53"/>
      <c r="PI215" s="53"/>
      <c r="PJ215" s="53"/>
      <c r="PK215" s="53"/>
      <c r="PL215" s="53"/>
      <c r="PM215" s="53"/>
      <c r="PN215" s="53"/>
      <c r="PO215" s="53"/>
      <c r="PP215" s="53"/>
      <c r="PQ215" s="53"/>
      <c r="PR215" s="53"/>
      <c r="PS215" s="53"/>
      <c r="PT215" s="53"/>
      <c r="PU215" s="53"/>
      <c r="PV215" s="53"/>
      <c r="PW215" s="53"/>
      <c r="PX215" s="53"/>
      <c r="PY215" s="53"/>
      <c r="PZ215" s="53"/>
      <c r="QA215" s="53"/>
      <c r="QB215" s="53"/>
      <c r="QC215" s="53"/>
      <c r="QD215" s="53"/>
      <c r="QE215" s="53"/>
      <c r="QF215" s="53"/>
      <c r="QG215" s="53"/>
      <c r="QH215" s="53"/>
      <c r="QI215" s="53"/>
      <c r="QJ215" s="53"/>
      <c r="QK215" s="53"/>
      <c r="QL215" s="53"/>
      <c r="QM215" s="53"/>
      <c r="QN215" s="53"/>
      <c r="QO215" s="53"/>
      <c r="QP215" s="53"/>
      <c r="QQ215" s="53"/>
      <c r="QR215" s="53"/>
      <c r="QS215" s="53"/>
      <c r="QT215" s="53"/>
      <c r="QU215" s="53"/>
      <c r="QV215" s="53"/>
      <c r="QW215" s="53"/>
      <c r="QX215" s="53"/>
      <c r="QY215" s="53"/>
      <c r="QZ215" s="53"/>
      <c r="RA215" s="53"/>
      <c r="RB215" s="53"/>
      <c r="RC215" s="53"/>
      <c r="RD215" s="53"/>
      <c r="RE215" s="53"/>
      <c r="RF215" s="53"/>
      <c r="RG215" s="53"/>
      <c r="RH215" s="53"/>
      <c r="RI215" s="53"/>
      <c r="RJ215" s="53"/>
      <c r="RK215" s="53"/>
      <c r="RL215" s="53"/>
      <c r="RM215" s="53"/>
      <c r="RN215" s="53"/>
      <c r="RO215" s="53"/>
      <c r="RP215" s="53"/>
      <c r="RQ215" s="53"/>
      <c r="RR215" s="53"/>
      <c r="RS215" s="53"/>
      <c r="RT215" s="53"/>
      <c r="RU215" s="53"/>
      <c r="RV215" s="53"/>
      <c r="RW215" s="53"/>
      <c r="RX215" s="53"/>
      <c r="RY215" s="53"/>
      <c r="RZ215" s="53"/>
      <c r="SA215" s="53"/>
      <c r="SB215" s="53"/>
      <c r="SC215" s="53"/>
      <c r="SD215" s="53"/>
      <c r="SE215" s="53"/>
      <c r="SF215" s="53"/>
      <c r="SG215" s="53"/>
      <c r="SH215" s="53"/>
      <c r="SI215" s="53"/>
      <c r="SJ215" s="53"/>
      <c r="SK215" s="53"/>
      <c r="SL215" s="53"/>
      <c r="SM215" s="53"/>
      <c r="SN215" s="53"/>
      <c r="SO215" s="53"/>
      <c r="SP215" s="53"/>
      <c r="SQ215" s="53"/>
      <c r="SR215" s="53"/>
      <c r="SS215" s="53"/>
      <c r="ST215" s="53"/>
      <c r="SU215" s="53"/>
      <c r="SV215" s="53"/>
      <c r="SW215" s="53"/>
      <c r="SX215" s="53"/>
      <c r="SY215" s="53"/>
      <c r="SZ215" s="53"/>
      <c r="TA215" s="53"/>
      <c r="TB215" s="53"/>
      <c r="TC215" s="53"/>
      <c r="TD215" s="53"/>
      <c r="TE215" s="53"/>
      <c r="TF215" s="53"/>
      <c r="TG215" s="53"/>
      <c r="TH215" s="53"/>
      <c r="TI215" s="53"/>
      <c r="TJ215" s="53"/>
      <c r="TK215" s="53"/>
      <c r="TL215" s="53"/>
      <c r="TM215" s="53"/>
      <c r="TN215" s="53"/>
      <c r="TO215" s="53"/>
      <c r="TP215" s="53"/>
      <c r="TQ215" s="53"/>
      <c r="TR215" s="53"/>
      <c r="TS215" s="53"/>
      <c r="TT215" s="53"/>
      <c r="TU215" s="53"/>
      <c r="TV215" s="53"/>
      <c r="TW215" s="53"/>
      <c r="TX215" s="53"/>
      <c r="TY215" s="53"/>
      <c r="TZ215" s="53"/>
      <c r="UA215" s="53"/>
      <c r="UB215" s="53"/>
      <c r="UC215" s="53"/>
      <c r="UD215" s="53"/>
      <c r="UE215" s="53"/>
      <c r="UF215" s="53"/>
      <c r="UG215" s="53"/>
      <c r="UH215" s="53"/>
      <c r="UI215" s="53"/>
      <c r="UJ215" s="53"/>
      <c r="UK215" s="53"/>
      <c r="UL215" s="53"/>
      <c r="UM215" s="53"/>
      <c r="UN215" s="53"/>
      <c r="UO215" s="53"/>
      <c r="UP215" s="53"/>
      <c r="UQ215" s="53"/>
      <c r="UR215" s="53"/>
      <c r="US215" s="53"/>
      <c r="UT215" s="53"/>
      <c r="UU215" s="53"/>
      <c r="UV215" s="53"/>
      <c r="UW215" s="53"/>
      <c r="UX215" s="53"/>
      <c r="UY215" s="53"/>
      <c r="UZ215" s="53"/>
      <c r="VA215" s="53"/>
      <c r="VB215" s="53"/>
      <c r="VC215" s="53"/>
      <c r="VD215" s="53"/>
      <c r="VE215" s="53"/>
      <c r="VF215" s="53"/>
      <c r="VG215" s="53"/>
      <c r="VH215" s="53"/>
      <c r="VI215" s="53"/>
      <c r="VJ215" s="53"/>
      <c r="VK215" s="53"/>
      <c r="VL215" s="53"/>
    </row>
    <row r="216" spans="1:584" s="47" customFormat="1" ht="24" customHeight="1" x14ac:dyDescent="0.25">
      <c r="A216" s="45" t="s">
        <v>262</v>
      </c>
      <c r="B216" s="91" t="str">
        <f>'дод 3'!A144</f>
        <v>6011</v>
      </c>
      <c r="C216" s="91" t="str">
        <f>'дод 3'!B144</f>
        <v>0610</v>
      </c>
      <c r="D216" s="48" t="str">
        <f>'дод 3'!C144</f>
        <v>Експлуатація та технічне обслуговування житлового фонду</v>
      </c>
      <c r="E216" s="115">
        <v>0</v>
      </c>
      <c r="F216" s="115"/>
      <c r="G216" s="115"/>
      <c r="H216" s="115"/>
      <c r="I216" s="115"/>
      <c r="J216" s="115"/>
      <c r="K216" s="164"/>
      <c r="L216" s="115">
        <f t="shared" si="42"/>
        <v>29229250</v>
      </c>
      <c r="M216" s="115">
        <f>26800000+72700-23250+20000+82300+122000+20000+950000+1250000-150000+165500-170000+90000</f>
        <v>29229250</v>
      </c>
      <c r="N216" s="115"/>
      <c r="O216" s="115"/>
      <c r="P216" s="115"/>
      <c r="Q216" s="115">
        <f>26800000+72700-23250+20000+82300+122000+20000+950000+1250000-150000+165500-170000+90000</f>
        <v>29229250</v>
      </c>
      <c r="R216" s="115">
        <f t="shared" si="61"/>
        <v>19711648.140000001</v>
      </c>
      <c r="S216" s="115">
        <v>19711648.140000001</v>
      </c>
      <c r="T216" s="115"/>
      <c r="U216" s="115"/>
      <c r="V216" s="115"/>
      <c r="W216" s="115">
        <v>19711648.140000001</v>
      </c>
      <c r="X216" s="166">
        <f t="shared" si="60"/>
        <v>67.438090748137569</v>
      </c>
      <c r="Y216" s="115">
        <f t="shared" si="69"/>
        <v>19711648.140000001</v>
      </c>
      <c r="Z216" s="187"/>
      <c r="AA216" s="53"/>
      <c r="AB216" s="53"/>
      <c r="AC216" s="53"/>
      <c r="AD216" s="53"/>
      <c r="AE216" s="79"/>
      <c r="AF216" s="79"/>
      <c r="AG216" s="79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  <c r="IW216" s="53"/>
      <c r="IX216" s="53"/>
      <c r="IY216" s="53"/>
      <c r="IZ216" s="53"/>
      <c r="JA216" s="53"/>
      <c r="JB216" s="53"/>
      <c r="JC216" s="53"/>
      <c r="JD216" s="53"/>
      <c r="JE216" s="53"/>
      <c r="JF216" s="53"/>
      <c r="JG216" s="53"/>
      <c r="JH216" s="53"/>
      <c r="JI216" s="53"/>
      <c r="JJ216" s="53"/>
      <c r="JK216" s="53"/>
      <c r="JL216" s="53"/>
      <c r="JM216" s="53"/>
      <c r="JN216" s="53"/>
      <c r="JO216" s="53"/>
      <c r="JP216" s="53"/>
      <c r="JQ216" s="53"/>
      <c r="JR216" s="53"/>
      <c r="JS216" s="53"/>
      <c r="JT216" s="53"/>
      <c r="JU216" s="53"/>
      <c r="JV216" s="53"/>
      <c r="JW216" s="53"/>
      <c r="JX216" s="53"/>
      <c r="JY216" s="53"/>
      <c r="JZ216" s="53"/>
      <c r="KA216" s="53"/>
      <c r="KB216" s="53"/>
      <c r="KC216" s="53"/>
      <c r="KD216" s="53"/>
      <c r="KE216" s="53"/>
      <c r="KF216" s="53"/>
      <c r="KG216" s="53"/>
      <c r="KH216" s="53"/>
      <c r="KI216" s="53"/>
      <c r="KJ216" s="53"/>
      <c r="KK216" s="53"/>
      <c r="KL216" s="53"/>
      <c r="KM216" s="53"/>
      <c r="KN216" s="53"/>
      <c r="KO216" s="53"/>
      <c r="KP216" s="53"/>
      <c r="KQ216" s="53"/>
      <c r="KR216" s="53"/>
      <c r="KS216" s="53"/>
      <c r="KT216" s="53"/>
      <c r="KU216" s="53"/>
      <c r="KV216" s="53"/>
      <c r="KW216" s="53"/>
      <c r="KX216" s="53"/>
      <c r="KY216" s="53"/>
      <c r="KZ216" s="53"/>
      <c r="LA216" s="53"/>
      <c r="LB216" s="53"/>
      <c r="LC216" s="53"/>
      <c r="LD216" s="53"/>
      <c r="LE216" s="53"/>
      <c r="LF216" s="53"/>
      <c r="LG216" s="53"/>
      <c r="LH216" s="53"/>
      <c r="LI216" s="53"/>
      <c r="LJ216" s="53"/>
      <c r="LK216" s="53"/>
      <c r="LL216" s="53"/>
      <c r="LM216" s="53"/>
      <c r="LN216" s="53"/>
      <c r="LO216" s="53"/>
      <c r="LP216" s="53"/>
      <c r="LQ216" s="53"/>
      <c r="LR216" s="53"/>
      <c r="LS216" s="53"/>
      <c r="LT216" s="53"/>
      <c r="LU216" s="53"/>
      <c r="LV216" s="53"/>
      <c r="LW216" s="53"/>
      <c r="LX216" s="53"/>
      <c r="LY216" s="53"/>
      <c r="LZ216" s="53"/>
      <c r="MA216" s="53"/>
      <c r="MB216" s="53"/>
      <c r="MC216" s="53"/>
      <c r="MD216" s="53"/>
      <c r="ME216" s="53"/>
      <c r="MF216" s="53"/>
      <c r="MG216" s="53"/>
      <c r="MH216" s="53"/>
      <c r="MI216" s="53"/>
      <c r="MJ216" s="53"/>
      <c r="MK216" s="53"/>
      <c r="ML216" s="53"/>
      <c r="MM216" s="53"/>
      <c r="MN216" s="53"/>
      <c r="MO216" s="53"/>
      <c r="MP216" s="53"/>
      <c r="MQ216" s="53"/>
      <c r="MR216" s="53"/>
      <c r="MS216" s="53"/>
      <c r="MT216" s="53"/>
      <c r="MU216" s="53"/>
      <c r="MV216" s="53"/>
      <c r="MW216" s="53"/>
      <c r="MX216" s="53"/>
      <c r="MY216" s="53"/>
      <c r="MZ216" s="53"/>
      <c r="NA216" s="53"/>
      <c r="NB216" s="53"/>
      <c r="NC216" s="53"/>
      <c r="ND216" s="53"/>
      <c r="NE216" s="53"/>
      <c r="NF216" s="53"/>
      <c r="NG216" s="53"/>
      <c r="NH216" s="53"/>
      <c r="NI216" s="53"/>
      <c r="NJ216" s="53"/>
      <c r="NK216" s="53"/>
      <c r="NL216" s="53"/>
      <c r="NM216" s="53"/>
      <c r="NN216" s="53"/>
      <c r="NO216" s="53"/>
      <c r="NP216" s="53"/>
      <c r="NQ216" s="53"/>
      <c r="NR216" s="53"/>
      <c r="NS216" s="53"/>
      <c r="NT216" s="53"/>
      <c r="NU216" s="53"/>
      <c r="NV216" s="53"/>
      <c r="NW216" s="53"/>
      <c r="NX216" s="53"/>
      <c r="NY216" s="53"/>
      <c r="NZ216" s="53"/>
      <c r="OA216" s="53"/>
      <c r="OB216" s="53"/>
      <c r="OC216" s="53"/>
      <c r="OD216" s="53"/>
      <c r="OE216" s="53"/>
      <c r="OF216" s="53"/>
      <c r="OG216" s="53"/>
      <c r="OH216" s="53"/>
      <c r="OI216" s="53"/>
      <c r="OJ216" s="53"/>
      <c r="OK216" s="53"/>
      <c r="OL216" s="53"/>
      <c r="OM216" s="53"/>
      <c r="ON216" s="53"/>
      <c r="OO216" s="53"/>
      <c r="OP216" s="53"/>
      <c r="OQ216" s="53"/>
      <c r="OR216" s="53"/>
      <c r="OS216" s="53"/>
      <c r="OT216" s="53"/>
      <c r="OU216" s="53"/>
      <c r="OV216" s="53"/>
      <c r="OW216" s="53"/>
      <c r="OX216" s="53"/>
      <c r="OY216" s="53"/>
      <c r="OZ216" s="53"/>
      <c r="PA216" s="53"/>
      <c r="PB216" s="53"/>
      <c r="PC216" s="53"/>
      <c r="PD216" s="53"/>
      <c r="PE216" s="53"/>
      <c r="PF216" s="53"/>
      <c r="PG216" s="53"/>
      <c r="PH216" s="53"/>
      <c r="PI216" s="53"/>
      <c r="PJ216" s="53"/>
      <c r="PK216" s="53"/>
      <c r="PL216" s="53"/>
      <c r="PM216" s="53"/>
      <c r="PN216" s="53"/>
      <c r="PO216" s="53"/>
      <c r="PP216" s="53"/>
      <c r="PQ216" s="53"/>
      <c r="PR216" s="53"/>
      <c r="PS216" s="53"/>
      <c r="PT216" s="53"/>
      <c r="PU216" s="53"/>
      <c r="PV216" s="53"/>
      <c r="PW216" s="53"/>
      <c r="PX216" s="53"/>
      <c r="PY216" s="53"/>
      <c r="PZ216" s="53"/>
      <c r="QA216" s="53"/>
      <c r="QB216" s="53"/>
      <c r="QC216" s="53"/>
      <c r="QD216" s="53"/>
      <c r="QE216" s="53"/>
      <c r="QF216" s="53"/>
      <c r="QG216" s="53"/>
      <c r="QH216" s="53"/>
      <c r="QI216" s="53"/>
      <c r="QJ216" s="53"/>
      <c r="QK216" s="53"/>
      <c r="QL216" s="53"/>
      <c r="QM216" s="53"/>
      <c r="QN216" s="53"/>
      <c r="QO216" s="53"/>
      <c r="QP216" s="53"/>
      <c r="QQ216" s="53"/>
      <c r="QR216" s="53"/>
      <c r="QS216" s="53"/>
      <c r="QT216" s="53"/>
      <c r="QU216" s="53"/>
      <c r="QV216" s="53"/>
      <c r="QW216" s="53"/>
      <c r="QX216" s="53"/>
      <c r="QY216" s="53"/>
      <c r="QZ216" s="53"/>
      <c r="RA216" s="53"/>
      <c r="RB216" s="53"/>
      <c r="RC216" s="53"/>
      <c r="RD216" s="53"/>
      <c r="RE216" s="53"/>
      <c r="RF216" s="53"/>
      <c r="RG216" s="53"/>
      <c r="RH216" s="53"/>
      <c r="RI216" s="53"/>
      <c r="RJ216" s="53"/>
      <c r="RK216" s="53"/>
      <c r="RL216" s="53"/>
      <c r="RM216" s="53"/>
      <c r="RN216" s="53"/>
      <c r="RO216" s="53"/>
      <c r="RP216" s="53"/>
      <c r="RQ216" s="53"/>
      <c r="RR216" s="53"/>
      <c r="RS216" s="53"/>
      <c r="RT216" s="53"/>
      <c r="RU216" s="53"/>
      <c r="RV216" s="53"/>
      <c r="RW216" s="53"/>
      <c r="RX216" s="53"/>
      <c r="RY216" s="53"/>
      <c r="RZ216" s="53"/>
      <c r="SA216" s="53"/>
      <c r="SB216" s="53"/>
      <c r="SC216" s="53"/>
      <c r="SD216" s="53"/>
      <c r="SE216" s="53"/>
      <c r="SF216" s="53"/>
      <c r="SG216" s="53"/>
      <c r="SH216" s="53"/>
      <c r="SI216" s="53"/>
      <c r="SJ216" s="53"/>
      <c r="SK216" s="53"/>
      <c r="SL216" s="53"/>
      <c r="SM216" s="53"/>
      <c r="SN216" s="53"/>
      <c r="SO216" s="53"/>
      <c r="SP216" s="53"/>
      <c r="SQ216" s="53"/>
      <c r="SR216" s="53"/>
      <c r="SS216" s="53"/>
      <c r="ST216" s="53"/>
      <c r="SU216" s="53"/>
      <c r="SV216" s="53"/>
      <c r="SW216" s="53"/>
      <c r="SX216" s="53"/>
      <c r="SY216" s="53"/>
      <c r="SZ216" s="53"/>
      <c r="TA216" s="53"/>
      <c r="TB216" s="53"/>
      <c r="TC216" s="53"/>
      <c r="TD216" s="53"/>
      <c r="TE216" s="53"/>
      <c r="TF216" s="53"/>
      <c r="TG216" s="53"/>
      <c r="TH216" s="53"/>
      <c r="TI216" s="53"/>
      <c r="TJ216" s="53"/>
      <c r="TK216" s="53"/>
      <c r="TL216" s="53"/>
      <c r="TM216" s="53"/>
      <c r="TN216" s="53"/>
      <c r="TO216" s="53"/>
      <c r="TP216" s="53"/>
      <c r="TQ216" s="53"/>
      <c r="TR216" s="53"/>
      <c r="TS216" s="53"/>
      <c r="TT216" s="53"/>
      <c r="TU216" s="53"/>
      <c r="TV216" s="53"/>
      <c r="TW216" s="53"/>
      <c r="TX216" s="53"/>
      <c r="TY216" s="53"/>
      <c r="TZ216" s="53"/>
      <c r="UA216" s="53"/>
      <c r="UB216" s="53"/>
      <c r="UC216" s="53"/>
      <c r="UD216" s="53"/>
      <c r="UE216" s="53"/>
      <c r="UF216" s="53"/>
      <c r="UG216" s="53"/>
      <c r="UH216" s="53"/>
      <c r="UI216" s="53"/>
      <c r="UJ216" s="53"/>
      <c r="UK216" s="53"/>
      <c r="UL216" s="53"/>
      <c r="UM216" s="53"/>
      <c r="UN216" s="53"/>
      <c r="UO216" s="53"/>
      <c r="UP216" s="53"/>
      <c r="UQ216" s="53"/>
      <c r="UR216" s="53"/>
      <c r="US216" s="53"/>
      <c r="UT216" s="53"/>
      <c r="UU216" s="53"/>
      <c r="UV216" s="53"/>
      <c r="UW216" s="53"/>
      <c r="UX216" s="53"/>
      <c r="UY216" s="53"/>
      <c r="UZ216" s="53"/>
      <c r="VA216" s="53"/>
      <c r="VB216" s="53"/>
      <c r="VC216" s="53"/>
      <c r="VD216" s="53"/>
      <c r="VE216" s="53"/>
      <c r="VF216" s="53"/>
      <c r="VG216" s="53"/>
      <c r="VH216" s="53"/>
      <c r="VI216" s="53"/>
      <c r="VJ216" s="53"/>
      <c r="VK216" s="53"/>
      <c r="VL216" s="53"/>
    </row>
    <row r="217" spans="1:584" s="47" customFormat="1" ht="33" customHeight="1" x14ac:dyDescent="0.25">
      <c r="A217" s="45" t="s">
        <v>263</v>
      </c>
      <c r="B217" s="91" t="str">
        <f>'дод 3'!A145</f>
        <v>6013</v>
      </c>
      <c r="C217" s="91" t="str">
        <f>'дод 3'!B145</f>
        <v>0620</v>
      </c>
      <c r="D217" s="48" t="str">
        <f>'дод 3'!C145</f>
        <v>Забезпечення діяльності водопровідно-каналізаційного господарства</v>
      </c>
      <c r="E217" s="115">
        <v>52042357.600000001</v>
      </c>
      <c r="F217" s="115"/>
      <c r="G217" s="115">
        <v>15000</v>
      </c>
      <c r="H217" s="115">
        <v>51012566.630000003</v>
      </c>
      <c r="I217" s="115"/>
      <c r="J217" s="115"/>
      <c r="K217" s="164">
        <f t="shared" si="59"/>
        <v>98.021244583277678</v>
      </c>
      <c r="L217" s="115">
        <f t="shared" si="42"/>
        <v>50000</v>
      </c>
      <c r="M217" s="115">
        <v>50000</v>
      </c>
      <c r="N217" s="115"/>
      <c r="O217" s="115"/>
      <c r="P217" s="115"/>
      <c r="Q217" s="115">
        <v>50000</v>
      </c>
      <c r="R217" s="115">
        <f t="shared" si="61"/>
        <v>0</v>
      </c>
      <c r="S217" s="115"/>
      <c r="T217" s="115"/>
      <c r="U217" s="115"/>
      <c r="V217" s="115"/>
      <c r="W217" s="115"/>
      <c r="X217" s="166">
        <f t="shared" si="60"/>
        <v>0</v>
      </c>
      <c r="Y217" s="115">
        <f t="shared" si="69"/>
        <v>51012566.630000003</v>
      </c>
      <c r="Z217" s="187"/>
      <c r="AA217" s="53"/>
      <c r="AB217" s="53"/>
      <c r="AC217" s="53"/>
      <c r="AD217" s="53"/>
      <c r="AE217" s="79"/>
      <c r="AF217" s="79"/>
      <c r="AG217" s="79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  <c r="IV217" s="53"/>
      <c r="IW217" s="53"/>
      <c r="IX217" s="53"/>
      <c r="IY217" s="53"/>
      <c r="IZ217" s="53"/>
      <c r="JA217" s="53"/>
      <c r="JB217" s="53"/>
      <c r="JC217" s="53"/>
      <c r="JD217" s="53"/>
      <c r="JE217" s="53"/>
      <c r="JF217" s="53"/>
      <c r="JG217" s="53"/>
      <c r="JH217" s="53"/>
      <c r="JI217" s="53"/>
      <c r="JJ217" s="53"/>
      <c r="JK217" s="53"/>
      <c r="JL217" s="53"/>
      <c r="JM217" s="53"/>
      <c r="JN217" s="53"/>
      <c r="JO217" s="53"/>
      <c r="JP217" s="53"/>
      <c r="JQ217" s="53"/>
      <c r="JR217" s="53"/>
      <c r="JS217" s="53"/>
      <c r="JT217" s="53"/>
      <c r="JU217" s="53"/>
      <c r="JV217" s="53"/>
      <c r="JW217" s="53"/>
      <c r="JX217" s="53"/>
      <c r="JY217" s="53"/>
      <c r="JZ217" s="53"/>
      <c r="KA217" s="53"/>
      <c r="KB217" s="53"/>
      <c r="KC217" s="53"/>
      <c r="KD217" s="53"/>
      <c r="KE217" s="53"/>
      <c r="KF217" s="53"/>
      <c r="KG217" s="53"/>
      <c r="KH217" s="53"/>
      <c r="KI217" s="53"/>
      <c r="KJ217" s="53"/>
      <c r="KK217" s="53"/>
      <c r="KL217" s="53"/>
      <c r="KM217" s="53"/>
      <c r="KN217" s="53"/>
      <c r="KO217" s="53"/>
      <c r="KP217" s="53"/>
      <c r="KQ217" s="53"/>
      <c r="KR217" s="53"/>
      <c r="KS217" s="53"/>
      <c r="KT217" s="53"/>
      <c r="KU217" s="53"/>
      <c r="KV217" s="53"/>
      <c r="KW217" s="53"/>
      <c r="KX217" s="53"/>
      <c r="KY217" s="53"/>
      <c r="KZ217" s="53"/>
      <c r="LA217" s="53"/>
      <c r="LB217" s="53"/>
      <c r="LC217" s="53"/>
      <c r="LD217" s="53"/>
      <c r="LE217" s="53"/>
      <c r="LF217" s="53"/>
      <c r="LG217" s="53"/>
      <c r="LH217" s="53"/>
      <c r="LI217" s="53"/>
      <c r="LJ217" s="53"/>
      <c r="LK217" s="53"/>
      <c r="LL217" s="53"/>
      <c r="LM217" s="53"/>
      <c r="LN217" s="53"/>
      <c r="LO217" s="53"/>
      <c r="LP217" s="53"/>
      <c r="LQ217" s="53"/>
      <c r="LR217" s="53"/>
      <c r="LS217" s="53"/>
      <c r="LT217" s="53"/>
      <c r="LU217" s="53"/>
      <c r="LV217" s="53"/>
      <c r="LW217" s="53"/>
      <c r="LX217" s="53"/>
      <c r="LY217" s="53"/>
      <c r="LZ217" s="53"/>
      <c r="MA217" s="53"/>
      <c r="MB217" s="53"/>
      <c r="MC217" s="53"/>
      <c r="MD217" s="53"/>
      <c r="ME217" s="53"/>
      <c r="MF217" s="53"/>
      <c r="MG217" s="53"/>
      <c r="MH217" s="53"/>
      <c r="MI217" s="53"/>
      <c r="MJ217" s="53"/>
      <c r="MK217" s="53"/>
      <c r="ML217" s="53"/>
      <c r="MM217" s="53"/>
      <c r="MN217" s="53"/>
      <c r="MO217" s="53"/>
      <c r="MP217" s="53"/>
      <c r="MQ217" s="53"/>
      <c r="MR217" s="53"/>
      <c r="MS217" s="53"/>
      <c r="MT217" s="53"/>
      <c r="MU217" s="53"/>
      <c r="MV217" s="53"/>
      <c r="MW217" s="53"/>
      <c r="MX217" s="53"/>
      <c r="MY217" s="53"/>
      <c r="MZ217" s="53"/>
      <c r="NA217" s="53"/>
      <c r="NB217" s="53"/>
      <c r="NC217" s="53"/>
      <c r="ND217" s="53"/>
      <c r="NE217" s="53"/>
      <c r="NF217" s="53"/>
      <c r="NG217" s="53"/>
      <c r="NH217" s="53"/>
      <c r="NI217" s="53"/>
      <c r="NJ217" s="53"/>
      <c r="NK217" s="53"/>
      <c r="NL217" s="53"/>
      <c r="NM217" s="53"/>
      <c r="NN217" s="53"/>
      <c r="NO217" s="53"/>
      <c r="NP217" s="53"/>
      <c r="NQ217" s="53"/>
      <c r="NR217" s="53"/>
      <c r="NS217" s="53"/>
      <c r="NT217" s="53"/>
      <c r="NU217" s="53"/>
      <c r="NV217" s="53"/>
      <c r="NW217" s="53"/>
      <c r="NX217" s="53"/>
      <c r="NY217" s="53"/>
      <c r="NZ217" s="53"/>
      <c r="OA217" s="53"/>
      <c r="OB217" s="53"/>
      <c r="OC217" s="53"/>
      <c r="OD217" s="53"/>
      <c r="OE217" s="53"/>
      <c r="OF217" s="53"/>
      <c r="OG217" s="53"/>
      <c r="OH217" s="53"/>
      <c r="OI217" s="53"/>
      <c r="OJ217" s="53"/>
      <c r="OK217" s="53"/>
      <c r="OL217" s="53"/>
      <c r="OM217" s="53"/>
      <c r="ON217" s="53"/>
      <c r="OO217" s="53"/>
      <c r="OP217" s="53"/>
      <c r="OQ217" s="53"/>
      <c r="OR217" s="53"/>
      <c r="OS217" s="53"/>
      <c r="OT217" s="53"/>
      <c r="OU217" s="53"/>
      <c r="OV217" s="53"/>
      <c r="OW217" s="53"/>
      <c r="OX217" s="53"/>
      <c r="OY217" s="53"/>
      <c r="OZ217" s="53"/>
      <c r="PA217" s="53"/>
      <c r="PB217" s="53"/>
      <c r="PC217" s="53"/>
      <c r="PD217" s="53"/>
      <c r="PE217" s="53"/>
      <c r="PF217" s="53"/>
      <c r="PG217" s="53"/>
      <c r="PH217" s="53"/>
      <c r="PI217" s="53"/>
      <c r="PJ217" s="53"/>
      <c r="PK217" s="53"/>
      <c r="PL217" s="53"/>
      <c r="PM217" s="53"/>
      <c r="PN217" s="53"/>
      <c r="PO217" s="53"/>
      <c r="PP217" s="53"/>
      <c r="PQ217" s="53"/>
      <c r="PR217" s="53"/>
      <c r="PS217" s="53"/>
      <c r="PT217" s="53"/>
      <c r="PU217" s="53"/>
      <c r="PV217" s="53"/>
      <c r="PW217" s="53"/>
      <c r="PX217" s="53"/>
      <c r="PY217" s="53"/>
      <c r="PZ217" s="53"/>
      <c r="QA217" s="53"/>
      <c r="QB217" s="53"/>
      <c r="QC217" s="53"/>
      <c r="QD217" s="53"/>
      <c r="QE217" s="53"/>
      <c r="QF217" s="53"/>
      <c r="QG217" s="53"/>
      <c r="QH217" s="53"/>
      <c r="QI217" s="53"/>
      <c r="QJ217" s="53"/>
      <c r="QK217" s="53"/>
      <c r="QL217" s="53"/>
      <c r="QM217" s="53"/>
      <c r="QN217" s="53"/>
      <c r="QO217" s="53"/>
      <c r="QP217" s="53"/>
      <c r="QQ217" s="53"/>
      <c r="QR217" s="53"/>
      <c r="QS217" s="53"/>
      <c r="QT217" s="53"/>
      <c r="QU217" s="53"/>
      <c r="QV217" s="53"/>
      <c r="QW217" s="53"/>
      <c r="QX217" s="53"/>
      <c r="QY217" s="53"/>
      <c r="QZ217" s="53"/>
      <c r="RA217" s="53"/>
      <c r="RB217" s="53"/>
      <c r="RC217" s="53"/>
      <c r="RD217" s="53"/>
      <c r="RE217" s="53"/>
      <c r="RF217" s="53"/>
      <c r="RG217" s="53"/>
      <c r="RH217" s="53"/>
      <c r="RI217" s="53"/>
      <c r="RJ217" s="53"/>
      <c r="RK217" s="53"/>
      <c r="RL217" s="53"/>
      <c r="RM217" s="53"/>
      <c r="RN217" s="53"/>
      <c r="RO217" s="53"/>
      <c r="RP217" s="53"/>
      <c r="RQ217" s="53"/>
      <c r="RR217" s="53"/>
      <c r="RS217" s="53"/>
      <c r="RT217" s="53"/>
      <c r="RU217" s="53"/>
      <c r="RV217" s="53"/>
      <c r="RW217" s="53"/>
      <c r="RX217" s="53"/>
      <c r="RY217" s="53"/>
      <c r="RZ217" s="53"/>
      <c r="SA217" s="53"/>
      <c r="SB217" s="53"/>
      <c r="SC217" s="53"/>
      <c r="SD217" s="53"/>
      <c r="SE217" s="53"/>
      <c r="SF217" s="53"/>
      <c r="SG217" s="53"/>
      <c r="SH217" s="53"/>
      <c r="SI217" s="53"/>
      <c r="SJ217" s="53"/>
      <c r="SK217" s="53"/>
      <c r="SL217" s="53"/>
      <c r="SM217" s="53"/>
      <c r="SN217" s="53"/>
      <c r="SO217" s="53"/>
      <c r="SP217" s="53"/>
      <c r="SQ217" s="53"/>
      <c r="SR217" s="53"/>
      <c r="SS217" s="53"/>
      <c r="ST217" s="53"/>
      <c r="SU217" s="53"/>
      <c r="SV217" s="53"/>
      <c r="SW217" s="53"/>
      <c r="SX217" s="53"/>
      <c r="SY217" s="53"/>
      <c r="SZ217" s="53"/>
      <c r="TA217" s="53"/>
      <c r="TB217" s="53"/>
      <c r="TC217" s="53"/>
      <c r="TD217" s="53"/>
      <c r="TE217" s="53"/>
      <c r="TF217" s="53"/>
      <c r="TG217" s="53"/>
      <c r="TH217" s="53"/>
      <c r="TI217" s="53"/>
      <c r="TJ217" s="53"/>
      <c r="TK217" s="53"/>
      <c r="TL217" s="53"/>
      <c r="TM217" s="53"/>
      <c r="TN217" s="53"/>
      <c r="TO217" s="53"/>
      <c r="TP217" s="53"/>
      <c r="TQ217" s="53"/>
      <c r="TR217" s="53"/>
      <c r="TS217" s="53"/>
      <c r="TT217" s="53"/>
      <c r="TU217" s="53"/>
      <c r="TV217" s="53"/>
      <c r="TW217" s="53"/>
      <c r="TX217" s="53"/>
      <c r="TY217" s="53"/>
      <c r="TZ217" s="53"/>
      <c r="UA217" s="53"/>
      <c r="UB217" s="53"/>
      <c r="UC217" s="53"/>
      <c r="UD217" s="53"/>
      <c r="UE217" s="53"/>
      <c r="UF217" s="53"/>
      <c r="UG217" s="53"/>
      <c r="UH217" s="53"/>
      <c r="UI217" s="53"/>
      <c r="UJ217" s="53"/>
      <c r="UK217" s="53"/>
      <c r="UL217" s="53"/>
      <c r="UM217" s="53"/>
      <c r="UN217" s="53"/>
      <c r="UO217" s="53"/>
      <c r="UP217" s="53"/>
      <c r="UQ217" s="53"/>
      <c r="UR217" s="53"/>
      <c r="US217" s="53"/>
      <c r="UT217" s="53"/>
      <c r="UU217" s="53"/>
      <c r="UV217" s="53"/>
      <c r="UW217" s="53"/>
      <c r="UX217" s="53"/>
      <c r="UY217" s="53"/>
      <c r="UZ217" s="53"/>
      <c r="VA217" s="53"/>
      <c r="VB217" s="53"/>
      <c r="VC217" s="53"/>
      <c r="VD217" s="53"/>
      <c r="VE217" s="53"/>
      <c r="VF217" s="53"/>
      <c r="VG217" s="53"/>
      <c r="VH217" s="53"/>
      <c r="VI217" s="53"/>
      <c r="VJ217" s="53"/>
      <c r="VK217" s="53"/>
      <c r="VL217" s="53"/>
    </row>
    <row r="218" spans="1:584" s="47" customFormat="1" ht="27.75" customHeight="1" x14ac:dyDescent="0.25">
      <c r="A218" s="45" t="s">
        <v>333</v>
      </c>
      <c r="B218" s="91" t="str">
        <f>'дод 3'!A146</f>
        <v>6015</v>
      </c>
      <c r="C218" s="91" t="str">
        <f>'дод 3'!B146</f>
        <v>0620</v>
      </c>
      <c r="D218" s="48" t="str">
        <f>'дод 3'!C146</f>
        <v>Забезпечення надійної та безперебійної експлуатації ліфтів</v>
      </c>
      <c r="E218" s="115">
        <v>535300</v>
      </c>
      <c r="F218" s="115"/>
      <c r="G218" s="115"/>
      <c r="H218" s="115">
        <v>272192.53999999998</v>
      </c>
      <c r="I218" s="115"/>
      <c r="J218" s="115"/>
      <c r="K218" s="164">
        <f t="shared" si="59"/>
        <v>50.848597048384079</v>
      </c>
      <c r="L218" s="115">
        <f t="shared" si="42"/>
        <v>19775000</v>
      </c>
      <c r="M218" s="115">
        <f>19865000-90000</f>
        <v>19775000</v>
      </c>
      <c r="N218" s="115"/>
      <c r="O218" s="115"/>
      <c r="P218" s="115"/>
      <c r="Q218" s="115">
        <f>19865000-90000</f>
        <v>19775000</v>
      </c>
      <c r="R218" s="115">
        <f t="shared" si="61"/>
        <v>12903834.34</v>
      </c>
      <c r="S218" s="115">
        <v>12903834.34</v>
      </c>
      <c r="T218" s="115"/>
      <c r="U218" s="115"/>
      <c r="V218" s="115"/>
      <c r="W218" s="115">
        <v>12903834.34</v>
      </c>
      <c r="X218" s="166">
        <f t="shared" si="60"/>
        <v>65.253270998735786</v>
      </c>
      <c r="Y218" s="115">
        <f t="shared" si="69"/>
        <v>13176026.879999999</v>
      </c>
      <c r="Z218" s="187"/>
      <c r="AA218" s="53"/>
      <c r="AB218" s="53"/>
      <c r="AC218" s="53"/>
      <c r="AD218" s="53"/>
      <c r="AE218" s="79"/>
      <c r="AF218" s="79"/>
      <c r="AG218" s="79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  <c r="IW218" s="53"/>
      <c r="IX218" s="53"/>
      <c r="IY218" s="53"/>
      <c r="IZ218" s="53"/>
      <c r="JA218" s="53"/>
      <c r="JB218" s="53"/>
      <c r="JC218" s="53"/>
      <c r="JD218" s="53"/>
      <c r="JE218" s="53"/>
      <c r="JF218" s="53"/>
      <c r="JG218" s="53"/>
      <c r="JH218" s="53"/>
      <c r="JI218" s="53"/>
      <c r="JJ218" s="53"/>
      <c r="JK218" s="53"/>
      <c r="JL218" s="53"/>
      <c r="JM218" s="53"/>
      <c r="JN218" s="53"/>
      <c r="JO218" s="53"/>
      <c r="JP218" s="53"/>
      <c r="JQ218" s="53"/>
      <c r="JR218" s="53"/>
      <c r="JS218" s="53"/>
      <c r="JT218" s="53"/>
      <c r="JU218" s="53"/>
      <c r="JV218" s="53"/>
      <c r="JW218" s="53"/>
      <c r="JX218" s="53"/>
      <c r="JY218" s="53"/>
      <c r="JZ218" s="53"/>
      <c r="KA218" s="53"/>
      <c r="KB218" s="53"/>
      <c r="KC218" s="53"/>
      <c r="KD218" s="53"/>
      <c r="KE218" s="53"/>
      <c r="KF218" s="53"/>
      <c r="KG218" s="53"/>
      <c r="KH218" s="53"/>
      <c r="KI218" s="53"/>
      <c r="KJ218" s="53"/>
      <c r="KK218" s="53"/>
      <c r="KL218" s="53"/>
      <c r="KM218" s="53"/>
      <c r="KN218" s="53"/>
      <c r="KO218" s="53"/>
      <c r="KP218" s="53"/>
      <c r="KQ218" s="53"/>
      <c r="KR218" s="53"/>
      <c r="KS218" s="53"/>
      <c r="KT218" s="53"/>
      <c r="KU218" s="53"/>
      <c r="KV218" s="53"/>
      <c r="KW218" s="53"/>
      <c r="KX218" s="53"/>
      <c r="KY218" s="53"/>
      <c r="KZ218" s="53"/>
      <c r="LA218" s="53"/>
      <c r="LB218" s="53"/>
      <c r="LC218" s="53"/>
      <c r="LD218" s="53"/>
      <c r="LE218" s="53"/>
      <c r="LF218" s="53"/>
      <c r="LG218" s="53"/>
      <c r="LH218" s="53"/>
      <c r="LI218" s="53"/>
      <c r="LJ218" s="53"/>
      <c r="LK218" s="53"/>
      <c r="LL218" s="53"/>
      <c r="LM218" s="53"/>
      <c r="LN218" s="53"/>
      <c r="LO218" s="53"/>
      <c r="LP218" s="53"/>
      <c r="LQ218" s="53"/>
      <c r="LR218" s="53"/>
      <c r="LS218" s="53"/>
      <c r="LT218" s="53"/>
      <c r="LU218" s="53"/>
      <c r="LV218" s="53"/>
      <c r="LW218" s="53"/>
      <c r="LX218" s="53"/>
      <c r="LY218" s="53"/>
      <c r="LZ218" s="53"/>
      <c r="MA218" s="53"/>
      <c r="MB218" s="53"/>
      <c r="MC218" s="53"/>
      <c r="MD218" s="53"/>
      <c r="ME218" s="53"/>
      <c r="MF218" s="53"/>
      <c r="MG218" s="53"/>
      <c r="MH218" s="53"/>
      <c r="MI218" s="53"/>
      <c r="MJ218" s="53"/>
      <c r="MK218" s="53"/>
      <c r="ML218" s="53"/>
      <c r="MM218" s="53"/>
      <c r="MN218" s="53"/>
      <c r="MO218" s="53"/>
      <c r="MP218" s="53"/>
      <c r="MQ218" s="53"/>
      <c r="MR218" s="53"/>
      <c r="MS218" s="53"/>
      <c r="MT218" s="53"/>
      <c r="MU218" s="53"/>
      <c r="MV218" s="53"/>
      <c r="MW218" s="53"/>
      <c r="MX218" s="53"/>
      <c r="MY218" s="53"/>
      <c r="MZ218" s="53"/>
      <c r="NA218" s="53"/>
      <c r="NB218" s="53"/>
      <c r="NC218" s="53"/>
      <c r="ND218" s="53"/>
      <c r="NE218" s="53"/>
      <c r="NF218" s="53"/>
      <c r="NG218" s="53"/>
      <c r="NH218" s="53"/>
      <c r="NI218" s="53"/>
      <c r="NJ218" s="53"/>
      <c r="NK218" s="53"/>
      <c r="NL218" s="53"/>
      <c r="NM218" s="53"/>
      <c r="NN218" s="53"/>
      <c r="NO218" s="53"/>
      <c r="NP218" s="53"/>
      <c r="NQ218" s="53"/>
      <c r="NR218" s="53"/>
      <c r="NS218" s="53"/>
      <c r="NT218" s="53"/>
      <c r="NU218" s="53"/>
      <c r="NV218" s="53"/>
      <c r="NW218" s="53"/>
      <c r="NX218" s="53"/>
      <c r="NY218" s="53"/>
      <c r="NZ218" s="53"/>
      <c r="OA218" s="53"/>
      <c r="OB218" s="53"/>
      <c r="OC218" s="53"/>
      <c r="OD218" s="53"/>
      <c r="OE218" s="53"/>
      <c r="OF218" s="53"/>
      <c r="OG218" s="53"/>
      <c r="OH218" s="53"/>
      <c r="OI218" s="53"/>
      <c r="OJ218" s="53"/>
      <c r="OK218" s="53"/>
      <c r="OL218" s="53"/>
      <c r="OM218" s="53"/>
      <c r="ON218" s="53"/>
      <c r="OO218" s="53"/>
      <c r="OP218" s="53"/>
      <c r="OQ218" s="53"/>
      <c r="OR218" s="53"/>
      <c r="OS218" s="53"/>
      <c r="OT218" s="53"/>
      <c r="OU218" s="53"/>
      <c r="OV218" s="53"/>
      <c r="OW218" s="53"/>
      <c r="OX218" s="53"/>
      <c r="OY218" s="53"/>
      <c r="OZ218" s="53"/>
      <c r="PA218" s="53"/>
      <c r="PB218" s="53"/>
      <c r="PC218" s="53"/>
      <c r="PD218" s="53"/>
      <c r="PE218" s="53"/>
      <c r="PF218" s="53"/>
      <c r="PG218" s="53"/>
      <c r="PH218" s="53"/>
      <c r="PI218" s="53"/>
      <c r="PJ218" s="53"/>
      <c r="PK218" s="53"/>
      <c r="PL218" s="53"/>
      <c r="PM218" s="53"/>
      <c r="PN218" s="53"/>
      <c r="PO218" s="53"/>
      <c r="PP218" s="53"/>
      <c r="PQ218" s="53"/>
      <c r="PR218" s="53"/>
      <c r="PS218" s="53"/>
      <c r="PT218" s="53"/>
      <c r="PU218" s="53"/>
      <c r="PV218" s="53"/>
      <c r="PW218" s="53"/>
      <c r="PX218" s="53"/>
      <c r="PY218" s="53"/>
      <c r="PZ218" s="53"/>
      <c r="QA218" s="53"/>
      <c r="QB218" s="53"/>
      <c r="QC218" s="53"/>
      <c r="QD218" s="53"/>
      <c r="QE218" s="53"/>
      <c r="QF218" s="53"/>
      <c r="QG218" s="53"/>
      <c r="QH218" s="53"/>
      <c r="QI218" s="53"/>
      <c r="QJ218" s="53"/>
      <c r="QK218" s="53"/>
      <c r="QL218" s="53"/>
      <c r="QM218" s="53"/>
      <c r="QN218" s="53"/>
      <c r="QO218" s="53"/>
      <c r="QP218" s="53"/>
      <c r="QQ218" s="53"/>
      <c r="QR218" s="53"/>
      <c r="QS218" s="53"/>
      <c r="QT218" s="53"/>
      <c r="QU218" s="53"/>
      <c r="QV218" s="53"/>
      <c r="QW218" s="53"/>
      <c r="QX218" s="53"/>
      <c r="QY218" s="53"/>
      <c r="QZ218" s="53"/>
      <c r="RA218" s="53"/>
      <c r="RB218" s="53"/>
      <c r="RC218" s="53"/>
      <c r="RD218" s="53"/>
      <c r="RE218" s="53"/>
      <c r="RF218" s="53"/>
      <c r="RG218" s="53"/>
      <c r="RH218" s="53"/>
      <c r="RI218" s="53"/>
      <c r="RJ218" s="53"/>
      <c r="RK218" s="53"/>
      <c r="RL218" s="53"/>
      <c r="RM218" s="53"/>
      <c r="RN218" s="53"/>
      <c r="RO218" s="53"/>
      <c r="RP218" s="53"/>
      <c r="RQ218" s="53"/>
      <c r="RR218" s="53"/>
      <c r="RS218" s="53"/>
      <c r="RT218" s="53"/>
      <c r="RU218" s="53"/>
      <c r="RV218" s="53"/>
      <c r="RW218" s="53"/>
      <c r="RX218" s="53"/>
      <c r="RY218" s="53"/>
      <c r="RZ218" s="53"/>
      <c r="SA218" s="53"/>
      <c r="SB218" s="53"/>
      <c r="SC218" s="53"/>
      <c r="SD218" s="53"/>
      <c r="SE218" s="53"/>
      <c r="SF218" s="53"/>
      <c r="SG218" s="53"/>
      <c r="SH218" s="53"/>
      <c r="SI218" s="53"/>
      <c r="SJ218" s="53"/>
      <c r="SK218" s="53"/>
      <c r="SL218" s="53"/>
      <c r="SM218" s="53"/>
      <c r="SN218" s="53"/>
      <c r="SO218" s="53"/>
      <c r="SP218" s="53"/>
      <c r="SQ218" s="53"/>
      <c r="SR218" s="53"/>
      <c r="SS218" s="53"/>
      <c r="ST218" s="53"/>
      <c r="SU218" s="53"/>
      <c r="SV218" s="53"/>
      <c r="SW218" s="53"/>
      <c r="SX218" s="53"/>
      <c r="SY218" s="53"/>
      <c r="SZ218" s="53"/>
      <c r="TA218" s="53"/>
      <c r="TB218" s="53"/>
      <c r="TC218" s="53"/>
      <c r="TD218" s="53"/>
      <c r="TE218" s="53"/>
      <c r="TF218" s="53"/>
      <c r="TG218" s="53"/>
      <c r="TH218" s="53"/>
      <c r="TI218" s="53"/>
      <c r="TJ218" s="53"/>
      <c r="TK218" s="53"/>
      <c r="TL218" s="53"/>
      <c r="TM218" s="53"/>
      <c r="TN218" s="53"/>
      <c r="TO218" s="53"/>
      <c r="TP218" s="53"/>
      <c r="TQ218" s="53"/>
      <c r="TR218" s="53"/>
      <c r="TS218" s="53"/>
      <c r="TT218" s="53"/>
      <c r="TU218" s="53"/>
      <c r="TV218" s="53"/>
      <c r="TW218" s="53"/>
      <c r="TX218" s="53"/>
      <c r="TY218" s="53"/>
      <c r="TZ218" s="53"/>
      <c r="UA218" s="53"/>
      <c r="UB218" s="53"/>
      <c r="UC218" s="53"/>
      <c r="UD218" s="53"/>
      <c r="UE218" s="53"/>
      <c r="UF218" s="53"/>
      <c r="UG218" s="53"/>
      <c r="UH218" s="53"/>
      <c r="UI218" s="53"/>
      <c r="UJ218" s="53"/>
      <c r="UK218" s="53"/>
      <c r="UL218" s="53"/>
      <c r="UM218" s="53"/>
      <c r="UN218" s="53"/>
      <c r="UO218" s="53"/>
      <c r="UP218" s="53"/>
      <c r="UQ218" s="53"/>
      <c r="UR218" s="53"/>
      <c r="US218" s="53"/>
      <c r="UT218" s="53"/>
      <c r="UU218" s="53"/>
      <c r="UV218" s="53"/>
      <c r="UW218" s="53"/>
      <c r="UX218" s="53"/>
      <c r="UY218" s="53"/>
      <c r="UZ218" s="53"/>
      <c r="VA218" s="53"/>
      <c r="VB218" s="53"/>
      <c r="VC218" s="53"/>
      <c r="VD218" s="53"/>
      <c r="VE218" s="53"/>
      <c r="VF218" s="53"/>
      <c r="VG218" s="53"/>
      <c r="VH218" s="53"/>
      <c r="VI218" s="53"/>
      <c r="VJ218" s="53"/>
      <c r="VK218" s="53"/>
      <c r="VL218" s="53"/>
    </row>
    <row r="219" spans="1:584" s="47" customFormat="1" ht="38.25" customHeight="1" x14ac:dyDescent="0.25">
      <c r="A219" s="45" t="s">
        <v>503</v>
      </c>
      <c r="B219" s="91" t="str">
        <f>'дод 3'!A147</f>
        <v>6016</v>
      </c>
      <c r="C219" s="91" t="str">
        <f>'дод 3'!B147</f>
        <v>0620</v>
      </c>
      <c r="D219" s="48" t="str">
        <f>'дод 3'!C147</f>
        <v>Впровадження засобів обліку витрат та регулювання споживання води та теплової енергії</v>
      </c>
      <c r="E219" s="115">
        <v>0</v>
      </c>
      <c r="F219" s="115"/>
      <c r="G219" s="115"/>
      <c r="H219" s="115"/>
      <c r="I219" s="115"/>
      <c r="J219" s="115"/>
      <c r="K219" s="164"/>
      <c r="L219" s="115">
        <f t="shared" si="42"/>
        <v>1166130</v>
      </c>
      <c r="M219" s="115">
        <f>1108600+27530+30000</f>
        <v>1166130</v>
      </c>
      <c r="N219" s="115"/>
      <c r="O219" s="115"/>
      <c r="P219" s="115"/>
      <c r="Q219" s="115">
        <f>1108600+27530+30000</f>
        <v>1166130</v>
      </c>
      <c r="R219" s="115">
        <f t="shared" si="61"/>
        <v>1123089.51</v>
      </c>
      <c r="S219" s="115">
        <v>1123089.51</v>
      </c>
      <c r="T219" s="115"/>
      <c r="U219" s="115"/>
      <c r="V219" s="115"/>
      <c r="W219" s="115">
        <v>1123089.51</v>
      </c>
      <c r="X219" s="166">
        <f t="shared" si="60"/>
        <v>96.309117336832088</v>
      </c>
      <c r="Y219" s="115">
        <f t="shared" si="69"/>
        <v>1123089.51</v>
      </c>
      <c r="Z219" s="187"/>
      <c r="AA219" s="53"/>
      <c r="AB219" s="53"/>
      <c r="AC219" s="53"/>
      <c r="AD219" s="53"/>
      <c r="AE219" s="79"/>
      <c r="AF219" s="79"/>
      <c r="AG219" s="79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  <c r="IW219" s="53"/>
      <c r="IX219" s="53"/>
      <c r="IY219" s="53"/>
      <c r="IZ219" s="53"/>
      <c r="JA219" s="53"/>
      <c r="JB219" s="53"/>
      <c r="JC219" s="53"/>
      <c r="JD219" s="53"/>
      <c r="JE219" s="53"/>
      <c r="JF219" s="53"/>
      <c r="JG219" s="53"/>
      <c r="JH219" s="53"/>
      <c r="JI219" s="53"/>
      <c r="JJ219" s="53"/>
      <c r="JK219" s="53"/>
      <c r="JL219" s="53"/>
      <c r="JM219" s="53"/>
      <c r="JN219" s="53"/>
      <c r="JO219" s="53"/>
      <c r="JP219" s="53"/>
      <c r="JQ219" s="53"/>
      <c r="JR219" s="53"/>
      <c r="JS219" s="53"/>
      <c r="JT219" s="53"/>
      <c r="JU219" s="53"/>
      <c r="JV219" s="53"/>
      <c r="JW219" s="53"/>
      <c r="JX219" s="53"/>
      <c r="JY219" s="53"/>
      <c r="JZ219" s="53"/>
      <c r="KA219" s="53"/>
      <c r="KB219" s="53"/>
      <c r="KC219" s="53"/>
      <c r="KD219" s="53"/>
      <c r="KE219" s="53"/>
      <c r="KF219" s="53"/>
      <c r="KG219" s="53"/>
      <c r="KH219" s="53"/>
      <c r="KI219" s="53"/>
      <c r="KJ219" s="53"/>
      <c r="KK219" s="53"/>
      <c r="KL219" s="53"/>
      <c r="KM219" s="53"/>
      <c r="KN219" s="53"/>
      <c r="KO219" s="53"/>
      <c r="KP219" s="53"/>
      <c r="KQ219" s="53"/>
      <c r="KR219" s="53"/>
      <c r="KS219" s="53"/>
      <c r="KT219" s="53"/>
      <c r="KU219" s="53"/>
      <c r="KV219" s="53"/>
      <c r="KW219" s="53"/>
      <c r="KX219" s="53"/>
      <c r="KY219" s="53"/>
      <c r="KZ219" s="53"/>
      <c r="LA219" s="53"/>
      <c r="LB219" s="53"/>
      <c r="LC219" s="53"/>
      <c r="LD219" s="53"/>
      <c r="LE219" s="53"/>
      <c r="LF219" s="53"/>
      <c r="LG219" s="53"/>
      <c r="LH219" s="53"/>
      <c r="LI219" s="53"/>
      <c r="LJ219" s="53"/>
      <c r="LK219" s="53"/>
      <c r="LL219" s="53"/>
      <c r="LM219" s="53"/>
      <c r="LN219" s="53"/>
      <c r="LO219" s="53"/>
      <c r="LP219" s="53"/>
      <c r="LQ219" s="53"/>
      <c r="LR219" s="53"/>
      <c r="LS219" s="53"/>
      <c r="LT219" s="53"/>
      <c r="LU219" s="53"/>
      <c r="LV219" s="53"/>
      <c r="LW219" s="53"/>
      <c r="LX219" s="53"/>
      <c r="LY219" s="53"/>
      <c r="LZ219" s="53"/>
      <c r="MA219" s="53"/>
      <c r="MB219" s="53"/>
      <c r="MC219" s="53"/>
      <c r="MD219" s="53"/>
      <c r="ME219" s="53"/>
      <c r="MF219" s="53"/>
      <c r="MG219" s="53"/>
      <c r="MH219" s="53"/>
      <c r="MI219" s="53"/>
      <c r="MJ219" s="53"/>
      <c r="MK219" s="53"/>
      <c r="ML219" s="53"/>
      <c r="MM219" s="53"/>
      <c r="MN219" s="53"/>
      <c r="MO219" s="53"/>
      <c r="MP219" s="53"/>
      <c r="MQ219" s="53"/>
      <c r="MR219" s="53"/>
      <c r="MS219" s="53"/>
      <c r="MT219" s="53"/>
      <c r="MU219" s="53"/>
      <c r="MV219" s="53"/>
      <c r="MW219" s="53"/>
      <c r="MX219" s="53"/>
      <c r="MY219" s="53"/>
      <c r="MZ219" s="53"/>
      <c r="NA219" s="53"/>
      <c r="NB219" s="53"/>
      <c r="NC219" s="53"/>
      <c r="ND219" s="53"/>
      <c r="NE219" s="53"/>
      <c r="NF219" s="53"/>
      <c r="NG219" s="53"/>
      <c r="NH219" s="53"/>
      <c r="NI219" s="53"/>
      <c r="NJ219" s="53"/>
      <c r="NK219" s="53"/>
      <c r="NL219" s="53"/>
      <c r="NM219" s="53"/>
      <c r="NN219" s="53"/>
      <c r="NO219" s="53"/>
      <c r="NP219" s="53"/>
      <c r="NQ219" s="53"/>
      <c r="NR219" s="53"/>
      <c r="NS219" s="53"/>
      <c r="NT219" s="53"/>
      <c r="NU219" s="53"/>
      <c r="NV219" s="53"/>
      <c r="NW219" s="53"/>
      <c r="NX219" s="53"/>
      <c r="NY219" s="53"/>
      <c r="NZ219" s="53"/>
      <c r="OA219" s="53"/>
      <c r="OB219" s="53"/>
      <c r="OC219" s="53"/>
      <c r="OD219" s="53"/>
      <c r="OE219" s="53"/>
      <c r="OF219" s="53"/>
      <c r="OG219" s="53"/>
      <c r="OH219" s="53"/>
      <c r="OI219" s="53"/>
      <c r="OJ219" s="53"/>
      <c r="OK219" s="53"/>
      <c r="OL219" s="53"/>
      <c r="OM219" s="53"/>
      <c r="ON219" s="53"/>
      <c r="OO219" s="53"/>
      <c r="OP219" s="53"/>
      <c r="OQ219" s="53"/>
      <c r="OR219" s="53"/>
      <c r="OS219" s="53"/>
      <c r="OT219" s="53"/>
      <c r="OU219" s="53"/>
      <c r="OV219" s="53"/>
      <c r="OW219" s="53"/>
      <c r="OX219" s="53"/>
      <c r="OY219" s="53"/>
      <c r="OZ219" s="53"/>
      <c r="PA219" s="53"/>
      <c r="PB219" s="53"/>
      <c r="PC219" s="53"/>
      <c r="PD219" s="53"/>
      <c r="PE219" s="53"/>
      <c r="PF219" s="53"/>
      <c r="PG219" s="53"/>
      <c r="PH219" s="53"/>
      <c r="PI219" s="53"/>
      <c r="PJ219" s="53"/>
      <c r="PK219" s="53"/>
      <c r="PL219" s="53"/>
      <c r="PM219" s="53"/>
      <c r="PN219" s="53"/>
      <c r="PO219" s="53"/>
      <c r="PP219" s="53"/>
      <c r="PQ219" s="53"/>
      <c r="PR219" s="53"/>
      <c r="PS219" s="53"/>
      <c r="PT219" s="53"/>
      <c r="PU219" s="53"/>
      <c r="PV219" s="53"/>
      <c r="PW219" s="53"/>
      <c r="PX219" s="53"/>
      <c r="PY219" s="53"/>
      <c r="PZ219" s="53"/>
      <c r="QA219" s="53"/>
      <c r="QB219" s="53"/>
      <c r="QC219" s="53"/>
      <c r="QD219" s="53"/>
      <c r="QE219" s="53"/>
      <c r="QF219" s="53"/>
      <c r="QG219" s="53"/>
      <c r="QH219" s="53"/>
      <c r="QI219" s="53"/>
      <c r="QJ219" s="53"/>
      <c r="QK219" s="53"/>
      <c r="QL219" s="53"/>
      <c r="QM219" s="53"/>
      <c r="QN219" s="53"/>
      <c r="QO219" s="53"/>
      <c r="QP219" s="53"/>
      <c r="QQ219" s="53"/>
      <c r="QR219" s="53"/>
      <c r="QS219" s="53"/>
      <c r="QT219" s="53"/>
      <c r="QU219" s="53"/>
      <c r="QV219" s="53"/>
      <c r="QW219" s="53"/>
      <c r="QX219" s="53"/>
      <c r="QY219" s="53"/>
      <c r="QZ219" s="53"/>
      <c r="RA219" s="53"/>
      <c r="RB219" s="53"/>
      <c r="RC219" s="53"/>
      <c r="RD219" s="53"/>
      <c r="RE219" s="53"/>
      <c r="RF219" s="53"/>
      <c r="RG219" s="53"/>
      <c r="RH219" s="53"/>
      <c r="RI219" s="53"/>
      <c r="RJ219" s="53"/>
      <c r="RK219" s="53"/>
      <c r="RL219" s="53"/>
      <c r="RM219" s="53"/>
      <c r="RN219" s="53"/>
      <c r="RO219" s="53"/>
      <c r="RP219" s="53"/>
      <c r="RQ219" s="53"/>
      <c r="RR219" s="53"/>
      <c r="RS219" s="53"/>
      <c r="RT219" s="53"/>
      <c r="RU219" s="53"/>
      <c r="RV219" s="53"/>
      <c r="RW219" s="53"/>
      <c r="RX219" s="53"/>
      <c r="RY219" s="53"/>
      <c r="RZ219" s="53"/>
      <c r="SA219" s="53"/>
      <c r="SB219" s="53"/>
      <c r="SC219" s="53"/>
      <c r="SD219" s="53"/>
      <c r="SE219" s="53"/>
      <c r="SF219" s="53"/>
      <c r="SG219" s="53"/>
      <c r="SH219" s="53"/>
      <c r="SI219" s="53"/>
      <c r="SJ219" s="53"/>
      <c r="SK219" s="53"/>
      <c r="SL219" s="53"/>
      <c r="SM219" s="53"/>
      <c r="SN219" s="53"/>
      <c r="SO219" s="53"/>
      <c r="SP219" s="53"/>
      <c r="SQ219" s="53"/>
      <c r="SR219" s="53"/>
      <c r="SS219" s="53"/>
      <c r="ST219" s="53"/>
      <c r="SU219" s="53"/>
      <c r="SV219" s="53"/>
      <c r="SW219" s="53"/>
      <c r="SX219" s="53"/>
      <c r="SY219" s="53"/>
      <c r="SZ219" s="53"/>
      <c r="TA219" s="53"/>
      <c r="TB219" s="53"/>
      <c r="TC219" s="53"/>
      <c r="TD219" s="53"/>
      <c r="TE219" s="53"/>
      <c r="TF219" s="53"/>
      <c r="TG219" s="53"/>
      <c r="TH219" s="53"/>
      <c r="TI219" s="53"/>
      <c r="TJ219" s="53"/>
      <c r="TK219" s="53"/>
      <c r="TL219" s="53"/>
      <c r="TM219" s="53"/>
      <c r="TN219" s="53"/>
      <c r="TO219" s="53"/>
      <c r="TP219" s="53"/>
      <c r="TQ219" s="53"/>
      <c r="TR219" s="53"/>
      <c r="TS219" s="53"/>
      <c r="TT219" s="53"/>
      <c r="TU219" s="53"/>
      <c r="TV219" s="53"/>
      <c r="TW219" s="53"/>
      <c r="TX219" s="53"/>
      <c r="TY219" s="53"/>
      <c r="TZ219" s="53"/>
      <c r="UA219" s="53"/>
      <c r="UB219" s="53"/>
      <c r="UC219" s="53"/>
      <c r="UD219" s="53"/>
      <c r="UE219" s="53"/>
      <c r="UF219" s="53"/>
      <c r="UG219" s="53"/>
      <c r="UH219" s="53"/>
      <c r="UI219" s="53"/>
      <c r="UJ219" s="53"/>
      <c r="UK219" s="53"/>
      <c r="UL219" s="53"/>
      <c r="UM219" s="53"/>
      <c r="UN219" s="53"/>
      <c r="UO219" s="53"/>
      <c r="UP219" s="53"/>
      <c r="UQ219" s="53"/>
      <c r="UR219" s="53"/>
      <c r="US219" s="53"/>
      <c r="UT219" s="53"/>
      <c r="UU219" s="53"/>
      <c r="UV219" s="53"/>
      <c r="UW219" s="53"/>
      <c r="UX219" s="53"/>
      <c r="UY219" s="53"/>
      <c r="UZ219" s="53"/>
      <c r="VA219" s="53"/>
      <c r="VB219" s="53"/>
      <c r="VC219" s="53"/>
      <c r="VD219" s="53"/>
      <c r="VE219" s="53"/>
      <c r="VF219" s="53"/>
      <c r="VG219" s="53"/>
      <c r="VH219" s="53"/>
      <c r="VI219" s="53"/>
      <c r="VJ219" s="53"/>
      <c r="VK219" s="53"/>
      <c r="VL219" s="53"/>
    </row>
    <row r="220" spans="1:584" s="47" customFormat="1" ht="38.25" customHeight="1" x14ac:dyDescent="0.25">
      <c r="A220" s="45" t="s">
        <v>336</v>
      </c>
      <c r="B220" s="91" t="str">
        <f>'дод 3'!A148</f>
        <v>6017</v>
      </c>
      <c r="C220" s="91" t="str">
        <f>'дод 3'!B148</f>
        <v>0620</v>
      </c>
      <c r="D220" s="48" t="str">
        <f>'дод 3'!C148</f>
        <v xml:space="preserve">Інша діяльність, пов’язана з експлуатацією об’єктів житлово-комунального господарства </v>
      </c>
      <c r="E220" s="115">
        <v>50000</v>
      </c>
      <c r="F220" s="115"/>
      <c r="G220" s="115"/>
      <c r="H220" s="115">
        <v>48576.12</v>
      </c>
      <c r="I220" s="115"/>
      <c r="J220" s="115"/>
      <c r="K220" s="164">
        <f t="shared" si="59"/>
        <v>97.152240000000006</v>
      </c>
      <c r="L220" s="115">
        <f t="shared" si="42"/>
        <v>0</v>
      </c>
      <c r="M220" s="115"/>
      <c r="N220" s="115"/>
      <c r="O220" s="115"/>
      <c r="P220" s="115"/>
      <c r="Q220" s="115"/>
      <c r="R220" s="115">
        <f t="shared" si="61"/>
        <v>0</v>
      </c>
      <c r="S220" s="115"/>
      <c r="T220" s="115"/>
      <c r="U220" s="115"/>
      <c r="V220" s="115"/>
      <c r="W220" s="115"/>
      <c r="X220" s="149"/>
      <c r="Y220" s="115">
        <f t="shared" si="69"/>
        <v>48576.12</v>
      </c>
      <c r="Z220" s="187"/>
      <c r="AA220" s="53"/>
      <c r="AB220" s="53"/>
      <c r="AC220" s="53"/>
      <c r="AD220" s="53"/>
      <c r="AE220" s="79"/>
      <c r="AF220" s="79"/>
      <c r="AG220" s="79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  <c r="IW220" s="53"/>
      <c r="IX220" s="53"/>
      <c r="IY220" s="53"/>
      <c r="IZ220" s="53"/>
      <c r="JA220" s="53"/>
      <c r="JB220" s="53"/>
      <c r="JC220" s="53"/>
      <c r="JD220" s="53"/>
      <c r="JE220" s="53"/>
      <c r="JF220" s="53"/>
      <c r="JG220" s="53"/>
      <c r="JH220" s="53"/>
      <c r="JI220" s="53"/>
      <c r="JJ220" s="53"/>
      <c r="JK220" s="53"/>
      <c r="JL220" s="53"/>
      <c r="JM220" s="53"/>
      <c r="JN220" s="53"/>
      <c r="JO220" s="53"/>
      <c r="JP220" s="53"/>
      <c r="JQ220" s="53"/>
      <c r="JR220" s="53"/>
      <c r="JS220" s="53"/>
      <c r="JT220" s="53"/>
      <c r="JU220" s="53"/>
      <c r="JV220" s="53"/>
      <c r="JW220" s="53"/>
      <c r="JX220" s="53"/>
      <c r="JY220" s="53"/>
      <c r="JZ220" s="53"/>
      <c r="KA220" s="53"/>
      <c r="KB220" s="53"/>
      <c r="KC220" s="53"/>
      <c r="KD220" s="53"/>
      <c r="KE220" s="53"/>
      <c r="KF220" s="53"/>
      <c r="KG220" s="53"/>
      <c r="KH220" s="53"/>
      <c r="KI220" s="53"/>
      <c r="KJ220" s="53"/>
      <c r="KK220" s="53"/>
      <c r="KL220" s="53"/>
      <c r="KM220" s="53"/>
      <c r="KN220" s="53"/>
      <c r="KO220" s="53"/>
      <c r="KP220" s="53"/>
      <c r="KQ220" s="53"/>
      <c r="KR220" s="53"/>
      <c r="KS220" s="53"/>
      <c r="KT220" s="53"/>
      <c r="KU220" s="53"/>
      <c r="KV220" s="53"/>
      <c r="KW220" s="53"/>
      <c r="KX220" s="53"/>
      <c r="KY220" s="53"/>
      <c r="KZ220" s="53"/>
      <c r="LA220" s="53"/>
      <c r="LB220" s="53"/>
      <c r="LC220" s="53"/>
      <c r="LD220" s="53"/>
      <c r="LE220" s="53"/>
      <c r="LF220" s="53"/>
      <c r="LG220" s="53"/>
      <c r="LH220" s="53"/>
      <c r="LI220" s="53"/>
      <c r="LJ220" s="53"/>
      <c r="LK220" s="53"/>
      <c r="LL220" s="53"/>
      <c r="LM220" s="53"/>
      <c r="LN220" s="53"/>
      <c r="LO220" s="53"/>
      <c r="LP220" s="53"/>
      <c r="LQ220" s="53"/>
      <c r="LR220" s="53"/>
      <c r="LS220" s="53"/>
      <c r="LT220" s="53"/>
      <c r="LU220" s="53"/>
      <c r="LV220" s="53"/>
      <c r="LW220" s="53"/>
      <c r="LX220" s="53"/>
      <c r="LY220" s="53"/>
      <c r="LZ220" s="53"/>
      <c r="MA220" s="53"/>
      <c r="MB220" s="53"/>
      <c r="MC220" s="53"/>
      <c r="MD220" s="53"/>
      <c r="ME220" s="53"/>
      <c r="MF220" s="53"/>
      <c r="MG220" s="53"/>
      <c r="MH220" s="53"/>
      <c r="MI220" s="53"/>
      <c r="MJ220" s="53"/>
      <c r="MK220" s="53"/>
      <c r="ML220" s="53"/>
      <c r="MM220" s="53"/>
      <c r="MN220" s="53"/>
      <c r="MO220" s="53"/>
      <c r="MP220" s="53"/>
      <c r="MQ220" s="53"/>
      <c r="MR220" s="53"/>
      <c r="MS220" s="53"/>
      <c r="MT220" s="53"/>
      <c r="MU220" s="53"/>
      <c r="MV220" s="53"/>
      <c r="MW220" s="53"/>
      <c r="MX220" s="53"/>
      <c r="MY220" s="53"/>
      <c r="MZ220" s="53"/>
      <c r="NA220" s="53"/>
      <c r="NB220" s="53"/>
      <c r="NC220" s="53"/>
      <c r="ND220" s="53"/>
      <c r="NE220" s="53"/>
      <c r="NF220" s="53"/>
      <c r="NG220" s="53"/>
      <c r="NH220" s="53"/>
      <c r="NI220" s="53"/>
      <c r="NJ220" s="53"/>
      <c r="NK220" s="53"/>
      <c r="NL220" s="53"/>
      <c r="NM220" s="53"/>
      <c r="NN220" s="53"/>
      <c r="NO220" s="53"/>
      <c r="NP220" s="53"/>
      <c r="NQ220" s="53"/>
      <c r="NR220" s="53"/>
      <c r="NS220" s="53"/>
      <c r="NT220" s="53"/>
      <c r="NU220" s="53"/>
      <c r="NV220" s="53"/>
      <c r="NW220" s="53"/>
      <c r="NX220" s="53"/>
      <c r="NY220" s="53"/>
      <c r="NZ220" s="53"/>
      <c r="OA220" s="53"/>
      <c r="OB220" s="53"/>
      <c r="OC220" s="53"/>
      <c r="OD220" s="53"/>
      <c r="OE220" s="53"/>
      <c r="OF220" s="53"/>
      <c r="OG220" s="53"/>
      <c r="OH220" s="53"/>
      <c r="OI220" s="53"/>
      <c r="OJ220" s="53"/>
      <c r="OK220" s="53"/>
      <c r="OL220" s="53"/>
      <c r="OM220" s="53"/>
      <c r="ON220" s="53"/>
      <c r="OO220" s="53"/>
      <c r="OP220" s="53"/>
      <c r="OQ220" s="53"/>
      <c r="OR220" s="53"/>
      <c r="OS220" s="53"/>
      <c r="OT220" s="53"/>
      <c r="OU220" s="53"/>
      <c r="OV220" s="53"/>
      <c r="OW220" s="53"/>
      <c r="OX220" s="53"/>
      <c r="OY220" s="53"/>
      <c r="OZ220" s="53"/>
      <c r="PA220" s="53"/>
      <c r="PB220" s="53"/>
      <c r="PC220" s="53"/>
      <c r="PD220" s="53"/>
      <c r="PE220" s="53"/>
      <c r="PF220" s="53"/>
      <c r="PG220" s="53"/>
      <c r="PH220" s="53"/>
      <c r="PI220" s="53"/>
      <c r="PJ220" s="53"/>
      <c r="PK220" s="53"/>
      <c r="PL220" s="53"/>
      <c r="PM220" s="53"/>
      <c r="PN220" s="53"/>
      <c r="PO220" s="53"/>
      <c r="PP220" s="53"/>
      <c r="PQ220" s="53"/>
      <c r="PR220" s="53"/>
      <c r="PS220" s="53"/>
      <c r="PT220" s="53"/>
      <c r="PU220" s="53"/>
      <c r="PV220" s="53"/>
      <c r="PW220" s="53"/>
      <c r="PX220" s="53"/>
      <c r="PY220" s="53"/>
      <c r="PZ220" s="53"/>
      <c r="QA220" s="53"/>
      <c r="QB220" s="53"/>
      <c r="QC220" s="53"/>
      <c r="QD220" s="53"/>
      <c r="QE220" s="53"/>
      <c r="QF220" s="53"/>
      <c r="QG220" s="53"/>
      <c r="QH220" s="53"/>
      <c r="QI220" s="53"/>
      <c r="QJ220" s="53"/>
      <c r="QK220" s="53"/>
      <c r="QL220" s="53"/>
      <c r="QM220" s="53"/>
      <c r="QN220" s="53"/>
      <c r="QO220" s="53"/>
      <c r="QP220" s="53"/>
      <c r="QQ220" s="53"/>
      <c r="QR220" s="53"/>
      <c r="QS220" s="53"/>
      <c r="QT220" s="53"/>
      <c r="QU220" s="53"/>
      <c r="QV220" s="53"/>
      <c r="QW220" s="53"/>
      <c r="QX220" s="53"/>
      <c r="QY220" s="53"/>
      <c r="QZ220" s="53"/>
      <c r="RA220" s="53"/>
      <c r="RB220" s="53"/>
      <c r="RC220" s="53"/>
      <c r="RD220" s="53"/>
      <c r="RE220" s="53"/>
      <c r="RF220" s="53"/>
      <c r="RG220" s="53"/>
      <c r="RH220" s="53"/>
      <c r="RI220" s="53"/>
      <c r="RJ220" s="53"/>
      <c r="RK220" s="53"/>
      <c r="RL220" s="53"/>
      <c r="RM220" s="53"/>
      <c r="RN220" s="53"/>
      <c r="RO220" s="53"/>
      <c r="RP220" s="53"/>
      <c r="RQ220" s="53"/>
      <c r="RR220" s="53"/>
      <c r="RS220" s="53"/>
      <c r="RT220" s="53"/>
      <c r="RU220" s="53"/>
      <c r="RV220" s="53"/>
      <c r="RW220" s="53"/>
      <c r="RX220" s="53"/>
      <c r="RY220" s="53"/>
      <c r="RZ220" s="53"/>
      <c r="SA220" s="53"/>
      <c r="SB220" s="53"/>
      <c r="SC220" s="53"/>
      <c r="SD220" s="53"/>
      <c r="SE220" s="53"/>
      <c r="SF220" s="53"/>
      <c r="SG220" s="53"/>
      <c r="SH220" s="53"/>
      <c r="SI220" s="53"/>
      <c r="SJ220" s="53"/>
      <c r="SK220" s="53"/>
      <c r="SL220" s="53"/>
      <c r="SM220" s="53"/>
      <c r="SN220" s="53"/>
      <c r="SO220" s="53"/>
      <c r="SP220" s="53"/>
      <c r="SQ220" s="53"/>
      <c r="SR220" s="53"/>
      <c r="SS220" s="53"/>
      <c r="ST220" s="53"/>
      <c r="SU220" s="53"/>
      <c r="SV220" s="53"/>
      <c r="SW220" s="53"/>
      <c r="SX220" s="53"/>
      <c r="SY220" s="53"/>
      <c r="SZ220" s="53"/>
      <c r="TA220" s="53"/>
      <c r="TB220" s="53"/>
      <c r="TC220" s="53"/>
      <c r="TD220" s="53"/>
      <c r="TE220" s="53"/>
      <c r="TF220" s="53"/>
      <c r="TG220" s="53"/>
      <c r="TH220" s="53"/>
      <c r="TI220" s="53"/>
      <c r="TJ220" s="53"/>
      <c r="TK220" s="53"/>
      <c r="TL220" s="53"/>
      <c r="TM220" s="53"/>
      <c r="TN220" s="53"/>
      <c r="TO220" s="53"/>
      <c r="TP220" s="53"/>
      <c r="TQ220" s="53"/>
      <c r="TR220" s="53"/>
      <c r="TS220" s="53"/>
      <c r="TT220" s="53"/>
      <c r="TU220" s="53"/>
      <c r="TV220" s="53"/>
      <c r="TW220" s="53"/>
      <c r="TX220" s="53"/>
      <c r="TY220" s="53"/>
      <c r="TZ220" s="53"/>
      <c r="UA220" s="53"/>
      <c r="UB220" s="53"/>
      <c r="UC220" s="53"/>
      <c r="UD220" s="53"/>
      <c r="UE220" s="53"/>
      <c r="UF220" s="53"/>
      <c r="UG220" s="53"/>
      <c r="UH220" s="53"/>
      <c r="UI220" s="53"/>
      <c r="UJ220" s="53"/>
      <c r="UK220" s="53"/>
      <c r="UL220" s="53"/>
      <c r="UM220" s="53"/>
      <c r="UN220" s="53"/>
      <c r="UO220" s="53"/>
      <c r="UP220" s="53"/>
      <c r="UQ220" s="53"/>
      <c r="UR220" s="53"/>
      <c r="US220" s="53"/>
      <c r="UT220" s="53"/>
      <c r="UU220" s="53"/>
      <c r="UV220" s="53"/>
      <c r="UW220" s="53"/>
      <c r="UX220" s="53"/>
      <c r="UY220" s="53"/>
      <c r="UZ220" s="53"/>
      <c r="VA220" s="53"/>
      <c r="VB220" s="53"/>
      <c r="VC220" s="53"/>
      <c r="VD220" s="53"/>
      <c r="VE220" s="53"/>
      <c r="VF220" s="53"/>
      <c r="VG220" s="53"/>
      <c r="VH220" s="53"/>
      <c r="VI220" s="53"/>
      <c r="VJ220" s="53"/>
      <c r="VK220" s="53"/>
      <c r="VL220" s="53"/>
    </row>
    <row r="221" spans="1:584" s="47" customFormat="1" ht="45" x14ac:dyDescent="0.25">
      <c r="A221" s="45" t="s">
        <v>264</v>
      </c>
      <c r="B221" s="91" t="str">
        <f>'дод 3'!A149</f>
        <v>6020</v>
      </c>
      <c r="C221" s="91" t="str">
        <f>'дод 3'!B149</f>
        <v>0620</v>
      </c>
      <c r="D221" s="48" t="str">
        <f>'дод 3'!C149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1" s="115">
        <v>4721226.95</v>
      </c>
      <c r="F221" s="115"/>
      <c r="G221" s="115"/>
      <c r="H221" s="115">
        <v>4703282.82</v>
      </c>
      <c r="I221" s="115"/>
      <c r="J221" s="115"/>
      <c r="K221" s="164">
        <f t="shared" si="59"/>
        <v>99.619926553202447</v>
      </c>
      <c r="L221" s="115">
        <f t="shared" si="42"/>
        <v>0</v>
      </c>
      <c r="M221" s="115"/>
      <c r="N221" s="115"/>
      <c r="O221" s="115"/>
      <c r="P221" s="115"/>
      <c r="Q221" s="115"/>
      <c r="R221" s="115">
        <f t="shared" si="61"/>
        <v>0</v>
      </c>
      <c r="S221" s="115"/>
      <c r="T221" s="115"/>
      <c r="U221" s="115"/>
      <c r="V221" s="115"/>
      <c r="W221" s="115"/>
      <c r="X221" s="149"/>
      <c r="Y221" s="115">
        <f t="shared" si="69"/>
        <v>4703282.82</v>
      </c>
      <c r="Z221" s="187"/>
      <c r="AA221" s="53"/>
      <c r="AB221" s="53"/>
      <c r="AC221" s="53"/>
      <c r="AD221" s="53"/>
      <c r="AE221" s="79"/>
      <c r="AF221" s="79"/>
      <c r="AG221" s="79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  <c r="IW221" s="53"/>
      <c r="IX221" s="53"/>
      <c r="IY221" s="53"/>
      <c r="IZ221" s="53"/>
      <c r="JA221" s="53"/>
      <c r="JB221" s="53"/>
      <c r="JC221" s="53"/>
      <c r="JD221" s="53"/>
      <c r="JE221" s="53"/>
      <c r="JF221" s="53"/>
      <c r="JG221" s="53"/>
      <c r="JH221" s="53"/>
      <c r="JI221" s="53"/>
      <c r="JJ221" s="53"/>
      <c r="JK221" s="53"/>
      <c r="JL221" s="53"/>
      <c r="JM221" s="53"/>
      <c r="JN221" s="53"/>
      <c r="JO221" s="53"/>
      <c r="JP221" s="53"/>
      <c r="JQ221" s="53"/>
      <c r="JR221" s="53"/>
      <c r="JS221" s="53"/>
      <c r="JT221" s="53"/>
      <c r="JU221" s="53"/>
      <c r="JV221" s="53"/>
      <c r="JW221" s="53"/>
      <c r="JX221" s="53"/>
      <c r="JY221" s="53"/>
      <c r="JZ221" s="53"/>
      <c r="KA221" s="53"/>
      <c r="KB221" s="53"/>
      <c r="KC221" s="53"/>
      <c r="KD221" s="53"/>
      <c r="KE221" s="53"/>
      <c r="KF221" s="53"/>
      <c r="KG221" s="53"/>
      <c r="KH221" s="53"/>
      <c r="KI221" s="53"/>
      <c r="KJ221" s="53"/>
      <c r="KK221" s="53"/>
      <c r="KL221" s="53"/>
      <c r="KM221" s="53"/>
      <c r="KN221" s="53"/>
      <c r="KO221" s="53"/>
      <c r="KP221" s="53"/>
      <c r="KQ221" s="53"/>
      <c r="KR221" s="53"/>
      <c r="KS221" s="53"/>
      <c r="KT221" s="53"/>
      <c r="KU221" s="53"/>
      <c r="KV221" s="53"/>
      <c r="KW221" s="53"/>
      <c r="KX221" s="53"/>
      <c r="KY221" s="53"/>
      <c r="KZ221" s="53"/>
      <c r="LA221" s="53"/>
      <c r="LB221" s="53"/>
      <c r="LC221" s="53"/>
      <c r="LD221" s="53"/>
      <c r="LE221" s="53"/>
      <c r="LF221" s="53"/>
      <c r="LG221" s="53"/>
      <c r="LH221" s="53"/>
      <c r="LI221" s="53"/>
      <c r="LJ221" s="53"/>
      <c r="LK221" s="53"/>
      <c r="LL221" s="53"/>
      <c r="LM221" s="53"/>
      <c r="LN221" s="53"/>
      <c r="LO221" s="53"/>
      <c r="LP221" s="53"/>
      <c r="LQ221" s="53"/>
      <c r="LR221" s="53"/>
      <c r="LS221" s="53"/>
      <c r="LT221" s="53"/>
      <c r="LU221" s="53"/>
      <c r="LV221" s="53"/>
      <c r="LW221" s="53"/>
      <c r="LX221" s="53"/>
      <c r="LY221" s="53"/>
      <c r="LZ221" s="53"/>
      <c r="MA221" s="53"/>
      <c r="MB221" s="53"/>
      <c r="MC221" s="53"/>
      <c r="MD221" s="53"/>
      <c r="ME221" s="53"/>
      <c r="MF221" s="53"/>
      <c r="MG221" s="53"/>
      <c r="MH221" s="53"/>
      <c r="MI221" s="53"/>
      <c r="MJ221" s="53"/>
      <c r="MK221" s="53"/>
      <c r="ML221" s="53"/>
      <c r="MM221" s="53"/>
      <c r="MN221" s="53"/>
      <c r="MO221" s="53"/>
      <c r="MP221" s="53"/>
      <c r="MQ221" s="53"/>
      <c r="MR221" s="53"/>
      <c r="MS221" s="53"/>
      <c r="MT221" s="53"/>
      <c r="MU221" s="53"/>
      <c r="MV221" s="53"/>
      <c r="MW221" s="53"/>
      <c r="MX221" s="53"/>
      <c r="MY221" s="53"/>
      <c r="MZ221" s="53"/>
      <c r="NA221" s="53"/>
      <c r="NB221" s="53"/>
      <c r="NC221" s="53"/>
      <c r="ND221" s="53"/>
      <c r="NE221" s="53"/>
      <c r="NF221" s="53"/>
      <c r="NG221" s="53"/>
      <c r="NH221" s="53"/>
      <c r="NI221" s="53"/>
      <c r="NJ221" s="53"/>
      <c r="NK221" s="53"/>
      <c r="NL221" s="53"/>
      <c r="NM221" s="53"/>
      <c r="NN221" s="53"/>
      <c r="NO221" s="53"/>
      <c r="NP221" s="53"/>
      <c r="NQ221" s="53"/>
      <c r="NR221" s="53"/>
      <c r="NS221" s="53"/>
      <c r="NT221" s="53"/>
      <c r="NU221" s="53"/>
      <c r="NV221" s="53"/>
      <c r="NW221" s="53"/>
      <c r="NX221" s="53"/>
      <c r="NY221" s="53"/>
      <c r="NZ221" s="53"/>
      <c r="OA221" s="53"/>
      <c r="OB221" s="53"/>
      <c r="OC221" s="53"/>
      <c r="OD221" s="53"/>
      <c r="OE221" s="53"/>
      <c r="OF221" s="53"/>
      <c r="OG221" s="53"/>
      <c r="OH221" s="53"/>
      <c r="OI221" s="53"/>
      <c r="OJ221" s="53"/>
      <c r="OK221" s="53"/>
      <c r="OL221" s="53"/>
      <c r="OM221" s="53"/>
      <c r="ON221" s="53"/>
      <c r="OO221" s="53"/>
      <c r="OP221" s="53"/>
      <c r="OQ221" s="53"/>
      <c r="OR221" s="53"/>
      <c r="OS221" s="53"/>
      <c r="OT221" s="53"/>
      <c r="OU221" s="53"/>
      <c r="OV221" s="53"/>
      <c r="OW221" s="53"/>
      <c r="OX221" s="53"/>
      <c r="OY221" s="53"/>
      <c r="OZ221" s="53"/>
      <c r="PA221" s="53"/>
      <c r="PB221" s="53"/>
      <c r="PC221" s="53"/>
      <c r="PD221" s="53"/>
      <c r="PE221" s="53"/>
      <c r="PF221" s="53"/>
      <c r="PG221" s="53"/>
      <c r="PH221" s="53"/>
      <c r="PI221" s="53"/>
      <c r="PJ221" s="53"/>
      <c r="PK221" s="53"/>
      <c r="PL221" s="53"/>
      <c r="PM221" s="53"/>
      <c r="PN221" s="53"/>
      <c r="PO221" s="53"/>
      <c r="PP221" s="53"/>
      <c r="PQ221" s="53"/>
      <c r="PR221" s="53"/>
      <c r="PS221" s="53"/>
      <c r="PT221" s="53"/>
      <c r="PU221" s="53"/>
      <c r="PV221" s="53"/>
      <c r="PW221" s="53"/>
      <c r="PX221" s="53"/>
      <c r="PY221" s="53"/>
      <c r="PZ221" s="53"/>
      <c r="QA221" s="53"/>
      <c r="QB221" s="53"/>
      <c r="QC221" s="53"/>
      <c r="QD221" s="53"/>
      <c r="QE221" s="53"/>
      <c r="QF221" s="53"/>
      <c r="QG221" s="53"/>
      <c r="QH221" s="53"/>
      <c r="QI221" s="53"/>
      <c r="QJ221" s="53"/>
      <c r="QK221" s="53"/>
      <c r="QL221" s="53"/>
      <c r="QM221" s="53"/>
      <c r="QN221" s="53"/>
      <c r="QO221" s="53"/>
      <c r="QP221" s="53"/>
      <c r="QQ221" s="53"/>
      <c r="QR221" s="53"/>
      <c r="QS221" s="53"/>
      <c r="QT221" s="53"/>
      <c r="QU221" s="53"/>
      <c r="QV221" s="53"/>
      <c r="QW221" s="53"/>
      <c r="QX221" s="53"/>
      <c r="QY221" s="53"/>
      <c r="QZ221" s="53"/>
      <c r="RA221" s="53"/>
      <c r="RB221" s="53"/>
      <c r="RC221" s="53"/>
      <c r="RD221" s="53"/>
      <c r="RE221" s="53"/>
      <c r="RF221" s="53"/>
      <c r="RG221" s="53"/>
      <c r="RH221" s="53"/>
      <c r="RI221" s="53"/>
      <c r="RJ221" s="53"/>
      <c r="RK221" s="53"/>
      <c r="RL221" s="53"/>
      <c r="RM221" s="53"/>
      <c r="RN221" s="53"/>
      <c r="RO221" s="53"/>
      <c r="RP221" s="53"/>
      <c r="RQ221" s="53"/>
      <c r="RR221" s="53"/>
      <c r="RS221" s="53"/>
      <c r="RT221" s="53"/>
      <c r="RU221" s="53"/>
      <c r="RV221" s="53"/>
      <c r="RW221" s="53"/>
      <c r="RX221" s="53"/>
      <c r="RY221" s="53"/>
      <c r="RZ221" s="53"/>
      <c r="SA221" s="53"/>
      <c r="SB221" s="53"/>
      <c r="SC221" s="53"/>
      <c r="SD221" s="53"/>
      <c r="SE221" s="53"/>
      <c r="SF221" s="53"/>
      <c r="SG221" s="53"/>
      <c r="SH221" s="53"/>
      <c r="SI221" s="53"/>
      <c r="SJ221" s="53"/>
      <c r="SK221" s="53"/>
      <c r="SL221" s="53"/>
      <c r="SM221" s="53"/>
      <c r="SN221" s="53"/>
      <c r="SO221" s="53"/>
      <c r="SP221" s="53"/>
      <c r="SQ221" s="53"/>
      <c r="SR221" s="53"/>
      <c r="SS221" s="53"/>
      <c r="ST221" s="53"/>
      <c r="SU221" s="53"/>
      <c r="SV221" s="53"/>
      <c r="SW221" s="53"/>
      <c r="SX221" s="53"/>
      <c r="SY221" s="53"/>
      <c r="SZ221" s="53"/>
      <c r="TA221" s="53"/>
      <c r="TB221" s="53"/>
      <c r="TC221" s="53"/>
      <c r="TD221" s="53"/>
      <c r="TE221" s="53"/>
      <c r="TF221" s="53"/>
      <c r="TG221" s="53"/>
      <c r="TH221" s="53"/>
      <c r="TI221" s="53"/>
      <c r="TJ221" s="53"/>
      <c r="TK221" s="53"/>
      <c r="TL221" s="53"/>
      <c r="TM221" s="53"/>
      <c r="TN221" s="53"/>
      <c r="TO221" s="53"/>
      <c r="TP221" s="53"/>
      <c r="TQ221" s="53"/>
      <c r="TR221" s="53"/>
      <c r="TS221" s="53"/>
      <c r="TT221" s="53"/>
      <c r="TU221" s="53"/>
      <c r="TV221" s="53"/>
      <c r="TW221" s="53"/>
      <c r="TX221" s="53"/>
      <c r="TY221" s="53"/>
      <c r="TZ221" s="53"/>
      <c r="UA221" s="53"/>
      <c r="UB221" s="53"/>
      <c r="UC221" s="53"/>
      <c r="UD221" s="53"/>
      <c r="UE221" s="53"/>
      <c r="UF221" s="53"/>
      <c r="UG221" s="53"/>
      <c r="UH221" s="53"/>
      <c r="UI221" s="53"/>
      <c r="UJ221" s="53"/>
      <c r="UK221" s="53"/>
      <c r="UL221" s="53"/>
      <c r="UM221" s="53"/>
      <c r="UN221" s="53"/>
      <c r="UO221" s="53"/>
      <c r="UP221" s="53"/>
      <c r="UQ221" s="53"/>
      <c r="UR221" s="53"/>
      <c r="US221" s="53"/>
      <c r="UT221" s="53"/>
      <c r="UU221" s="53"/>
      <c r="UV221" s="53"/>
      <c r="UW221" s="53"/>
      <c r="UX221" s="53"/>
      <c r="UY221" s="53"/>
      <c r="UZ221" s="53"/>
      <c r="VA221" s="53"/>
      <c r="VB221" s="53"/>
      <c r="VC221" s="53"/>
      <c r="VD221" s="53"/>
      <c r="VE221" s="53"/>
      <c r="VF221" s="53"/>
      <c r="VG221" s="53"/>
      <c r="VH221" s="53"/>
      <c r="VI221" s="53"/>
      <c r="VJ221" s="53"/>
      <c r="VK221" s="53"/>
      <c r="VL221" s="53"/>
    </row>
    <row r="222" spans="1:584" s="47" customFormat="1" ht="21.75" customHeight="1" x14ac:dyDescent="0.25">
      <c r="A222" s="45" t="s">
        <v>265</v>
      </c>
      <c r="B222" s="91" t="str">
        <f>'дод 3'!A150</f>
        <v>6030</v>
      </c>
      <c r="C222" s="91" t="str">
        <f>'дод 3'!B150</f>
        <v>0620</v>
      </c>
      <c r="D222" s="48" t="str">
        <f>'дод 3'!C150</f>
        <v>Організація благоустрою населених пунктів</v>
      </c>
      <c r="E222" s="115">
        <v>186953820</v>
      </c>
      <c r="F222" s="115"/>
      <c r="G222" s="115">
        <f>20263000+1150000+1500000+3100000+37297.59+200000</f>
        <v>26250297.59</v>
      </c>
      <c r="H222" s="115">
        <v>185081957.31</v>
      </c>
      <c r="I222" s="115"/>
      <c r="J222" s="115">
        <v>25948735.280000001</v>
      </c>
      <c r="K222" s="164">
        <f t="shared" si="59"/>
        <v>98.998756650171686</v>
      </c>
      <c r="L222" s="115">
        <f t="shared" si="42"/>
        <v>37140754.629999995</v>
      </c>
      <c r="M222" s="115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N222" s="115"/>
      <c r="O222" s="115"/>
      <c r="P222" s="115"/>
      <c r="Q222" s="115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R222" s="115">
        <f t="shared" si="61"/>
        <v>20018337.949999999</v>
      </c>
      <c r="S222" s="115">
        <v>20018337.949999999</v>
      </c>
      <c r="T222" s="115"/>
      <c r="U222" s="115"/>
      <c r="V222" s="115"/>
      <c r="W222" s="115">
        <v>20018337.949999999</v>
      </c>
      <c r="X222" s="166">
        <f t="shared" si="60"/>
        <v>53.898576239025651</v>
      </c>
      <c r="Y222" s="115">
        <f t="shared" si="69"/>
        <v>205100295.25999999</v>
      </c>
      <c r="Z222" s="187"/>
      <c r="AA222" s="53"/>
      <c r="AB222" s="53"/>
      <c r="AC222" s="53"/>
      <c r="AD222" s="53"/>
      <c r="AE222" s="79"/>
      <c r="AF222" s="79"/>
      <c r="AG222" s="79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  <c r="IQ222" s="53"/>
      <c r="IR222" s="53"/>
      <c r="IS222" s="53"/>
      <c r="IT222" s="53"/>
      <c r="IU222" s="53"/>
      <c r="IV222" s="53"/>
      <c r="IW222" s="53"/>
      <c r="IX222" s="53"/>
      <c r="IY222" s="53"/>
      <c r="IZ222" s="53"/>
      <c r="JA222" s="53"/>
      <c r="JB222" s="53"/>
      <c r="JC222" s="53"/>
      <c r="JD222" s="53"/>
      <c r="JE222" s="53"/>
      <c r="JF222" s="53"/>
      <c r="JG222" s="53"/>
      <c r="JH222" s="53"/>
      <c r="JI222" s="53"/>
      <c r="JJ222" s="53"/>
      <c r="JK222" s="53"/>
      <c r="JL222" s="53"/>
      <c r="JM222" s="53"/>
      <c r="JN222" s="53"/>
      <c r="JO222" s="53"/>
      <c r="JP222" s="53"/>
      <c r="JQ222" s="53"/>
      <c r="JR222" s="53"/>
      <c r="JS222" s="53"/>
      <c r="JT222" s="53"/>
      <c r="JU222" s="53"/>
      <c r="JV222" s="53"/>
      <c r="JW222" s="53"/>
      <c r="JX222" s="53"/>
      <c r="JY222" s="53"/>
      <c r="JZ222" s="53"/>
      <c r="KA222" s="53"/>
      <c r="KB222" s="53"/>
      <c r="KC222" s="53"/>
      <c r="KD222" s="53"/>
      <c r="KE222" s="53"/>
      <c r="KF222" s="53"/>
      <c r="KG222" s="53"/>
      <c r="KH222" s="53"/>
      <c r="KI222" s="53"/>
      <c r="KJ222" s="53"/>
      <c r="KK222" s="53"/>
      <c r="KL222" s="53"/>
      <c r="KM222" s="53"/>
      <c r="KN222" s="53"/>
      <c r="KO222" s="53"/>
      <c r="KP222" s="53"/>
      <c r="KQ222" s="53"/>
      <c r="KR222" s="53"/>
      <c r="KS222" s="53"/>
      <c r="KT222" s="53"/>
      <c r="KU222" s="53"/>
      <c r="KV222" s="53"/>
      <c r="KW222" s="53"/>
      <c r="KX222" s="53"/>
      <c r="KY222" s="53"/>
      <c r="KZ222" s="53"/>
      <c r="LA222" s="53"/>
      <c r="LB222" s="53"/>
      <c r="LC222" s="53"/>
      <c r="LD222" s="53"/>
      <c r="LE222" s="53"/>
      <c r="LF222" s="53"/>
      <c r="LG222" s="53"/>
      <c r="LH222" s="53"/>
      <c r="LI222" s="53"/>
      <c r="LJ222" s="53"/>
      <c r="LK222" s="53"/>
      <c r="LL222" s="53"/>
      <c r="LM222" s="53"/>
      <c r="LN222" s="53"/>
      <c r="LO222" s="53"/>
      <c r="LP222" s="53"/>
      <c r="LQ222" s="53"/>
      <c r="LR222" s="53"/>
      <c r="LS222" s="53"/>
      <c r="LT222" s="53"/>
      <c r="LU222" s="53"/>
      <c r="LV222" s="53"/>
      <c r="LW222" s="53"/>
      <c r="LX222" s="53"/>
      <c r="LY222" s="53"/>
      <c r="LZ222" s="53"/>
      <c r="MA222" s="53"/>
      <c r="MB222" s="53"/>
      <c r="MC222" s="53"/>
      <c r="MD222" s="53"/>
      <c r="ME222" s="53"/>
      <c r="MF222" s="53"/>
      <c r="MG222" s="53"/>
      <c r="MH222" s="53"/>
      <c r="MI222" s="53"/>
      <c r="MJ222" s="53"/>
      <c r="MK222" s="53"/>
      <c r="ML222" s="53"/>
      <c r="MM222" s="53"/>
      <c r="MN222" s="53"/>
      <c r="MO222" s="53"/>
      <c r="MP222" s="53"/>
      <c r="MQ222" s="53"/>
      <c r="MR222" s="53"/>
      <c r="MS222" s="53"/>
      <c r="MT222" s="53"/>
      <c r="MU222" s="53"/>
      <c r="MV222" s="53"/>
      <c r="MW222" s="53"/>
      <c r="MX222" s="53"/>
      <c r="MY222" s="53"/>
      <c r="MZ222" s="53"/>
      <c r="NA222" s="53"/>
      <c r="NB222" s="53"/>
      <c r="NC222" s="53"/>
      <c r="ND222" s="53"/>
      <c r="NE222" s="53"/>
      <c r="NF222" s="53"/>
      <c r="NG222" s="53"/>
      <c r="NH222" s="53"/>
      <c r="NI222" s="53"/>
      <c r="NJ222" s="53"/>
      <c r="NK222" s="53"/>
      <c r="NL222" s="53"/>
      <c r="NM222" s="53"/>
      <c r="NN222" s="53"/>
      <c r="NO222" s="53"/>
      <c r="NP222" s="53"/>
      <c r="NQ222" s="53"/>
      <c r="NR222" s="53"/>
      <c r="NS222" s="53"/>
      <c r="NT222" s="53"/>
      <c r="NU222" s="53"/>
      <c r="NV222" s="53"/>
      <c r="NW222" s="53"/>
      <c r="NX222" s="53"/>
      <c r="NY222" s="53"/>
      <c r="NZ222" s="53"/>
      <c r="OA222" s="53"/>
      <c r="OB222" s="53"/>
      <c r="OC222" s="53"/>
      <c r="OD222" s="53"/>
      <c r="OE222" s="53"/>
      <c r="OF222" s="53"/>
      <c r="OG222" s="53"/>
      <c r="OH222" s="53"/>
      <c r="OI222" s="53"/>
      <c r="OJ222" s="53"/>
      <c r="OK222" s="53"/>
      <c r="OL222" s="53"/>
      <c r="OM222" s="53"/>
      <c r="ON222" s="53"/>
      <c r="OO222" s="53"/>
      <c r="OP222" s="53"/>
      <c r="OQ222" s="53"/>
      <c r="OR222" s="53"/>
      <c r="OS222" s="53"/>
      <c r="OT222" s="53"/>
      <c r="OU222" s="53"/>
      <c r="OV222" s="53"/>
      <c r="OW222" s="53"/>
      <c r="OX222" s="53"/>
      <c r="OY222" s="53"/>
      <c r="OZ222" s="53"/>
      <c r="PA222" s="53"/>
      <c r="PB222" s="53"/>
      <c r="PC222" s="53"/>
      <c r="PD222" s="53"/>
      <c r="PE222" s="53"/>
      <c r="PF222" s="53"/>
      <c r="PG222" s="53"/>
      <c r="PH222" s="53"/>
      <c r="PI222" s="53"/>
      <c r="PJ222" s="53"/>
      <c r="PK222" s="53"/>
      <c r="PL222" s="53"/>
      <c r="PM222" s="53"/>
      <c r="PN222" s="53"/>
      <c r="PO222" s="53"/>
      <c r="PP222" s="53"/>
      <c r="PQ222" s="53"/>
      <c r="PR222" s="53"/>
      <c r="PS222" s="53"/>
      <c r="PT222" s="53"/>
      <c r="PU222" s="53"/>
      <c r="PV222" s="53"/>
      <c r="PW222" s="53"/>
      <c r="PX222" s="53"/>
      <c r="PY222" s="53"/>
      <c r="PZ222" s="53"/>
      <c r="QA222" s="53"/>
      <c r="QB222" s="53"/>
      <c r="QC222" s="53"/>
      <c r="QD222" s="53"/>
      <c r="QE222" s="53"/>
      <c r="QF222" s="53"/>
      <c r="QG222" s="53"/>
      <c r="QH222" s="53"/>
      <c r="QI222" s="53"/>
      <c r="QJ222" s="53"/>
      <c r="QK222" s="53"/>
      <c r="QL222" s="53"/>
      <c r="QM222" s="53"/>
      <c r="QN222" s="53"/>
      <c r="QO222" s="53"/>
      <c r="QP222" s="53"/>
      <c r="QQ222" s="53"/>
      <c r="QR222" s="53"/>
      <c r="QS222" s="53"/>
      <c r="QT222" s="53"/>
      <c r="QU222" s="53"/>
      <c r="QV222" s="53"/>
      <c r="QW222" s="53"/>
      <c r="QX222" s="53"/>
      <c r="QY222" s="53"/>
      <c r="QZ222" s="53"/>
      <c r="RA222" s="53"/>
      <c r="RB222" s="53"/>
      <c r="RC222" s="53"/>
      <c r="RD222" s="53"/>
      <c r="RE222" s="53"/>
      <c r="RF222" s="53"/>
      <c r="RG222" s="53"/>
      <c r="RH222" s="53"/>
      <c r="RI222" s="53"/>
      <c r="RJ222" s="53"/>
      <c r="RK222" s="53"/>
      <c r="RL222" s="53"/>
      <c r="RM222" s="53"/>
      <c r="RN222" s="53"/>
      <c r="RO222" s="53"/>
      <c r="RP222" s="53"/>
      <c r="RQ222" s="53"/>
      <c r="RR222" s="53"/>
      <c r="RS222" s="53"/>
      <c r="RT222" s="53"/>
      <c r="RU222" s="53"/>
      <c r="RV222" s="53"/>
      <c r="RW222" s="53"/>
      <c r="RX222" s="53"/>
      <c r="RY222" s="53"/>
      <c r="RZ222" s="53"/>
      <c r="SA222" s="53"/>
      <c r="SB222" s="53"/>
      <c r="SC222" s="53"/>
      <c r="SD222" s="53"/>
      <c r="SE222" s="53"/>
      <c r="SF222" s="53"/>
      <c r="SG222" s="53"/>
      <c r="SH222" s="53"/>
      <c r="SI222" s="53"/>
      <c r="SJ222" s="53"/>
      <c r="SK222" s="53"/>
      <c r="SL222" s="53"/>
      <c r="SM222" s="53"/>
      <c r="SN222" s="53"/>
      <c r="SO222" s="53"/>
      <c r="SP222" s="53"/>
      <c r="SQ222" s="53"/>
      <c r="SR222" s="53"/>
      <c r="SS222" s="53"/>
      <c r="ST222" s="53"/>
      <c r="SU222" s="53"/>
      <c r="SV222" s="53"/>
      <c r="SW222" s="53"/>
      <c r="SX222" s="53"/>
      <c r="SY222" s="53"/>
      <c r="SZ222" s="53"/>
      <c r="TA222" s="53"/>
      <c r="TB222" s="53"/>
      <c r="TC222" s="53"/>
      <c r="TD222" s="53"/>
      <c r="TE222" s="53"/>
      <c r="TF222" s="53"/>
      <c r="TG222" s="53"/>
      <c r="TH222" s="53"/>
      <c r="TI222" s="53"/>
      <c r="TJ222" s="53"/>
      <c r="TK222" s="53"/>
      <c r="TL222" s="53"/>
      <c r="TM222" s="53"/>
      <c r="TN222" s="53"/>
      <c r="TO222" s="53"/>
      <c r="TP222" s="53"/>
      <c r="TQ222" s="53"/>
      <c r="TR222" s="53"/>
      <c r="TS222" s="53"/>
      <c r="TT222" s="53"/>
      <c r="TU222" s="53"/>
      <c r="TV222" s="53"/>
      <c r="TW222" s="53"/>
      <c r="TX222" s="53"/>
      <c r="TY222" s="53"/>
      <c r="TZ222" s="53"/>
      <c r="UA222" s="53"/>
      <c r="UB222" s="53"/>
      <c r="UC222" s="53"/>
      <c r="UD222" s="53"/>
      <c r="UE222" s="53"/>
      <c r="UF222" s="53"/>
      <c r="UG222" s="53"/>
      <c r="UH222" s="53"/>
      <c r="UI222" s="53"/>
      <c r="UJ222" s="53"/>
      <c r="UK222" s="53"/>
      <c r="UL222" s="53"/>
      <c r="UM222" s="53"/>
      <c r="UN222" s="53"/>
      <c r="UO222" s="53"/>
      <c r="UP222" s="53"/>
      <c r="UQ222" s="53"/>
      <c r="UR222" s="53"/>
      <c r="US222" s="53"/>
      <c r="UT222" s="53"/>
      <c r="UU222" s="53"/>
      <c r="UV222" s="53"/>
      <c r="UW222" s="53"/>
      <c r="UX222" s="53"/>
      <c r="UY222" s="53"/>
      <c r="UZ222" s="53"/>
      <c r="VA222" s="53"/>
      <c r="VB222" s="53"/>
      <c r="VC222" s="53"/>
      <c r="VD222" s="53"/>
      <c r="VE222" s="53"/>
      <c r="VF222" s="53"/>
      <c r="VG222" s="53"/>
      <c r="VH222" s="53"/>
      <c r="VI222" s="53"/>
      <c r="VJ222" s="53"/>
      <c r="VK222" s="53"/>
      <c r="VL222" s="53"/>
    </row>
    <row r="223" spans="1:584" s="47" customFormat="1" ht="21.75" customHeight="1" x14ac:dyDescent="0.25">
      <c r="A223" s="45" t="s">
        <v>324</v>
      </c>
      <c r="B223" s="91" t="str">
        <f>'дод 3'!A157</f>
        <v>6090</v>
      </c>
      <c r="C223" s="91" t="str">
        <f>'дод 3'!B157</f>
        <v>0640</v>
      </c>
      <c r="D223" s="48" t="str">
        <f>'дод 3'!C157</f>
        <v>Інша діяльність у сфері житлово-комунального господарства</v>
      </c>
      <c r="E223" s="115">
        <v>3878994.4000000008</v>
      </c>
      <c r="F223" s="115"/>
      <c r="G223" s="115">
        <v>40000</v>
      </c>
      <c r="H223" s="115">
        <v>3717611.01</v>
      </c>
      <c r="I223" s="115"/>
      <c r="J223" s="115">
        <v>23859.66</v>
      </c>
      <c r="K223" s="164">
        <f t="shared" si="59"/>
        <v>95.83955599420301</v>
      </c>
      <c r="L223" s="115">
        <f t="shared" si="42"/>
        <v>90230.400000000373</v>
      </c>
      <c r="M223" s="115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-22000-1780-50000</f>
        <v>90230.400000000373</v>
      </c>
      <c r="N223" s="115"/>
      <c r="O223" s="115"/>
      <c r="P223" s="115"/>
      <c r="Q223" s="115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-22000-1780-50000</f>
        <v>90230.400000000373</v>
      </c>
      <c r="R223" s="115">
        <f t="shared" si="61"/>
        <v>0</v>
      </c>
      <c r="S223" s="115"/>
      <c r="T223" s="115"/>
      <c r="U223" s="115"/>
      <c r="V223" s="115"/>
      <c r="W223" s="115"/>
      <c r="X223" s="166">
        <f t="shared" si="60"/>
        <v>0</v>
      </c>
      <c r="Y223" s="115">
        <f t="shared" si="69"/>
        <v>3717611.01</v>
      </c>
      <c r="Z223" s="187"/>
      <c r="AA223" s="53"/>
      <c r="AB223" s="53"/>
      <c r="AC223" s="53"/>
      <c r="AD223" s="53"/>
      <c r="AE223" s="79"/>
      <c r="AF223" s="79"/>
      <c r="AG223" s="79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  <c r="IU223" s="53"/>
      <c r="IV223" s="53"/>
      <c r="IW223" s="53"/>
      <c r="IX223" s="53"/>
      <c r="IY223" s="53"/>
      <c r="IZ223" s="53"/>
      <c r="JA223" s="53"/>
      <c r="JB223" s="53"/>
      <c r="JC223" s="53"/>
      <c r="JD223" s="53"/>
      <c r="JE223" s="53"/>
      <c r="JF223" s="53"/>
      <c r="JG223" s="53"/>
      <c r="JH223" s="53"/>
      <c r="JI223" s="53"/>
      <c r="JJ223" s="53"/>
      <c r="JK223" s="53"/>
      <c r="JL223" s="53"/>
      <c r="JM223" s="53"/>
      <c r="JN223" s="53"/>
      <c r="JO223" s="53"/>
      <c r="JP223" s="53"/>
      <c r="JQ223" s="53"/>
      <c r="JR223" s="53"/>
      <c r="JS223" s="53"/>
      <c r="JT223" s="53"/>
      <c r="JU223" s="53"/>
      <c r="JV223" s="53"/>
      <c r="JW223" s="53"/>
      <c r="JX223" s="53"/>
      <c r="JY223" s="53"/>
      <c r="JZ223" s="53"/>
      <c r="KA223" s="53"/>
      <c r="KB223" s="53"/>
      <c r="KC223" s="53"/>
      <c r="KD223" s="53"/>
      <c r="KE223" s="53"/>
      <c r="KF223" s="53"/>
      <c r="KG223" s="53"/>
      <c r="KH223" s="53"/>
      <c r="KI223" s="53"/>
      <c r="KJ223" s="53"/>
      <c r="KK223" s="53"/>
      <c r="KL223" s="53"/>
      <c r="KM223" s="53"/>
      <c r="KN223" s="53"/>
      <c r="KO223" s="53"/>
      <c r="KP223" s="53"/>
      <c r="KQ223" s="53"/>
      <c r="KR223" s="53"/>
      <c r="KS223" s="53"/>
      <c r="KT223" s="53"/>
      <c r="KU223" s="53"/>
      <c r="KV223" s="53"/>
      <c r="KW223" s="53"/>
      <c r="KX223" s="53"/>
      <c r="KY223" s="53"/>
      <c r="KZ223" s="53"/>
      <c r="LA223" s="53"/>
      <c r="LB223" s="53"/>
      <c r="LC223" s="53"/>
      <c r="LD223" s="53"/>
      <c r="LE223" s="53"/>
      <c r="LF223" s="53"/>
      <c r="LG223" s="53"/>
      <c r="LH223" s="53"/>
      <c r="LI223" s="53"/>
      <c r="LJ223" s="53"/>
      <c r="LK223" s="53"/>
      <c r="LL223" s="53"/>
      <c r="LM223" s="53"/>
      <c r="LN223" s="53"/>
      <c r="LO223" s="53"/>
      <c r="LP223" s="53"/>
      <c r="LQ223" s="53"/>
      <c r="LR223" s="53"/>
      <c r="LS223" s="53"/>
      <c r="LT223" s="53"/>
      <c r="LU223" s="53"/>
      <c r="LV223" s="53"/>
      <c r="LW223" s="53"/>
      <c r="LX223" s="53"/>
      <c r="LY223" s="53"/>
      <c r="LZ223" s="53"/>
      <c r="MA223" s="53"/>
      <c r="MB223" s="53"/>
      <c r="MC223" s="53"/>
      <c r="MD223" s="53"/>
      <c r="ME223" s="53"/>
      <c r="MF223" s="53"/>
      <c r="MG223" s="53"/>
      <c r="MH223" s="53"/>
      <c r="MI223" s="53"/>
      <c r="MJ223" s="53"/>
      <c r="MK223" s="53"/>
      <c r="ML223" s="53"/>
      <c r="MM223" s="53"/>
      <c r="MN223" s="53"/>
      <c r="MO223" s="53"/>
      <c r="MP223" s="53"/>
      <c r="MQ223" s="53"/>
      <c r="MR223" s="53"/>
      <c r="MS223" s="53"/>
      <c r="MT223" s="53"/>
      <c r="MU223" s="53"/>
      <c r="MV223" s="53"/>
      <c r="MW223" s="53"/>
      <c r="MX223" s="53"/>
      <c r="MY223" s="53"/>
      <c r="MZ223" s="53"/>
      <c r="NA223" s="53"/>
      <c r="NB223" s="53"/>
      <c r="NC223" s="53"/>
      <c r="ND223" s="53"/>
      <c r="NE223" s="53"/>
      <c r="NF223" s="53"/>
      <c r="NG223" s="53"/>
      <c r="NH223" s="53"/>
      <c r="NI223" s="53"/>
      <c r="NJ223" s="53"/>
      <c r="NK223" s="53"/>
      <c r="NL223" s="53"/>
      <c r="NM223" s="53"/>
      <c r="NN223" s="53"/>
      <c r="NO223" s="53"/>
      <c r="NP223" s="53"/>
      <c r="NQ223" s="53"/>
      <c r="NR223" s="53"/>
      <c r="NS223" s="53"/>
      <c r="NT223" s="53"/>
      <c r="NU223" s="53"/>
      <c r="NV223" s="53"/>
      <c r="NW223" s="53"/>
      <c r="NX223" s="53"/>
      <c r="NY223" s="53"/>
      <c r="NZ223" s="53"/>
      <c r="OA223" s="53"/>
      <c r="OB223" s="53"/>
      <c r="OC223" s="53"/>
      <c r="OD223" s="53"/>
      <c r="OE223" s="53"/>
      <c r="OF223" s="53"/>
      <c r="OG223" s="53"/>
      <c r="OH223" s="53"/>
      <c r="OI223" s="53"/>
      <c r="OJ223" s="53"/>
      <c r="OK223" s="53"/>
      <c r="OL223" s="53"/>
      <c r="OM223" s="53"/>
      <c r="ON223" s="53"/>
      <c r="OO223" s="53"/>
      <c r="OP223" s="53"/>
      <c r="OQ223" s="53"/>
      <c r="OR223" s="53"/>
      <c r="OS223" s="53"/>
      <c r="OT223" s="53"/>
      <c r="OU223" s="53"/>
      <c r="OV223" s="53"/>
      <c r="OW223" s="53"/>
      <c r="OX223" s="53"/>
      <c r="OY223" s="53"/>
      <c r="OZ223" s="53"/>
      <c r="PA223" s="53"/>
      <c r="PB223" s="53"/>
      <c r="PC223" s="53"/>
      <c r="PD223" s="53"/>
      <c r="PE223" s="53"/>
      <c r="PF223" s="53"/>
      <c r="PG223" s="53"/>
      <c r="PH223" s="53"/>
      <c r="PI223" s="53"/>
      <c r="PJ223" s="53"/>
      <c r="PK223" s="53"/>
      <c r="PL223" s="53"/>
      <c r="PM223" s="53"/>
      <c r="PN223" s="53"/>
      <c r="PO223" s="53"/>
      <c r="PP223" s="53"/>
      <c r="PQ223" s="53"/>
      <c r="PR223" s="53"/>
      <c r="PS223" s="53"/>
      <c r="PT223" s="53"/>
      <c r="PU223" s="53"/>
      <c r="PV223" s="53"/>
      <c r="PW223" s="53"/>
      <c r="PX223" s="53"/>
      <c r="PY223" s="53"/>
      <c r="PZ223" s="53"/>
      <c r="QA223" s="53"/>
      <c r="QB223" s="53"/>
      <c r="QC223" s="53"/>
      <c r="QD223" s="53"/>
      <c r="QE223" s="53"/>
      <c r="QF223" s="53"/>
      <c r="QG223" s="53"/>
      <c r="QH223" s="53"/>
      <c r="QI223" s="53"/>
      <c r="QJ223" s="53"/>
      <c r="QK223" s="53"/>
      <c r="QL223" s="53"/>
      <c r="QM223" s="53"/>
      <c r="QN223" s="53"/>
      <c r="QO223" s="53"/>
      <c r="QP223" s="53"/>
      <c r="QQ223" s="53"/>
      <c r="QR223" s="53"/>
      <c r="QS223" s="53"/>
      <c r="QT223" s="53"/>
      <c r="QU223" s="53"/>
      <c r="QV223" s="53"/>
      <c r="QW223" s="53"/>
      <c r="QX223" s="53"/>
      <c r="QY223" s="53"/>
      <c r="QZ223" s="53"/>
      <c r="RA223" s="53"/>
      <c r="RB223" s="53"/>
      <c r="RC223" s="53"/>
      <c r="RD223" s="53"/>
      <c r="RE223" s="53"/>
      <c r="RF223" s="53"/>
      <c r="RG223" s="53"/>
      <c r="RH223" s="53"/>
      <c r="RI223" s="53"/>
      <c r="RJ223" s="53"/>
      <c r="RK223" s="53"/>
      <c r="RL223" s="53"/>
      <c r="RM223" s="53"/>
      <c r="RN223" s="53"/>
      <c r="RO223" s="53"/>
      <c r="RP223" s="53"/>
      <c r="RQ223" s="53"/>
      <c r="RR223" s="53"/>
      <c r="RS223" s="53"/>
      <c r="RT223" s="53"/>
      <c r="RU223" s="53"/>
      <c r="RV223" s="53"/>
      <c r="RW223" s="53"/>
      <c r="RX223" s="53"/>
      <c r="RY223" s="53"/>
      <c r="RZ223" s="53"/>
      <c r="SA223" s="53"/>
      <c r="SB223" s="53"/>
      <c r="SC223" s="53"/>
      <c r="SD223" s="53"/>
      <c r="SE223" s="53"/>
      <c r="SF223" s="53"/>
      <c r="SG223" s="53"/>
      <c r="SH223" s="53"/>
      <c r="SI223" s="53"/>
      <c r="SJ223" s="53"/>
      <c r="SK223" s="53"/>
      <c r="SL223" s="53"/>
      <c r="SM223" s="53"/>
      <c r="SN223" s="53"/>
      <c r="SO223" s="53"/>
      <c r="SP223" s="53"/>
      <c r="SQ223" s="53"/>
      <c r="SR223" s="53"/>
      <c r="SS223" s="53"/>
      <c r="ST223" s="53"/>
      <c r="SU223" s="53"/>
      <c r="SV223" s="53"/>
      <c r="SW223" s="53"/>
      <c r="SX223" s="53"/>
      <c r="SY223" s="53"/>
      <c r="SZ223" s="53"/>
      <c r="TA223" s="53"/>
      <c r="TB223" s="53"/>
      <c r="TC223" s="53"/>
      <c r="TD223" s="53"/>
      <c r="TE223" s="53"/>
      <c r="TF223" s="53"/>
      <c r="TG223" s="53"/>
      <c r="TH223" s="53"/>
      <c r="TI223" s="53"/>
      <c r="TJ223" s="53"/>
      <c r="TK223" s="53"/>
      <c r="TL223" s="53"/>
      <c r="TM223" s="53"/>
      <c r="TN223" s="53"/>
      <c r="TO223" s="53"/>
      <c r="TP223" s="53"/>
      <c r="TQ223" s="53"/>
      <c r="TR223" s="53"/>
      <c r="TS223" s="53"/>
      <c r="TT223" s="53"/>
      <c r="TU223" s="53"/>
      <c r="TV223" s="53"/>
      <c r="TW223" s="53"/>
      <c r="TX223" s="53"/>
      <c r="TY223" s="53"/>
      <c r="TZ223" s="53"/>
      <c r="UA223" s="53"/>
      <c r="UB223" s="53"/>
      <c r="UC223" s="53"/>
      <c r="UD223" s="53"/>
      <c r="UE223" s="53"/>
      <c r="UF223" s="53"/>
      <c r="UG223" s="53"/>
      <c r="UH223" s="53"/>
      <c r="UI223" s="53"/>
      <c r="UJ223" s="53"/>
      <c r="UK223" s="53"/>
      <c r="UL223" s="53"/>
      <c r="UM223" s="53"/>
      <c r="UN223" s="53"/>
      <c r="UO223" s="53"/>
      <c r="UP223" s="53"/>
      <c r="UQ223" s="53"/>
      <c r="UR223" s="53"/>
      <c r="US223" s="53"/>
      <c r="UT223" s="53"/>
      <c r="UU223" s="53"/>
      <c r="UV223" s="53"/>
      <c r="UW223" s="53"/>
      <c r="UX223" s="53"/>
      <c r="UY223" s="53"/>
      <c r="UZ223" s="53"/>
      <c r="VA223" s="53"/>
      <c r="VB223" s="53"/>
      <c r="VC223" s="53"/>
      <c r="VD223" s="53"/>
      <c r="VE223" s="53"/>
      <c r="VF223" s="53"/>
      <c r="VG223" s="53"/>
      <c r="VH223" s="53"/>
      <c r="VI223" s="53"/>
      <c r="VJ223" s="53"/>
      <c r="VK223" s="53"/>
      <c r="VL223" s="53"/>
    </row>
    <row r="224" spans="1:584" s="47" customFormat="1" ht="169.5" hidden="1" customHeight="1" x14ac:dyDescent="0.25">
      <c r="A224" s="45" t="s">
        <v>524</v>
      </c>
      <c r="B224" s="91" t="str">
        <f>'дод 3'!A151</f>
        <v>6072</v>
      </c>
      <c r="C224" s="91" t="str">
        <f>'дод 3'!B151</f>
        <v>0640</v>
      </c>
      <c r="D224" s="46" t="s">
        <v>523</v>
      </c>
      <c r="E224" s="115">
        <v>0</v>
      </c>
      <c r="F224" s="115"/>
      <c r="G224" s="115"/>
      <c r="H224" s="115"/>
      <c r="I224" s="115"/>
      <c r="J224" s="115"/>
      <c r="K224" s="135" t="e">
        <f t="shared" si="59"/>
        <v>#DIV/0!</v>
      </c>
      <c r="L224" s="115">
        <f t="shared" si="42"/>
        <v>0</v>
      </c>
      <c r="M224" s="115"/>
      <c r="N224" s="115"/>
      <c r="O224" s="115"/>
      <c r="P224" s="115"/>
      <c r="Q224" s="115"/>
      <c r="R224" s="115">
        <f t="shared" si="61"/>
        <v>0</v>
      </c>
      <c r="S224" s="115"/>
      <c r="T224" s="115"/>
      <c r="U224" s="115"/>
      <c r="V224" s="115"/>
      <c r="W224" s="115"/>
      <c r="X224" s="166" t="e">
        <f t="shared" si="60"/>
        <v>#DIV/0!</v>
      </c>
      <c r="Y224" s="115">
        <f t="shared" si="69"/>
        <v>0</v>
      </c>
      <c r="Z224" s="187"/>
      <c r="AA224" s="53"/>
      <c r="AB224" s="53"/>
      <c r="AC224" s="53"/>
      <c r="AD224" s="53"/>
      <c r="AE224" s="79"/>
      <c r="AF224" s="79"/>
      <c r="AG224" s="79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  <c r="IW224" s="53"/>
      <c r="IX224" s="53"/>
      <c r="IY224" s="53"/>
      <c r="IZ224" s="53"/>
      <c r="JA224" s="53"/>
      <c r="JB224" s="53"/>
      <c r="JC224" s="53"/>
      <c r="JD224" s="53"/>
      <c r="JE224" s="53"/>
      <c r="JF224" s="53"/>
      <c r="JG224" s="53"/>
      <c r="JH224" s="53"/>
      <c r="JI224" s="53"/>
      <c r="JJ224" s="53"/>
      <c r="JK224" s="53"/>
      <c r="JL224" s="53"/>
      <c r="JM224" s="53"/>
      <c r="JN224" s="53"/>
      <c r="JO224" s="53"/>
      <c r="JP224" s="53"/>
      <c r="JQ224" s="53"/>
      <c r="JR224" s="53"/>
      <c r="JS224" s="53"/>
      <c r="JT224" s="53"/>
      <c r="JU224" s="53"/>
      <c r="JV224" s="53"/>
      <c r="JW224" s="53"/>
      <c r="JX224" s="53"/>
      <c r="JY224" s="53"/>
      <c r="JZ224" s="53"/>
      <c r="KA224" s="53"/>
      <c r="KB224" s="53"/>
      <c r="KC224" s="53"/>
      <c r="KD224" s="53"/>
      <c r="KE224" s="53"/>
      <c r="KF224" s="53"/>
      <c r="KG224" s="53"/>
      <c r="KH224" s="53"/>
      <c r="KI224" s="53"/>
      <c r="KJ224" s="53"/>
      <c r="KK224" s="53"/>
      <c r="KL224" s="53"/>
      <c r="KM224" s="53"/>
      <c r="KN224" s="53"/>
      <c r="KO224" s="53"/>
      <c r="KP224" s="53"/>
      <c r="KQ224" s="53"/>
      <c r="KR224" s="53"/>
      <c r="KS224" s="53"/>
      <c r="KT224" s="53"/>
      <c r="KU224" s="53"/>
      <c r="KV224" s="53"/>
      <c r="KW224" s="53"/>
      <c r="KX224" s="53"/>
      <c r="KY224" s="53"/>
      <c r="KZ224" s="53"/>
      <c r="LA224" s="53"/>
      <c r="LB224" s="53"/>
      <c r="LC224" s="53"/>
      <c r="LD224" s="53"/>
      <c r="LE224" s="53"/>
      <c r="LF224" s="53"/>
      <c r="LG224" s="53"/>
      <c r="LH224" s="53"/>
      <c r="LI224" s="53"/>
      <c r="LJ224" s="53"/>
      <c r="LK224" s="53"/>
      <c r="LL224" s="53"/>
      <c r="LM224" s="53"/>
      <c r="LN224" s="53"/>
      <c r="LO224" s="53"/>
      <c r="LP224" s="53"/>
      <c r="LQ224" s="53"/>
      <c r="LR224" s="53"/>
      <c r="LS224" s="53"/>
      <c r="LT224" s="53"/>
      <c r="LU224" s="53"/>
      <c r="LV224" s="53"/>
      <c r="LW224" s="53"/>
      <c r="LX224" s="53"/>
      <c r="LY224" s="53"/>
      <c r="LZ224" s="53"/>
      <c r="MA224" s="53"/>
      <c r="MB224" s="53"/>
      <c r="MC224" s="53"/>
      <c r="MD224" s="53"/>
      <c r="ME224" s="53"/>
      <c r="MF224" s="53"/>
      <c r="MG224" s="53"/>
      <c r="MH224" s="53"/>
      <c r="MI224" s="53"/>
      <c r="MJ224" s="53"/>
      <c r="MK224" s="53"/>
      <c r="ML224" s="53"/>
      <c r="MM224" s="53"/>
      <c r="MN224" s="53"/>
      <c r="MO224" s="53"/>
      <c r="MP224" s="53"/>
      <c r="MQ224" s="53"/>
      <c r="MR224" s="53"/>
      <c r="MS224" s="53"/>
      <c r="MT224" s="53"/>
      <c r="MU224" s="53"/>
      <c r="MV224" s="53"/>
      <c r="MW224" s="53"/>
      <c r="MX224" s="53"/>
      <c r="MY224" s="53"/>
      <c r="MZ224" s="53"/>
      <c r="NA224" s="53"/>
      <c r="NB224" s="53"/>
      <c r="NC224" s="53"/>
      <c r="ND224" s="53"/>
      <c r="NE224" s="53"/>
      <c r="NF224" s="53"/>
      <c r="NG224" s="53"/>
      <c r="NH224" s="53"/>
      <c r="NI224" s="53"/>
      <c r="NJ224" s="53"/>
      <c r="NK224" s="53"/>
      <c r="NL224" s="53"/>
      <c r="NM224" s="53"/>
      <c r="NN224" s="53"/>
      <c r="NO224" s="53"/>
      <c r="NP224" s="53"/>
      <c r="NQ224" s="53"/>
      <c r="NR224" s="53"/>
      <c r="NS224" s="53"/>
      <c r="NT224" s="53"/>
      <c r="NU224" s="53"/>
      <c r="NV224" s="53"/>
      <c r="NW224" s="53"/>
      <c r="NX224" s="53"/>
      <c r="NY224" s="53"/>
      <c r="NZ224" s="53"/>
      <c r="OA224" s="53"/>
      <c r="OB224" s="53"/>
      <c r="OC224" s="53"/>
      <c r="OD224" s="53"/>
      <c r="OE224" s="53"/>
      <c r="OF224" s="53"/>
      <c r="OG224" s="53"/>
      <c r="OH224" s="53"/>
      <c r="OI224" s="53"/>
      <c r="OJ224" s="53"/>
      <c r="OK224" s="53"/>
      <c r="OL224" s="53"/>
      <c r="OM224" s="53"/>
      <c r="ON224" s="53"/>
      <c r="OO224" s="53"/>
      <c r="OP224" s="53"/>
      <c r="OQ224" s="53"/>
      <c r="OR224" s="53"/>
      <c r="OS224" s="53"/>
      <c r="OT224" s="53"/>
      <c r="OU224" s="53"/>
      <c r="OV224" s="53"/>
      <c r="OW224" s="53"/>
      <c r="OX224" s="53"/>
      <c r="OY224" s="53"/>
      <c r="OZ224" s="53"/>
      <c r="PA224" s="53"/>
      <c r="PB224" s="53"/>
      <c r="PC224" s="53"/>
      <c r="PD224" s="53"/>
      <c r="PE224" s="53"/>
      <c r="PF224" s="53"/>
      <c r="PG224" s="53"/>
      <c r="PH224" s="53"/>
      <c r="PI224" s="53"/>
      <c r="PJ224" s="53"/>
      <c r="PK224" s="53"/>
      <c r="PL224" s="53"/>
      <c r="PM224" s="53"/>
      <c r="PN224" s="53"/>
      <c r="PO224" s="53"/>
      <c r="PP224" s="53"/>
      <c r="PQ224" s="53"/>
      <c r="PR224" s="53"/>
      <c r="PS224" s="53"/>
      <c r="PT224" s="53"/>
      <c r="PU224" s="53"/>
      <c r="PV224" s="53"/>
      <c r="PW224" s="53"/>
      <c r="PX224" s="53"/>
      <c r="PY224" s="53"/>
      <c r="PZ224" s="53"/>
      <c r="QA224" s="53"/>
      <c r="QB224" s="53"/>
      <c r="QC224" s="53"/>
      <c r="QD224" s="53"/>
      <c r="QE224" s="53"/>
      <c r="QF224" s="53"/>
      <c r="QG224" s="53"/>
      <c r="QH224" s="53"/>
      <c r="QI224" s="53"/>
      <c r="QJ224" s="53"/>
      <c r="QK224" s="53"/>
      <c r="QL224" s="53"/>
      <c r="QM224" s="53"/>
      <c r="QN224" s="53"/>
      <c r="QO224" s="53"/>
      <c r="QP224" s="53"/>
      <c r="QQ224" s="53"/>
      <c r="QR224" s="53"/>
      <c r="QS224" s="53"/>
      <c r="QT224" s="53"/>
      <c r="QU224" s="53"/>
      <c r="QV224" s="53"/>
      <c r="QW224" s="53"/>
      <c r="QX224" s="53"/>
      <c r="QY224" s="53"/>
      <c r="QZ224" s="53"/>
      <c r="RA224" s="53"/>
      <c r="RB224" s="53"/>
      <c r="RC224" s="53"/>
      <c r="RD224" s="53"/>
      <c r="RE224" s="53"/>
      <c r="RF224" s="53"/>
      <c r="RG224" s="53"/>
      <c r="RH224" s="53"/>
      <c r="RI224" s="53"/>
      <c r="RJ224" s="53"/>
      <c r="RK224" s="53"/>
      <c r="RL224" s="53"/>
      <c r="RM224" s="53"/>
      <c r="RN224" s="53"/>
      <c r="RO224" s="53"/>
      <c r="RP224" s="53"/>
      <c r="RQ224" s="53"/>
      <c r="RR224" s="53"/>
      <c r="RS224" s="53"/>
      <c r="RT224" s="53"/>
      <c r="RU224" s="53"/>
      <c r="RV224" s="53"/>
      <c r="RW224" s="53"/>
      <c r="RX224" s="53"/>
      <c r="RY224" s="53"/>
      <c r="RZ224" s="53"/>
      <c r="SA224" s="53"/>
      <c r="SB224" s="53"/>
      <c r="SC224" s="53"/>
      <c r="SD224" s="53"/>
      <c r="SE224" s="53"/>
      <c r="SF224" s="53"/>
      <c r="SG224" s="53"/>
      <c r="SH224" s="53"/>
      <c r="SI224" s="53"/>
      <c r="SJ224" s="53"/>
      <c r="SK224" s="53"/>
      <c r="SL224" s="53"/>
      <c r="SM224" s="53"/>
      <c r="SN224" s="53"/>
      <c r="SO224" s="53"/>
      <c r="SP224" s="53"/>
      <c r="SQ224" s="53"/>
      <c r="SR224" s="53"/>
      <c r="SS224" s="53"/>
      <c r="ST224" s="53"/>
      <c r="SU224" s="53"/>
      <c r="SV224" s="53"/>
      <c r="SW224" s="53"/>
      <c r="SX224" s="53"/>
      <c r="SY224" s="53"/>
      <c r="SZ224" s="53"/>
      <c r="TA224" s="53"/>
      <c r="TB224" s="53"/>
      <c r="TC224" s="53"/>
      <c r="TD224" s="53"/>
      <c r="TE224" s="53"/>
      <c r="TF224" s="53"/>
      <c r="TG224" s="53"/>
      <c r="TH224" s="53"/>
      <c r="TI224" s="53"/>
      <c r="TJ224" s="53"/>
      <c r="TK224" s="53"/>
      <c r="TL224" s="53"/>
      <c r="TM224" s="53"/>
      <c r="TN224" s="53"/>
      <c r="TO224" s="53"/>
      <c r="TP224" s="53"/>
      <c r="TQ224" s="53"/>
      <c r="TR224" s="53"/>
      <c r="TS224" s="53"/>
      <c r="TT224" s="53"/>
      <c r="TU224" s="53"/>
      <c r="TV224" s="53"/>
      <c r="TW224" s="53"/>
      <c r="TX224" s="53"/>
      <c r="TY224" s="53"/>
      <c r="TZ224" s="53"/>
      <c r="UA224" s="53"/>
      <c r="UB224" s="53"/>
      <c r="UC224" s="53"/>
      <c r="UD224" s="53"/>
      <c r="UE224" s="53"/>
      <c r="UF224" s="53"/>
      <c r="UG224" s="53"/>
      <c r="UH224" s="53"/>
      <c r="UI224" s="53"/>
      <c r="UJ224" s="53"/>
      <c r="UK224" s="53"/>
      <c r="UL224" s="53"/>
      <c r="UM224" s="53"/>
      <c r="UN224" s="53"/>
      <c r="UO224" s="53"/>
      <c r="UP224" s="53"/>
      <c r="UQ224" s="53"/>
      <c r="UR224" s="53"/>
      <c r="US224" s="53"/>
      <c r="UT224" s="53"/>
      <c r="UU224" s="53"/>
      <c r="UV224" s="53"/>
      <c r="UW224" s="53"/>
      <c r="UX224" s="53"/>
      <c r="UY224" s="53"/>
      <c r="UZ224" s="53"/>
      <c r="VA224" s="53"/>
      <c r="VB224" s="53"/>
      <c r="VC224" s="53"/>
      <c r="VD224" s="53"/>
      <c r="VE224" s="53"/>
      <c r="VF224" s="53"/>
      <c r="VG224" s="53"/>
      <c r="VH224" s="53"/>
      <c r="VI224" s="53"/>
      <c r="VJ224" s="53"/>
      <c r="VK224" s="53"/>
      <c r="VL224" s="53"/>
    </row>
    <row r="225" spans="1:584" s="47" customFormat="1" ht="18" hidden="1" customHeight="1" x14ac:dyDescent="0.25">
      <c r="A225" s="45"/>
      <c r="B225" s="91"/>
      <c r="C225" s="91"/>
      <c r="D225" s="48" t="s">
        <v>342</v>
      </c>
      <c r="E225" s="115">
        <v>0</v>
      </c>
      <c r="F225" s="115"/>
      <c r="G225" s="115"/>
      <c r="H225" s="115"/>
      <c r="I225" s="115"/>
      <c r="J225" s="115"/>
      <c r="K225" s="135" t="e">
        <f t="shared" si="59"/>
        <v>#DIV/0!</v>
      </c>
      <c r="L225" s="115">
        <f t="shared" si="42"/>
        <v>0</v>
      </c>
      <c r="M225" s="115"/>
      <c r="N225" s="115"/>
      <c r="O225" s="115"/>
      <c r="P225" s="115"/>
      <c r="Q225" s="115"/>
      <c r="R225" s="115">
        <f t="shared" si="61"/>
        <v>0</v>
      </c>
      <c r="S225" s="115"/>
      <c r="T225" s="115"/>
      <c r="U225" s="115"/>
      <c r="V225" s="115"/>
      <c r="W225" s="115"/>
      <c r="X225" s="166" t="e">
        <f t="shared" si="60"/>
        <v>#DIV/0!</v>
      </c>
      <c r="Y225" s="115">
        <f t="shared" si="69"/>
        <v>0</v>
      </c>
      <c r="Z225" s="187"/>
      <c r="AA225" s="53"/>
      <c r="AB225" s="53"/>
      <c r="AC225" s="53"/>
      <c r="AD225" s="53"/>
      <c r="AE225" s="79"/>
      <c r="AF225" s="79"/>
      <c r="AG225" s="79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  <c r="IL225" s="53"/>
      <c r="IM225" s="53"/>
      <c r="IN225" s="53"/>
      <c r="IO225" s="53"/>
      <c r="IP225" s="53"/>
      <c r="IQ225" s="53"/>
      <c r="IR225" s="53"/>
      <c r="IS225" s="53"/>
      <c r="IT225" s="53"/>
      <c r="IU225" s="53"/>
      <c r="IV225" s="53"/>
      <c r="IW225" s="53"/>
      <c r="IX225" s="53"/>
      <c r="IY225" s="53"/>
      <c r="IZ225" s="53"/>
      <c r="JA225" s="53"/>
      <c r="JB225" s="53"/>
      <c r="JC225" s="53"/>
      <c r="JD225" s="53"/>
      <c r="JE225" s="53"/>
      <c r="JF225" s="53"/>
      <c r="JG225" s="53"/>
      <c r="JH225" s="53"/>
      <c r="JI225" s="53"/>
      <c r="JJ225" s="53"/>
      <c r="JK225" s="53"/>
      <c r="JL225" s="53"/>
      <c r="JM225" s="53"/>
      <c r="JN225" s="53"/>
      <c r="JO225" s="53"/>
      <c r="JP225" s="53"/>
      <c r="JQ225" s="53"/>
      <c r="JR225" s="53"/>
      <c r="JS225" s="53"/>
      <c r="JT225" s="53"/>
      <c r="JU225" s="53"/>
      <c r="JV225" s="53"/>
      <c r="JW225" s="53"/>
      <c r="JX225" s="53"/>
      <c r="JY225" s="53"/>
      <c r="JZ225" s="53"/>
      <c r="KA225" s="53"/>
      <c r="KB225" s="53"/>
      <c r="KC225" s="53"/>
      <c r="KD225" s="53"/>
      <c r="KE225" s="53"/>
      <c r="KF225" s="53"/>
      <c r="KG225" s="53"/>
      <c r="KH225" s="53"/>
      <c r="KI225" s="53"/>
      <c r="KJ225" s="53"/>
      <c r="KK225" s="53"/>
      <c r="KL225" s="53"/>
      <c r="KM225" s="53"/>
      <c r="KN225" s="53"/>
      <c r="KO225" s="53"/>
      <c r="KP225" s="53"/>
      <c r="KQ225" s="53"/>
      <c r="KR225" s="53"/>
      <c r="KS225" s="53"/>
      <c r="KT225" s="53"/>
      <c r="KU225" s="53"/>
      <c r="KV225" s="53"/>
      <c r="KW225" s="53"/>
      <c r="KX225" s="53"/>
      <c r="KY225" s="53"/>
      <c r="KZ225" s="53"/>
      <c r="LA225" s="53"/>
      <c r="LB225" s="53"/>
      <c r="LC225" s="53"/>
      <c r="LD225" s="53"/>
      <c r="LE225" s="53"/>
      <c r="LF225" s="53"/>
      <c r="LG225" s="53"/>
      <c r="LH225" s="53"/>
      <c r="LI225" s="53"/>
      <c r="LJ225" s="53"/>
      <c r="LK225" s="53"/>
      <c r="LL225" s="53"/>
      <c r="LM225" s="53"/>
      <c r="LN225" s="53"/>
      <c r="LO225" s="53"/>
      <c r="LP225" s="53"/>
      <c r="LQ225" s="53"/>
      <c r="LR225" s="53"/>
      <c r="LS225" s="53"/>
      <c r="LT225" s="53"/>
      <c r="LU225" s="53"/>
      <c r="LV225" s="53"/>
      <c r="LW225" s="53"/>
      <c r="LX225" s="53"/>
      <c r="LY225" s="53"/>
      <c r="LZ225" s="53"/>
      <c r="MA225" s="53"/>
      <c r="MB225" s="53"/>
      <c r="MC225" s="53"/>
      <c r="MD225" s="53"/>
      <c r="ME225" s="53"/>
      <c r="MF225" s="53"/>
      <c r="MG225" s="53"/>
      <c r="MH225" s="53"/>
      <c r="MI225" s="53"/>
      <c r="MJ225" s="53"/>
      <c r="MK225" s="53"/>
      <c r="ML225" s="53"/>
      <c r="MM225" s="53"/>
      <c r="MN225" s="53"/>
      <c r="MO225" s="53"/>
      <c r="MP225" s="53"/>
      <c r="MQ225" s="53"/>
      <c r="MR225" s="53"/>
      <c r="MS225" s="53"/>
      <c r="MT225" s="53"/>
      <c r="MU225" s="53"/>
      <c r="MV225" s="53"/>
      <c r="MW225" s="53"/>
      <c r="MX225" s="53"/>
      <c r="MY225" s="53"/>
      <c r="MZ225" s="53"/>
      <c r="NA225" s="53"/>
      <c r="NB225" s="53"/>
      <c r="NC225" s="53"/>
      <c r="ND225" s="53"/>
      <c r="NE225" s="53"/>
      <c r="NF225" s="53"/>
      <c r="NG225" s="53"/>
      <c r="NH225" s="53"/>
      <c r="NI225" s="53"/>
      <c r="NJ225" s="53"/>
      <c r="NK225" s="53"/>
      <c r="NL225" s="53"/>
      <c r="NM225" s="53"/>
      <c r="NN225" s="53"/>
      <c r="NO225" s="53"/>
      <c r="NP225" s="53"/>
      <c r="NQ225" s="53"/>
      <c r="NR225" s="53"/>
      <c r="NS225" s="53"/>
      <c r="NT225" s="53"/>
      <c r="NU225" s="53"/>
      <c r="NV225" s="53"/>
      <c r="NW225" s="53"/>
      <c r="NX225" s="53"/>
      <c r="NY225" s="53"/>
      <c r="NZ225" s="53"/>
      <c r="OA225" s="53"/>
      <c r="OB225" s="53"/>
      <c r="OC225" s="53"/>
      <c r="OD225" s="53"/>
      <c r="OE225" s="53"/>
      <c r="OF225" s="53"/>
      <c r="OG225" s="53"/>
      <c r="OH225" s="53"/>
      <c r="OI225" s="53"/>
      <c r="OJ225" s="53"/>
      <c r="OK225" s="53"/>
      <c r="OL225" s="53"/>
      <c r="OM225" s="53"/>
      <c r="ON225" s="53"/>
      <c r="OO225" s="53"/>
      <c r="OP225" s="53"/>
      <c r="OQ225" s="53"/>
      <c r="OR225" s="53"/>
      <c r="OS225" s="53"/>
      <c r="OT225" s="53"/>
      <c r="OU225" s="53"/>
      <c r="OV225" s="53"/>
      <c r="OW225" s="53"/>
      <c r="OX225" s="53"/>
      <c r="OY225" s="53"/>
      <c r="OZ225" s="53"/>
      <c r="PA225" s="53"/>
      <c r="PB225" s="53"/>
      <c r="PC225" s="53"/>
      <c r="PD225" s="53"/>
      <c r="PE225" s="53"/>
      <c r="PF225" s="53"/>
      <c r="PG225" s="53"/>
      <c r="PH225" s="53"/>
      <c r="PI225" s="53"/>
      <c r="PJ225" s="53"/>
      <c r="PK225" s="53"/>
      <c r="PL225" s="53"/>
      <c r="PM225" s="53"/>
      <c r="PN225" s="53"/>
      <c r="PO225" s="53"/>
      <c r="PP225" s="53"/>
      <c r="PQ225" s="53"/>
      <c r="PR225" s="53"/>
      <c r="PS225" s="53"/>
      <c r="PT225" s="53"/>
      <c r="PU225" s="53"/>
      <c r="PV225" s="53"/>
      <c r="PW225" s="53"/>
      <c r="PX225" s="53"/>
      <c r="PY225" s="53"/>
      <c r="PZ225" s="53"/>
      <c r="QA225" s="53"/>
      <c r="QB225" s="53"/>
      <c r="QC225" s="53"/>
      <c r="QD225" s="53"/>
      <c r="QE225" s="53"/>
      <c r="QF225" s="53"/>
      <c r="QG225" s="53"/>
      <c r="QH225" s="53"/>
      <c r="QI225" s="53"/>
      <c r="QJ225" s="53"/>
      <c r="QK225" s="53"/>
      <c r="QL225" s="53"/>
      <c r="QM225" s="53"/>
      <c r="QN225" s="53"/>
      <c r="QO225" s="53"/>
      <c r="QP225" s="53"/>
      <c r="QQ225" s="53"/>
      <c r="QR225" s="53"/>
      <c r="QS225" s="53"/>
      <c r="QT225" s="53"/>
      <c r="QU225" s="53"/>
      <c r="QV225" s="53"/>
      <c r="QW225" s="53"/>
      <c r="QX225" s="53"/>
      <c r="QY225" s="53"/>
      <c r="QZ225" s="53"/>
      <c r="RA225" s="53"/>
      <c r="RB225" s="53"/>
      <c r="RC225" s="53"/>
      <c r="RD225" s="53"/>
      <c r="RE225" s="53"/>
      <c r="RF225" s="53"/>
      <c r="RG225" s="53"/>
      <c r="RH225" s="53"/>
      <c r="RI225" s="53"/>
      <c r="RJ225" s="53"/>
      <c r="RK225" s="53"/>
      <c r="RL225" s="53"/>
      <c r="RM225" s="53"/>
      <c r="RN225" s="53"/>
      <c r="RO225" s="53"/>
      <c r="RP225" s="53"/>
      <c r="RQ225" s="53"/>
      <c r="RR225" s="53"/>
      <c r="RS225" s="53"/>
      <c r="RT225" s="53"/>
      <c r="RU225" s="53"/>
      <c r="RV225" s="53"/>
      <c r="RW225" s="53"/>
      <c r="RX225" s="53"/>
      <c r="RY225" s="53"/>
      <c r="RZ225" s="53"/>
      <c r="SA225" s="53"/>
      <c r="SB225" s="53"/>
      <c r="SC225" s="53"/>
      <c r="SD225" s="53"/>
      <c r="SE225" s="53"/>
      <c r="SF225" s="53"/>
      <c r="SG225" s="53"/>
      <c r="SH225" s="53"/>
      <c r="SI225" s="53"/>
      <c r="SJ225" s="53"/>
      <c r="SK225" s="53"/>
      <c r="SL225" s="53"/>
      <c r="SM225" s="53"/>
      <c r="SN225" s="53"/>
      <c r="SO225" s="53"/>
      <c r="SP225" s="53"/>
      <c r="SQ225" s="53"/>
      <c r="SR225" s="53"/>
      <c r="SS225" s="53"/>
      <c r="ST225" s="53"/>
      <c r="SU225" s="53"/>
      <c r="SV225" s="53"/>
      <c r="SW225" s="53"/>
      <c r="SX225" s="53"/>
      <c r="SY225" s="53"/>
      <c r="SZ225" s="53"/>
      <c r="TA225" s="53"/>
      <c r="TB225" s="53"/>
      <c r="TC225" s="53"/>
      <c r="TD225" s="53"/>
      <c r="TE225" s="53"/>
      <c r="TF225" s="53"/>
      <c r="TG225" s="53"/>
      <c r="TH225" s="53"/>
      <c r="TI225" s="53"/>
      <c r="TJ225" s="53"/>
      <c r="TK225" s="53"/>
      <c r="TL225" s="53"/>
      <c r="TM225" s="53"/>
      <c r="TN225" s="53"/>
      <c r="TO225" s="53"/>
      <c r="TP225" s="53"/>
      <c r="TQ225" s="53"/>
      <c r="TR225" s="53"/>
      <c r="TS225" s="53"/>
      <c r="TT225" s="53"/>
      <c r="TU225" s="53"/>
      <c r="TV225" s="53"/>
      <c r="TW225" s="53"/>
      <c r="TX225" s="53"/>
      <c r="TY225" s="53"/>
      <c r="TZ225" s="53"/>
      <c r="UA225" s="53"/>
      <c r="UB225" s="53"/>
      <c r="UC225" s="53"/>
      <c r="UD225" s="53"/>
      <c r="UE225" s="53"/>
      <c r="UF225" s="53"/>
      <c r="UG225" s="53"/>
      <c r="UH225" s="53"/>
      <c r="UI225" s="53"/>
      <c r="UJ225" s="53"/>
      <c r="UK225" s="53"/>
      <c r="UL225" s="53"/>
      <c r="UM225" s="53"/>
      <c r="UN225" s="53"/>
      <c r="UO225" s="53"/>
      <c r="UP225" s="53"/>
      <c r="UQ225" s="53"/>
      <c r="UR225" s="53"/>
      <c r="US225" s="53"/>
      <c r="UT225" s="53"/>
      <c r="UU225" s="53"/>
      <c r="UV225" s="53"/>
      <c r="UW225" s="53"/>
      <c r="UX225" s="53"/>
      <c r="UY225" s="53"/>
      <c r="UZ225" s="53"/>
      <c r="VA225" s="53"/>
      <c r="VB225" s="53"/>
      <c r="VC225" s="53"/>
      <c r="VD225" s="53"/>
      <c r="VE225" s="53"/>
      <c r="VF225" s="53"/>
      <c r="VG225" s="53"/>
      <c r="VH225" s="53"/>
      <c r="VI225" s="53"/>
      <c r="VJ225" s="53"/>
      <c r="VK225" s="53"/>
      <c r="VL225" s="53"/>
    </row>
    <row r="226" spans="1:584" s="47" customFormat="1" ht="31.5" hidden="1" customHeight="1" x14ac:dyDescent="0.25">
      <c r="A226" s="45" t="s">
        <v>517</v>
      </c>
      <c r="B226" s="91" t="str">
        <f>'дод 3'!A161</f>
        <v>7130</v>
      </c>
      <c r="C226" s="91" t="str">
        <f>'дод 3'!B161</f>
        <v>0421</v>
      </c>
      <c r="D226" s="48" t="str">
        <f>'дод 3'!C161</f>
        <v>Здійснення  заходів із землеустрою</v>
      </c>
      <c r="E226" s="115">
        <v>0</v>
      </c>
      <c r="F226" s="115"/>
      <c r="G226" s="115"/>
      <c r="H226" s="115"/>
      <c r="I226" s="115"/>
      <c r="J226" s="115"/>
      <c r="K226" s="135" t="e">
        <f t="shared" si="59"/>
        <v>#DIV/0!</v>
      </c>
      <c r="L226" s="115">
        <f t="shared" si="42"/>
        <v>0</v>
      </c>
      <c r="M226" s="115"/>
      <c r="N226" s="115"/>
      <c r="O226" s="115"/>
      <c r="P226" s="115"/>
      <c r="Q226" s="115"/>
      <c r="R226" s="115">
        <f t="shared" si="61"/>
        <v>0</v>
      </c>
      <c r="S226" s="115"/>
      <c r="T226" s="115"/>
      <c r="U226" s="115"/>
      <c r="V226" s="115"/>
      <c r="W226" s="115"/>
      <c r="X226" s="166" t="e">
        <f t="shared" si="60"/>
        <v>#DIV/0!</v>
      </c>
      <c r="Y226" s="115">
        <f t="shared" si="69"/>
        <v>0</v>
      </c>
      <c r="Z226" s="187"/>
      <c r="AA226" s="53"/>
      <c r="AB226" s="53"/>
      <c r="AC226" s="53"/>
      <c r="AD226" s="53"/>
      <c r="AE226" s="79"/>
      <c r="AF226" s="79"/>
      <c r="AG226" s="79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  <c r="IL226" s="53"/>
      <c r="IM226" s="53"/>
      <c r="IN226" s="53"/>
      <c r="IO226" s="53"/>
      <c r="IP226" s="53"/>
      <c r="IQ226" s="53"/>
      <c r="IR226" s="53"/>
      <c r="IS226" s="53"/>
      <c r="IT226" s="53"/>
      <c r="IU226" s="53"/>
      <c r="IV226" s="53"/>
      <c r="IW226" s="53"/>
      <c r="IX226" s="53"/>
      <c r="IY226" s="53"/>
      <c r="IZ226" s="53"/>
      <c r="JA226" s="53"/>
      <c r="JB226" s="53"/>
      <c r="JC226" s="53"/>
      <c r="JD226" s="53"/>
      <c r="JE226" s="53"/>
      <c r="JF226" s="53"/>
      <c r="JG226" s="53"/>
      <c r="JH226" s="53"/>
      <c r="JI226" s="53"/>
      <c r="JJ226" s="53"/>
      <c r="JK226" s="53"/>
      <c r="JL226" s="53"/>
      <c r="JM226" s="53"/>
      <c r="JN226" s="53"/>
      <c r="JO226" s="53"/>
      <c r="JP226" s="53"/>
      <c r="JQ226" s="53"/>
      <c r="JR226" s="53"/>
      <c r="JS226" s="53"/>
      <c r="JT226" s="53"/>
      <c r="JU226" s="53"/>
      <c r="JV226" s="53"/>
      <c r="JW226" s="53"/>
      <c r="JX226" s="53"/>
      <c r="JY226" s="53"/>
      <c r="JZ226" s="53"/>
      <c r="KA226" s="53"/>
      <c r="KB226" s="53"/>
      <c r="KC226" s="53"/>
      <c r="KD226" s="53"/>
      <c r="KE226" s="53"/>
      <c r="KF226" s="53"/>
      <c r="KG226" s="53"/>
      <c r="KH226" s="53"/>
      <c r="KI226" s="53"/>
      <c r="KJ226" s="53"/>
      <c r="KK226" s="53"/>
      <c r="KL226" s="53"/>
      <c r="KM226" s="53"/>
      <c r="KN226" s="53"/>
      <c r="KO226" s="53"/>
      <c r="KP226" s="53"/>
      <c r="KQ226" s="53"/>
      <c r="KR226" s="53"/>
      <c r="KS226" s="53"/>
      <c r="KT226" s="53"/>
      <c r="KU226" s="53"/>
      <c r="KV226" s="53"/>
      <c r="KW226" s="53"/>
      <c r="KX226" s="53"/>
      <c r="KY226" s="53"/>
      <c r="KZ226" s="53"/>
      <c r="LA226" s="53"/>
      <c r="LB226" s="53"/>
      <c r="LC226" s="53"/>
      <c r="LD226" s="53"/>
      <c r="LE226" s="53"/>
      <c r="LF226" s="53"/>
      <c r="LG226" s="53"/>
      <c r="LH226" s="53"/>
      <c r="LI226" s="53"/>
      <c r="LJ226" s="53"/>
      <c r="LK226" s="53"/>
      <c r="LL226" s="53"/>
      <c r="LM226" s="53"/>
      <c r="LN226" s="53"/>
      <c r="LO226" s="53"/>
      <c r="LP226" s="53"/>
      <c r="LQ226" s="53"/>
      <c r="LR226" s="53"/>
      <c r="LS226" s="53"/>
      <c r="LT226" s="53"/>
      <c r="LU226" s="53"/>
      <c r="LV226" s="53"/>
      <c r="LW226" s="53"/>
      <c r="LX226" s="53"/>
      <c r="LY226" s="53"/>
      <c r="LZ226" s="53"/>
      <c r="MA226" s="53"/>
      <c r="MB226" s="53"/>
      <c r="MC226" s="53"/>
      <c r="MD226" s="53"/>
      <c r="ME226" s="53"/>
      <c r="MF226" s="53"/>
      <c r="MG226" s="53"/>
      <c r="MH226" s="53"/>
      <c r="MI226" s="53"/>
      <c r="MJ226" s="53"/>
      <c r="MK226" s="53"/>
      <c r="ML226" s="53"/>
      <c r="MM226" s="53"/>
      <c r="MN226" s="53"/>
      <c r="MO226" s="53"/>
      <c r="MP226" s="53"/>
      <c r="MQ226" s="53"/>
      <c r="MR226" s="53"/>
      <c r="MS226" s="53"/>
      <c r="MT226" s="53"/>
      <c r="MU226" s="53"/>
      <c r="MV226" s="53"/>
      <c r="MW226" s="53"/>
      <c r="MX226" s="53"/>
      <c r="MY226" s="53"/>
      <c r="MZ226" s="53"/>
      <c r="NA226" s="53"/>
      <c r="NB226" s="53"/>
      <c r="NC226" s="53"/>
      <c r="ND226" s="53"/>
      <c r="NE226" s="53"/>
      <c r="NF226" s="53"/>
      <c r="NG226" s="53"/>
      <c r="NH226" s="53"/>
      <c r="NI226" s="53"/>
      <c r="NJ226" s="53"/>
      <c r="NK226" s="53"/>
      <c r="NL226" s="53"/>
      <c r="NM226" s="53"/>
      <c r="NN226" s="53"/>
      <c r="NO226" s="53"/>
      <c r="NP226" s="53"/>
      <c r="NQ226" s="53"/>
      <c r="NR226" s="53"/>
      <c r="NS226" s="53"/>
      <c r="NT226" s="53"/>
      <c r="NU226" s="53"/>
      <c r="NV226" s="53"/>
      <c r="NW226" s="53"/>
      <c r="NX226" s="53"/>
      <c r="NY226" s="53"/>
      <c r="NZ226" s="53"/>
      <c r="OA226" s="53"/>
      <c r="OB226" s="53"/>
      <c r="OC226" s="53"/>
      <c r="OD226" s="53"/>
      <c r="OE226" s="53"/>
      <c r="OF226" s="53"/>
      <c r="OG226" s="53"/>
      <c r="OH226" s="53"/>
      <c r="OI226" s="53"/>
      <c r="OJ226" s="53"/>
      <c r="OK226" s="53"/>
      <c r="OL226" s="53"/>
      <c r="OM226" s="53"/>
      <c r="ON226" s="53"/>
      <c r="OO226" s="53"/>
      <c r="OP226" s="53"/>
      <c r="OQ226" s="53"/>
      <c r="OR226" s="53"/>
      <c r="OS226" s="53"/>
      <c r="OT226" s="53"/>
      <c r="OU226" s="53"/>
      <c r="OV226" s="53"/>
      <c r="OW226" s="53"/>
      <c r="OX226" s="53"/>
      <c r="OY226" s="53"/>
      <c r="OZ226" s="53"/>
      <c r="PA226" s="53"/>
      <c r="PB226" s="53"/>
      <c r="PC226" s="53"/>
      <c r="PD226" s="53"/>
      <c r="PE226" s="53"/>
      <c r="PF226" s="53"/>
      <c r="PG226" s="53"/>
      <c r="PH226" s="53"/>
      <c r="PI226" s="53"/>
      <c r="PJ226" s="53"/>
      <c r="PK226" s="53"/>
      <c r="PL226" s="53"/>
      <c r="PM226" s="53"/>
      <c r="PN226" s="53"/>
      <c r="PO226" s="53"/>
      <c r="PP226" s="53"/>
      <c r="PQ226" s="53"/>
      <c r="PR226" s="53"/>
      <c r="PS226" s="53"/>
      <c r="PT226" s="53"/>
      <c r="PU226" s="53"/>
      <c r="PV226" s="53"/>
      <c r="PW226" s="53"/>
      <c r="PX226" s="53"/>
      <c r="PY226" s="53"/>
      <c r="PZ226" s="53"/>
      <c r="QA226" s="53"/>
      <c r="QB226" s="53"/>
      <c r="QC226" s="53"/>
      <c r="QD226" s="53"/>
      <c r="QE226" s="53"/>
      <c r="QF226" s="53"/>
      <c r="QG226" s="53"/>
      <c r="QH226" s="53"/>
      <c r="QI226" s="53"/>
      <c r="QJ226" s="53"/>
      <c r="QK226" s="53"/>
      <c r="QL226" s="53"/>
      <c r="QM226" s="53"/>
      <c r="QN226" s="53"/>
      <c r="QO226" s="53"/>
      <c r="QP226" s="53"/>
      <c r="QQ226" s="53"/>
      <c r="QR226" s="53"/>
      <c r="QS226" s="53"/>
      <c r="QT226" s="53"/>
      <c r="QU226" s="53"/>
      <c r="QV226" s="53"/>
      <c r="QW226" s="53"/>
      <c r="QX226" s="53"/>
      <c r="QY226" s="53"/>
      <c r="QZ226" s="53"/>
      <c r="RA226" s="53"/>
      <c r="RB226" s="53"/>
      <c r="RC226" s="53"/>
      <c r="RD226" s="53"/>
      <c r="RE226" s="53"/>
      <c r="RF226" s="53"/>
      <c r="RG226" s="53"/>
      <c r="RH226" s="53"/>
      <c r="RI226" s="53"/>
      <c r="RJ226" s="53"/>
      <c r="RK226" s="53"/>
      <c r="RL226" s="53"/>
      <c r="RM226" s="53"/>
      <c r="RN226" s="53"/>
      <c r="RO226" s="53"/>
      <c r="RP226" s="53"/>
      <c r="RQ226" s="53"/>
      <c r="RR226" s="53"/>
      <c r="RS226" s="53"/>
      <c r="RT226" s="53"/>
      <c r="RU226" s="53"/>
      <c r="RV226" s="53"/>
      <c r="RW226" s="53"/>
      <c r="RX226" s="53"/>
      <c r="RY226" s="53"/>
      <c r="RZ226" s="53"/>
      <c r="SA226" s="53"/>
      <c r="SB226" s="53"/>
      <c r="SC226" s="53"/>
      <c r="SD226" s="53"/>
      <c r="SE226" s="53"/>
      <c r="SF226" s="53"/>
      <c r="SG226" s="53"/>
      <c r="SH226" s="53"/>
      <c r="SI226" s="53"/>
      <c r="SJ226" s="53"/>
      <c r="SK226" s="53"/>
      <c r="SL226" s="53"/>
      <c r="SM226" s="53"/>
      <c r="SN226" s="53"/>
      <c r="SO226" s="53"/>
      <c r="SP226" s="53"/>
      <c r="SQ226" s="53"/>
      <c r="SR226" s="53"/>
      <c r="SS226" s="53"/>
      <c r="ST226" s="53"/>
      <c r="SU226" s="53"/>
      <c r="SV226" s="53"/>
      <c r="SW226" s="53"/>
      <c r="SX226" s="53"/>
      <c r="SY226" s="53"/>
      <c r="SZ226" s="53"/>
      <c r="TA226" s="53"/>
      <c r="TB226" s="53"/>
      <c r="TC226" s="53"/>
      <c r="TD226" s="53"/>
      <c r="TE226" s="53"/>
      <c r="TF226" s="53"/>
      <c r="TG226" s="53"/>
      <c r="TH226" s="53"/>
      <c r="TI226" s="53"/>
      <c r="TJ226" s="53"/>
      <c r="TK226" s="53"/>
      <c r="TL226" s="53"/>
      <c r="TM226" s="53"/>
      <c r="TN226" s="53"/>
      <c r="TO226" s="53"/>
      <c r="TP226" s="53"/>
      <c r="TQ226" s="53"/>
      <c r="TR226" s="53"/>
      <c r="TS226" s="53"/>
      <c r="TT226" s="53"/>
      <c r="TU226" s="53"/>
      <c r="TV226" s="53"/>
      <c r="TW226" s="53"/>
      <c r="TX226" s="53"/>
      <c r="TY226" s="53"/>
      <c r="TZ226" s="53"/>
      <c r="UA226" s="53"/>
      <c r="UB226" s="53"/>
      <c r="UC226" s="53"/>
      <c r="UD226" s="53"/>
      <c r="UE226" s="53"/>
      <c r="UF226" s="53"/>
      <c r="UG226" s="53"/>
      <c r="UH226" s="53"/>
      <c r="UI226" s="53"/>
      <c r="UJ226" s="53"/>
      <c r="UK226" s="53"/>
      <c r="UL226" s="53"/>
      <c r="UM226" s="53"/>
      <c r="UN226" s="53"/>
      <c r="UO226" s="53"/>
      <c r="UP226" s="53"/>
      <c r="UQ226" s="53"/>
      <c r="UR226" s="53"/>
      <c r="US226" s="53"/>
      <c r="UT226" s="53"/>
      <c r="UU226" s="53"/>
      <c r="UV226" s="53"/>
      <c r="UW226" s="53"/>
      <c r="UX226" s="53"/>
      <c r="UY226" s="53"/>
      <c r="UZ226" s="53"/>
      <c r="VA226" s="53"/>
      <c r="VB226" s="53"/>
      <c r="VC226" s="53"/>
      <c r="VD226" s="53"/>
      <c r="VE226" s="53"/>
      <c r="VF226" s="53"/>
      <c r="VG226" s="53"/>
      <c r="VH226" s="53"/>
      <c r="VI226" s="53"/>
      <c r="VJ226" s="53"/>
      <c r="VK226" s="53"/>
      <c r="VL226" s="53"/>
    </row>
    <row r="227" spans="1:584" s="47" customFormat="1" ht="25.5" customHeight="1" x14ac:dyDescent="0.25">
      <c r="A227" s="45" t="s">
        <v>350</v>
      </c>
      <c r="B227" s="91" t="str">
        <f>'дод 3'!A164</f>
        <v>7310</v>
      </c>
      <c r="C227" s="91" t="str">
        <f>'дод 3'!B164</f>
        <v>0443</v>
      </c>
      <c r="D227" s="48" t="str">
        <f>'дод 3'!C164</f>
        <v>Будівництво об'єктів житлово-комунального господарства</v>
      </c>
      <c r="E227" s="115">
        <v>0</v>
      </c>
      <c r="F227" s="115"/>
      <c r="G227" s="115"/>
      <c r="H227" s="115"/>
      <c r="I227" s="115"/>
      <c r="J227" s="115"/>
      <c r="K227" s="135"/>
      <c r="L227" s="115">
        <f t="shared" si="42"/>
        <v>4686256.0000000019</v>
      </c>
      <c r="M227" s="115">
        <f>15050000+11900000-7308614.43-165090-245000+7308614.43-24295.57-300000+8836.6+1500000-1500000-140000+300000+40000-12569763.43-65000-7954239.6-384588-950000+316486-200000+80000-11090</f>
        <v>4686256.0000000019</v>
      </c>
      <c r="N227" s="115"/>
      <c r="O227" s="115"/>
      <c r="P227" s="115"/>
      <c r="Q227" s="115">
        <f>15050000+11900000-7308614.43-165090-245000+7308614.43-24295.57-300000+8836.6+1500000-1500000-140000+300000+40000-12569763.43-65000-7954239.6-384588-950000+316486-200000+80000-11090</f>
        <v>4686256.0000000019</v>
      </c>
      <c r="R227" s="115">
        <f t="shared" si="61"/>
        <v>1869931.28</v>
      </c>
      <c r="S227" s="115">
        <v>1869931.28</v>
      </c>
      <c r="T227" s="115"/>
      <c r="U227" s="115"/>
      <c r="V227" s="115"/>
      <c r="W227" s="115">
        <v>1869931.28</v>
      </c>
      <c r="X227" s="166">
        <f t="shared" si="60"/>
        <v>39.902456886691624</v>
      </c>
      <c r="Y227" s="115">
        <f t="shared" si="69"/>
        <v>1869931.28</v>
      </c>
      <c r="Z227" s="187"/>
      <c r="AA227" s="53"/>
      <c r="AB227" s="53"/>
      <c r="AC227" s="53"/>
      <c r="AD227" s="53"/>
      <c r="AE227" s="79"/>
      <c r="AF227" s="79"/>
      <c r="AG227" s="79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  <c r="IK227" s="53"/>
      <c r="IL227" s="53"/>
      <c r="IM227" s="53"/>
      <c r="IN227" s="53"/>
      <c r="IO227" s="53"/>
      <c r="IP227" s="53"/>
      <c r="IQ227" s="53"/>
      <c r="IR227" s="53"/>
      <c r="IS227" s="53"/>
      <c r="IT227" s="53"/>
      <c r="IU227" s="53"/>
      <c r="IV227" s="53"/>
      <c r="IW227" s="53"/>
      <c r="IX227" s="53"/>
      <c r="IY227" s="53"/>
      <c r="IZ227" s="53"/>
      <c r="JA227" s="53"/>
      <c r="JB227" s="53"/>
      <c r="JC227" s="53"/>
      <c r="JD227" s="53"/>
      <c r="JE227" s="53"/>
      <c r="JF227" s="53"/>
      <c r="JG227" s="53"/>
      <c r="JH227" s="53"/>
      <c r="JI227" s="53"/>
      <c r="JJ227" s="53"/>
      <c r="JK227" s="53"/>
      <c r="JL227" s="53"/>
      <c r="JM227" s="53"/>
      <c r="JN227" s="53"/>
      <c r="JO227" s="53"/>
      <c r="JP227" s="53"/>
      <c r="JQ227" s="53"/>
      <c r="JR227" s="53"/>
      <c r="JS227" s="53"/>
      <c r="JT227" s="53"/>
      <c r="JU227" s="53"/>
      <c r="JV227" s="53"/>
      <c r="JW227" s="53"/>
      <c r="JX227" s="53"/>
      <c r="JY227" s="53"/>
      <c r="JZ227" s="53"/>
      <c r="KA227" s="53"/>
      <c r="KB227" s="53"/>
      <c r="KC227" s="53"/>
      <c r="KD227" s="53"/>
      <c r="KE227" s="53"/>
      <c r="KF227" s="53"/>
      <c r="KG227" s="53"/>
      <c r="KH227" s="53"/>
      <c r="KI227" s="53"/>
      <c r="KJ227" s="53"/>
      <c r="KK227" s="53"/>
      <c r="KL227" s="53"/>
      <c r="KM227" s="53"/>
      <c r="KN227" s="53"/>
      <c r="KO227" s="53"/>
      <c r="KP227" s="53"/>
      <c r="KQ227" s="53"/>
      <c r="KR227" s="53"/>
      <c r="KS227" s="53"/>
      <c r="KT227" s="53"/>
      <c r="KU227" s="53"/>
      <c r="KV227" s="53"/>
      <c r="KW227" s="53"/>
      <c r="KX227" s="53"/>
      <c r="KY227" s="53"/>
      <c r="KZ227" s="53"/>
      <c r="LA227" s="53"/>
      <c r="LB227" s="53"/>
      <c r="LC227" s="53"/>
      <c r="LD227" s="53"/>
      <c r="LE227" s="53"/>
      <c r="LF227" s="53"/>
      <c r="LG227" s="53"/>
      <c r="LH227" s="53"/>
      <c r="LI227" s="53"/>
      <c r="LJ227" s="53"/>
      <c r="LK227" s="53"/>
      <c r="LL227" s="53"/>
      <c r="LM227" s="53"/>
      <c r="LN227" s="53"/>
      <c r="LO227" s="53"/>
      <c r="LP227" s="53"/>
      <c r="LQ227" s="53"/>
      <c r="LR227" s="53"/>
      <c r="LS227" s="53"/>
      <c r="LT227" s="53"/>
      <c r="LU227" s="53"/>
      <c r="LV227" s="53"/>
      <c r="LW227" s="53"/>
      <c r="LX227" s="53"/>
      <c r="LY227" s="53"/>
      <c r="LZ227" s="53"/>
      <c r="MA227" s="53"/>
      <c r="MB227" s="53"/>
      <c r="MC227" s="53"/>
      <c r="MD227" s="53"/>
      <c r="ME227" s="53"/>
      <c r="MF227" s="53"/>
      <c r="MG227" s="53"/>
      <c r="MH227" s="53"/>
      <c r="MI227" s="53"/>
      <c r="MJ227" s="53"/>
      <c r="MK227" s="53"/>
      <c r="ML227" s="53"/>
      <c r="MM227" s="53"/>
      <c r="MN227" s="53"/>
      <c r="MO227" s="53"/>
      <c r="MP227" s="53"/>
      <c r="MQ227" s="53"/>
      <c r="MR227" s="53"/>
      <c r="MS227" s="53"/>
      <c r="MT227" s="53"/>
      <c r="MU227" s="53"/>
      <c r="MV227" s="53"/>
      <c r="MW227" s="53"/>
      <c r="MX227" s="53"/>
      <c r="MY227" s="53"/>
      <c r="MZ227" s="53"/>
      <c r="NA227" s="53"/>
      <c r="NB227" s="53"/>
      <c r="NC227" s="53"/>
      <c r="ND227" s="53"/>
      <c r="NE227" s="53"/>
      <c r="NF227" s="53"/>
      <c r="NG227" s="53"/>
      <c r="NH227" s="53"/>
      <c r="NI227" s="53"/>
      <c r="NJ227" s="53"/>
      <c r="NK227" s="53"/>
      <c r="NL227" s="53"/>
      <c r="NM227" s="53"/>
      <c r="NN227" s="53"/>
      <c r="NO227" s="53"/>
      <c r="NP227" s="53"/>
      <c r="NQ227" s="53"/>
      <c r="NR227" s="53"/>
      <c r="NS227" s="53"/>
      <c r="NT227" s="53"/>
      <c r="NU227" s="53"/>
      <c r="NV227" s="53"/>
      <c r="NW227" s="53"/>
      <c r="NX227" s="53"/>
      <c r="NY227" s="53"/>
      <c r="NZ227" s="53"/>
      <c r="OA227" s="53"/>
      <c r="OB227" s="53"/>
      <c r="OC227" s="53"/>
      <c r="OD227" s="53"/>
      <c r="OE227" s="53"/>
      <c r="OF227" s="53"/>
      <c r="OG227" s="53"/>
      <c r="OH227" s="53"/>
      <c r="OI227" s="53"/>
      <c r="OJ227" s="53"/>
      <c r="OK227" s="53"/>
      <c r="OL227" s="53"/>
      <c r="OM227" s="53"/>
      <c r="ON227" s="53"/>
      <c r="OO227" s="53"/>
      <c r="OP227" s="53"/>
      <c r="OQ227" s="53"/>
      <c r="OR227" s="53"/>
      <c r="OS227" s="53"/>
      <c r="OT227" s="53"/>
      <c r="OU227" s="53"/>
      <c r="OV227" s="53"/>
      <c r="OW227" s="53"/>
      <c r="OX227" s="53"/>
      <c r="OY227" s="53"/>
      <c r="OZ227" s="53"/>
      <c r="PA227" s="53"/>
      <c r="PB227" s="53"/>
      <c r="PC227" s="53"/>
      <c r="PD227" s="53"/>
      <c r="PE227" s="53"/>
      <c r="PF227" s="53"/>
      <c r="PG227" s="53"/>
      <c r="PH227" s="53"/>
      <c r="PI227" s="53"/>
      <c r="PJ227" s="53"/>
      <c r="PK227" s="53"/>
      <c r="PL227" s="53"/>
      <c r="PM227" s="53"/>
      <c r="PN227" s="53"/>
      <c r="PO227" s="53"/>
      <c r="PP227" s="53"/>
      <c r="PQ227" s="53"/>
      <c r="PR227" s="53"/>
      <c r="PS227" s="53"/>
      <c r="PT227" s="53"/>
      <c r="PU227" s="53"/>
      <c r="PV227" s="53"/>
      <c r="PW227" s="53"/>
      <c r="PX227" s="53"/>
      <c r="PY227" s="53"/>
      <c r="PZ227" s="53"/>
      <c r="QA227" s="53"/>
      <c r="QB227" s="53"/>
      <c r="QC227" s="53"/>
      <c r="QD227" s="53"/>
      <c r="QE227" s="53"/>
      <c r="QF227" s="53"/>
      <c r="QG227" s="53"/>
      <c r="QH227" s="53"/>
      <c r="QI227" s="53"/>
      <c r="QJ227" s="53"/>
      <c r="QK227" s="53"/>
      <c r="QL227" s="53"/>
      <c r="QM227" s="53"/>
      <c r="QN227" s="53"/>
      <c r="QO227" s="53"/>
      <c r="QP227" s="53"/>
      <c r="QQ227" s="53"/>
      <c r="QR227" s="53"/>
      <c r="QS227" s="53"/>
      <c r="QT227" s="53"/>
      <c r="QU227" s="53"/>
      <c r="QV227" s="53"/>
      <c r="QW227" s="53"/>
      <c r="QX227" s="53"/>
      <c r="QY227" s="53"/>
      <c r="QZ227" s="53"/>
      <c r="RA227" s="53"/>
      <c r="RB227" s="53"/>
      <c r="RC227" s="53"/>
      <c r="RD227" s="53"/>
      <c r="RE227" s="53"/>
      <c r="RF227" s="53"/>
      <c r="RG227" s="53"/>
      <c r="RH227" s="53"/>
      <c r="RI227" s="53"/>
      <c r="RJ227" s="53"/>
      <c r="RK227" s="53"/>
      <c r="RL227" s="53"/>
      <c r="RM227" s="53"/>
      <c r="RN227" s="53"/>
      <c r="RO227" s="53"/>
      <c r="RP227" s="53"/>
      <c r="RQ227" s="53"/>
      <c r="RR227" s="53"/>
      <c r="RS227" s="53"/>
      <c r="RT227" s="53"/>
      <c r="RU227" s="53"/>
      <c r="RV227" s="53"/>
      <c r="RW227" s="53"/>
      <c r="RX227" s="53"/>
      <c r="RY227" s="53"/>
      <c r="RZ227" s="53"/>
      <c r="SA227" s="53"/>
      <c r="SB227" s="53"/>
      <c r="SC227" s="53"/>
      <c r="SD227" s="53"/>
      <c r="SE227" s="53"/>
      <c r="SF227" s="53"/>
      <c r="SG227" s="53"/>
      <c r="SH227" s="53"/>
      <c r="SI227" s="53"/>
      <c r="SJ227" s="53"/>
      <c r="SK227" s="53"/>
      <c r="SL227" s="53"/>
      <c r="SM227" s="53"/>
      <c r="SN227" s="53"/>
      <c r="SO227" s="53"/>
      <c r="SP227" s="53"/>
      <c r="SQ227" s="53"/>
      <c r="SR227" s="53"/>
      <c r="SS227" s="53"/>
      <c r="ST227" s="53"/>
      <c r="SU227" s="53"/>
      <c r="SV227" s="53"/>
      <c r="SW227" s="53"/>
      <c r="SX227" s="53"/>
      <c r="SY227" s="53"/>
      <c r="SZ227" s="53"/>
      <c r="TA227" s="53"/>
      <c r="TB227" s="53"/>
      <c r="TC227" s="53"/>
      <c r="TD227" s="53"/>
      <c r="TE227" s="53"/>
      <c r="TF227" s="53"/>
      <c r="TG227" s="53"/>
      <c r="TH227" s="53"/>
      <c r="TI227" s="53"/>
      <c r="TJ227" s="53"/>
      <c r="TK227" s="53"/>
      <c r="TL227" s="53"/>
      <c r="TM227" s="53"/>
      <c r="TN227" s="53"/>
      <c r="TO227" s="53"/>
      <c r="TP227" s="53"/>
      <c r="TQ227" s="53"/>
      <c r="TR227" s="53"/>
      <c r="TS227" s="53"/>
      <c r="TT227" s="53"/>
      <c r="TU227" s="53"/>
      <c r="TV227" s="53"/>
      <c r="TW227" s="53"/>
      <c r="TX227" s="53"/>
      <c r="TY227" s="53"/>
      <c r="TZ227" s="53"/>
      <c r="UA227" s="53"/>
      <c r="UB227" s="53"/>
      <c r="UC227" s="53"/>
      <c r="UD227" s="53"/>
      <c r="UE227" s="53"/>
      <c r="UF227" s="53"/>
      <c r="UG227" s="53"/>
      <c r="UH227" s="53"/>
      <c r="UI227" s="53"/>
      <c r="UJ227" s="53"/>
      <c r="UK227" s="53"/>
      <c r="UL227" s="53"/>
      <c r="UM227" s="53"/>
      <c r="UN227" s="53"/>
      <c r="UO227" s="53"/>
      <c r="UP227" s="53"/>
      <c r="UQ227" s="53"/>
      <c r="UR227" s="53"/>
      <c r="US227" s="53"/>
      <c r="UT227" s="53"/>
      <c r="UU227" s="53"/>
      <c r="UV227" s="53"/>
      <c r="UW227" s="53"/>
      <c r="UX227" s="53"/>
      <c r="UY227" s="53"/>
      <c r="UZ227" s="53"/>
      <c r="VA227" s="53"/>
      <c r="VB227" s="53"/>
      <c r="VC227" s="53"/>
      <c r="VD227" s="53"/>
      <c r="VE227" s="53"/>
      <c r="VF227" s="53"/>
      <c r="VG227" s="53"/>
      <c r="VH227" s="53"/>
      <c r="VI227" s="53"/>
      <c r="VJ227" s="53"/>
      <c r="VK227" s="53"/>
      <c r="VL227" s="53"/>
    </row>
    <row r="228" spans="1:584" s="47" customFormat="1" ht="21.75" customHeight="1" x14ac:dyDescent="0.25">
      <c r="A228" s="45" t="s">
        <v>352</v>
      </c>
      <c r="B228" s="91" t="str">
        <f>'дод 3'!A168</f>
        <v>7330</v>
      </c>
      <c r="C228" s="91" t="str">
        <f>'дод 3'!B168</f>
        <v>0443</v>
      </c>
      <c r="D228" s="48" t="str">
        <f>'дод 3'!C168</f>
        <v>Будівництво інших об'єктів комунальної власності</v>
      </c>
      <c r="E228" s="115">
        <v>0</v>
      </c>
      <c r="F228" s="115"/>
      <c r="G228" s="115"/>
      <c r="H228" s="115"/>
      <c r="I228" s="115"/>
      <c r="J228" s="115"/>
      <c r="K228" s="135"/>
      <c r="L228" s="115">
        <f t="shared" si="42"/>
        <v>3855530</v>
      </c>
      <c r="M228" s="115">
        <f>5765753-4000000+200000+65000+1450000-65000-200000+50000-100000+689777</f>
        <v>3855530</v>
      </c>
      <c r="N228" s="115"/>
      <c r="O228" s="115"/>
      <c r="P228" s="115"/>
      <c r="Q228" s="115">
        <f>5765753-4000000+200000+65000+1450000-65000-200000+50000-100000+689777</f>
        <v>3855530</v>
      </c>
      <c r="R228" s="115">
        <f t="shared" si="61"/>
        <v>2341417.1</v>
      </c>
      <c r="S228" s="115">
        <v>2341417.1</v>
      </c>
      <c r="T228" s="115"/>
      <c r="U228" s="115"/>
      <c r="V228" s="115"/>
      <c r="W228" s="115">
        <v>2341417.1</v>
      </c>
      <c r="X228" s="166">
        <f t="shared" si="60"/>
        <v>60.728799931526922</v>
      </c>
      <c r="Y228" s="115">
        <f t="shared" si="69"/>
        <v>2341417.1</v>
      </c>
      <c r="Z228" s="187"/>
      <c r="AA228" s="53"/>
      <c r="AB228" s="53"/>
      <c r="AC228" s="53"/>
      <c r="AD228" s="53"/>
      <c r="AE228" s="79"/>
      <c r="AF228" s="79"/>
      <c r="AG228" s="79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  <c r="GQ228" s="53"/>
      <c r="GR228" s="53"/>
      <c r="GS228" s="53"/>
      <c r="GT228" s="53"/>
      <c r="GU228" s="53"/>
      <c r="GV228" s="53"/>
      <c r="GW228" s="53"/>
      <c r="GX228" s="53"/>
      <c r="GY228" s="53"/>
      <c r="GZ228" s="53"/>
      <c r="HA228" s="53"/>
      <c r="HB228" s="53"/>
      <c r="HC228" s="53"/>
      <c r="HD228" s="53"/>
      <c r="HE228" s="53"/>
      <c r="HF228" s="53"/>
      <c r="HG228" s="53"/>
      <c r="HH228" s="53"/>
      <c r="HI228" s="53"/>
      <c r="HJ228" s="53"/>
      <c r="HK228" s="53"/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  <c r="IK228" s="53"/>
      <c r="IL228" s="53"/>
      <c r="IM228" s="53"/>
      <c r="IN228" s="53"/>
      <c r="IO228" s="53"/>
      <c r="IP228" s="53"/>
      <c r="IQ228" s="53"/>
      <c r="IR228" s="53"/>
      <c r="IS228" s="53"/>
      <c r="IT228" s="53"/>
      <c r="IU228" s="53"/>
      <c r="IV228" s="53"/>
      <c r="IW228" s="53"/>
      <c r="IX228" s="53"/>
      <c r="IY228" s="53"/>
      <c r="IZ228" s="53"/>
      <c r="JA228" s="53"/>
      <c r="JB228" s="53"/>
      <c r="JC228" s="53"/>
      <c r="JD228" s="53"/>
      <c r="JE228" s="53"/>
      <c r="JF228" s="53"/>
      <c r="JG228" s="53"/>
      <c r="JH228" s="53"/>
      <c r="JI228" s="53"/>
      <c r="JJ228" s="53"/>
      <c r="JK228" s="53"/>
      <c r="JL228" s="53"/>
      <c r="JM228" s="53"/>
      <c r="JN228" s="53"/>
      <c r="JO228" s="53"/>
      <c r="JP228" s="53"/>
      <c r="JQ228" s="53"/>
      <c r="JR228" s="53"/>
      <c r="JS228" s="53"/>
      <c r="JT228" s="53"/>
      <c r="JU228" s="53"/>
      <c r="JV228" s="53"/>
      <c r="JW228" s="53"/>
      <c r="JX228" s="53"/>
      <c r="JY228" s="53"/>
      <c r="JZ228" s="53"/>
      <c r="KA228" s="53"/>
      <c r="KB228" s="53"/>
      <c r="KC228" s="53"/>
      <c r="KD228" s="53"/>
      <c r="KE228" s="53"/>
      <c r="KF228" s="53"/>
      <c r="KG228" s="53"/>
      <c r="KH228" s="53"/>
      <c r="KI228" s="53"/>
      <c r="KJ228" s="53"/>
      <c r="KK228" s="53"/>
      <c r="KL228" s="53"/>
      <c r="KM228" s="53"/>
      <c r="KN228" s="53"/>
      <c r="KO228" s="53"/>
      <c r="KP228" s="53"/>
      <c r="KQ228" s="53"/>
      <c r="KR228" s="53"/>
      <c r="KS228" s="53"/>
      <c r="KT228" s="53"/>
      <c r="KU228" s="53"/>
      <c r="KV228" s="53"/>
      <c r="KW228" s="53"/>
      <c r="KX228" s="53"/>
      <c r="KY228" s="53"/>
      <c r="KZ228" s="53"/>
      <c r="LA228" s="53"/>
      <c r="LB228" s="53"/>
      <c r="LC228" s="53"/>
      <c r="LD228" s="53"/>
      <c r="LE228" s="53"/>
      <c r="LF228" s="53"/>
      <c r="LG228" s="53"/>
      <c r="LH228" s="53"/>
      <c r="LI228" s="53"/>
      <c r="LJ228" s="53"/>
      <c r="LK228" s="53"/>
      <c r="LL228" s="53"/>
      <c r="LM228" s="53"/>
      <c r="LN228" s="53"/>
      <c r="LO228" s="53"/>
      <c r="LP228" s="53"/>
      <c r="LQ228" s="53"/>
      <c r="LR228" s="53"/>
      <c r="LS228" s="53"/>
      <c r="LT228" s="53"/>
      <c r="LU228" s="53"/>
      <c r="LV228" s="53"/>
      <c r="LW228" s="53"/>
      <c r="LX228" s="53"/>
      <c r="LY228" s="53"/>
      <c r="LZ228" s="53"/>
      <c r="MA228" s="53"/>
      <c r="MB228" s="53"/>
      <c r="MC228" s="53"/>
      <c r="MD228" s="53"/>
      <c r="ME228" s="53"/>
      <c r="MF228" s="53"/>
      <c r="MG228" s="53"/>
      <c r="MH228" s="53"/>
      <c r="MI228" s="53"/>
      <c r="MJ228" s="53"/>
      <c r="MK228" s="53"/>
      <c r="ML228" s="53"/>
      <c r="MM228" s="53"/>
      <c r="MN228" s="53"/>
      <c r="MO228" s="53"/>
      <c r="MP228" s="53"/>
      <c r="MQ228" s="53"/>
      <c r="MR228" s="53"/>
      <c r="MS228" s="53"/>
      <c r="MT228" s="53"/>
      <c r="MU228" s="53"/>
      <c r="MV228" s="53"/>
      <c r="MW228" s="53"/>
      <c r="MX228" s="53"/>
      <c r="MY228" s="53"/>
      <c r="MZ228" s="53"/>
      <c r="NA228" s="53"/>
      <c r="NB228" s="53"/>
      <c r="NC228" s="53"/>
      <c r="ND228" s="53"/>
      <c r="NE228" s="53"/>
      <c r="NF228" s="53"/>
      <c r="NG228" s="53"/>
      <c r="NH228" s="53"/>
      <c r="NI228" s="53"/>
      <c r="NJ228" s="53"/>
      <c r="NK228" s="53"/>
      <c r="NL228" s="53"/>
      <c r="NM228" s="53"/>
      <c r="NN228" s="53"/>
      <c r="NO228" s="53"/>
      <c r="NP228" s="53"/>
      <c r="NQ228" s="53"/>
      <c r="NR228" s="53"/>
      <c r="NS228" s="53"/>
      <c r="NT228" s="53"/>
      <c r="NU228" s="53"/>
      <c r="NV228" s="53"/>
      <c r="NW228" s="53"/>
      <c r="NX228" s="53"/>
      <c r="NY228" s="53"/>
      <c r="NZ228" s="53"/>
      <c r="OA228" s="53"/>
      <c r="OB228" s="53"/>
      <c r="OC228" s="53"/>
      <c r="OD228" s="53"/>
      <c r="OE228" s="53"/>
      <c r="OF228" s="53"/>
      <c r="OG228" s="53"/>
      <c r="OH228" s="53"/>
      <c r="OI228" s="53"/>
      <c r="OJ228" s="53"/>
      <c r="OK228" s="53"/>
      <c r="OL228" s="53"/>
      <c r="OM228" s="53"/>
      <c r="ON228" s="53"/>
      <c r="OO228" s="53"/>
      <c r="OP228" s="53"/>
      <c r="OQ228" s="53"/>
      <c r="OR228" s="53"/>
      <c r="OS228" s="53"/>
      <c r="OT228" s="53"/>
      <c r="OU228" s="53"/>
      <c r="OV228" s="53"/>
      <c r="OW228" s="53"/>
      <c r="OX228" s="53"/>
      <c r="OY228" s="53"/>
      <c r="OZ228" s="53"/>
      <c r="PA228" s="53"/>
      <c r="PB228" s="53"/>
      <c r="PC228" s="53"/>
      <c r="PD228" s="53"/>
      <c r="PE228" s="53"/>
      <c r="PF228" s="53"/>
      <c r="PG228" s="53"/>
      <c r="PH228" s="53"/>
      <c r="PI228" s="53"/>
      <c r="PJ228" s="53"/>
      <c r="PK228" s="53"/>
      <c r="PL228" s="53"/>
      <c r="PM228" s="53"/>
      <c r="PN228" s="53"/>
      <c r="PO228" s="53"/>
      <c r="PP228" s="53"/>
      <c r="PQ228" s="53"/>
      <c r="PR228" s="53"/>
      <c r="PS228" s="53"/>
      <c r="PT228" s="53"/>
      <c r="PU228" s="53"/>
      <c r="PV228" s="53"/>
      <c r="PW228" s="53"/>
      <c r="PX228" s="53"/>
      <c r="PY228" s="53"/>
      <c r="PZ228" s="53"/>
      <c r="QA228" s="53"/>
      <c r="QB228" s="53"/>
      <c r="QC228" s="53"/>
      <c r="QD228" s="53"/>
      <c r="QE228" s="53"/>
      <c r="QF228" s="53"/>
      <c r="QG228" s="53"/>
      <c r="QH228" s="53"/>
      <c r="QI228" s="53"/>
      <c r="QJ228" s="53"/>
      <c r="QK228" s="53"/>
      <c r="QL228" s="53"/>
      <c r="QM228" s="53"/>
      <c r="QN228" s="53"/>
      <c r="QO228" s="53"/>
      <c r="QP228" s="53"/>
      <c r="QQ228" s="53"/>
      <c r="QR228" s="53"/>
      <c r="QS228" s="53"/>
      <c r="QT228" s="53"/>
      <c r="QU228" s="53"/>
      <c r="QV228" s="53"/>
      <c r="QW228" s="53"/>
      <c r="QX228" s="53"/>
      <c r="QY228" s="53"/>
      <c r="QZ228" s="53"/>
      <c r="RA228" s="53"/>
      <c r="RB228" s="53"/>
      <c r="RC228" s="53"/>
      <c r="RD228" s="53"/>
      <c r="RE228" s="53"/>
      <c r="RF228" s="53"/>
      <c r="RG228" s="53"/>
      <c r="RH228" s="53"/>
      <c r="RI228" s="53"/>
      <c r="RJ228" s="53"/>
      <c r="RK228" s="53"/>
      <c r="RL228" s="53"/>
      <c r="RM228" s="53"/>
      <c r="RN228" s="53"/>
      <c r="RO228" s="53"/>
      <c r="RP228" s="53"/>
      <c r="RQ228" s="53"/>
      <c r="RR228" s="53"/>
      <c r="RS228" s="53"/>
      <c r="RT228" s="53"/>
      <c r="RU228" s="53"/>
      <c r="RV228" s="53"/>
      <c r="RW228" s="53"/>
      <c r="RX228" s="53"/>
      <c r="RY228" s="53"/>
      <c r="RZ228" s="53"/>
      <c r="SA228" s="53"/>
      <c r="SB228" s="53"/>
      <c r="SC228" s="53"/>
      <c r="SD228" s="53"/>
      <c r="SE228" s="53"/>
      <c r="SF228" s="53"/>
      <c r="SG228" s="53"/>
      <c r="SH228" s="53"/>
      <c r="SI228" s="53"/>
      <c r="SJ228" s="53"/>
      <c r="SK228" s="53"/>
      <c r="SL228" s="53"/>
      <c r="SM228" s="53"/>
      <c r="SN228" s="53"/>
      <c r="SO228" s="53"/>
      <c r="SP228" s="53"/>
      <c r="SQ228" s="53"/>
      <c r="SR228" s="53"/>
      <c r="SS228" s="53"/>
      <c r="ST228" s="53"/>
      <c r="SU228" s="53"/>
      <c r="SV228" s="53"/>
      <c r="SW228" s="53"/>
      <c r="SX228" s="53"/>
      <c r="SY228" s="53"/>
      <c r="SZ228" s="53"/>
      <c r="TA228" s="53"/>
      <c r="TB228" s="53"/>
      <c r="TC228" s="53"/>
      <c r="TD228" s="53"/>
      <c r="TE228" s="53"/>
      <c r="TF228" s="53"/>
      <c r="TG228" s="53"/>
      <c r="TH228" s="53"/>
      <c r="TI228" s="53"/>
      <c r="TJ228" s="53"/>
      <c r="TK228" s="53"/>
      <c r="TL228" s="53"/>
      <c r="TM228" s="53"/>
      <c r="TN228" s="53"/>
      <c r="TO228" s="53"/>
      <c r="TP228" s="53"/>
      <c r="TQ228" s="53"/>
      <c r="TR228" s="53"/>
      <c r="TS228" s="53"/>
      <c r="TT228" s="53"/>
      <c r="TU228" s="53"/>
      <c r="TV228" s="53"/>
      <c r="TW228" s="53"/>
      <c r="TX228" s="53"/>
      <c r="TY228" s="53"/>
      <c r="TZ228" s="53"/>
      <c r="UA228" s="53"/>
      <c r="UB228" s="53"/>
      <c r="UC228" s="53"/>
      <c r="UD228" s="53"/>
      <c r="UE228" s="53"/>
      <c r="UF228" s="53"/>
      <c r="UG228" s="53"/>
      <c r="UH228" s="53"/>
      <c r="UI228" s="53"/>
      <c r="UJ228" s="53"/>
      <c r="UK228" s="53"/>
      <c r="UL228" s="53"/>
      <c r="UM228" s="53"/>
      <c r="UN228" s="53"/>
      <c r="UO228" s="53"/>
      <c r="UP228" s="53"/>
      <c r="UQ228" s="53"/>
      <c r="UR228" s="53"/>
      <c r="US228" s="53"/>
      <c r="UT228" s="53"/>
      <c r="UU228" s="53"/>
      <c r="UV228" s="53"/>
      <c r="UW228" s="53"/>
      <c r="UX228" s="53"/>
      <c r="UY228" s="53"/>
      <c r="UZ228" s="53"/>
      <c r="VA228" s="53"/>
      <c r="VB228" s="53"/>
      <c r="VC228" s="53"/>
      <c r="VD228" s="53"/>
      <c r="VE228" s="53"/>
      <c r="VF228" s="53"/>
      <c r="VG228" s="53"/>
      <c r="VH228" s="53"/>
      <c r="VI228" s="53"/>
      <c r="VJ228" s="53"/>
      <c r="VK228" s="53"/>
      <c r="VL228" s="53"/>
    </row>
    <row r="229" spans="1:584" s="47" customFormat="1" ht="26.25" customHeight="1" x14ac:dyDescent="0.25">
      <c r="A229" s="45" t="s">
        <v>266</v>
      </c>
      <c r="B229" s="91" t="str">
        <f>'дод 3'!A169</f>
        <v>7340</v>
      </c>
      <c r="C229" s="91" t="str">
        <f>'дод 3'!B169</f>
        <v>0443</v>
      </c>
      <c r="D229" s="48" t="str">
        <f>'дод 3'!C169</f>
        <v>Проектування, реставрація та охорона пам'яток архітектури</v>
      </c>
      <c r="E229" s="115">
        <v>0</v>
      </c>
      <c r="F229" s="115"/>
      <c r="G229" s="115"/>
      <c r="H229" s="115"/>
      <c r="I229" s="115"/>
      <c r="J229" s="115"/>
      <c r="K229" s="135"/>
      <c r="L229" s="115">
        <f t="shared" si="42"/>
        <v>100709</v>
      </c>
      <c r="M229" s="115">
        <f>3100000+3700000-3700000-1250000-1749291</f>
        <v>100709</v>
      </c>
      <c r="N229" s="115"/>
      <c r="O229" s="115"/>
      <c r="P229" s="115"/>
      <c r="Q229" s="115">
        <f>3100000+3700000-3700000-1250000-1749291</f>
        <v>100709</v>
      </c>
      <c r="R229" s="115">
        <f t="shared" si="61"/>
        <v>0</v>
      </c>
      <c r="S229" s="115"/>
      <c r="T229" s="115"/>
      <c r="U229" s="115"/>
      <c r="V229" s="115"/>
      <c r="W229" s="115"/>
      <c r="X229" s="166">
        <f t="shared" si="60"/>
        <v>0</v>
      </c>
      <c r="Y229" s="115">
        <f t="shared" si="69"/>
        <v>0</v>
      </c>
      <c r="Z229" s="187"/>
      <c r="AA229" s="53"/>
      <c r="AB229" s="53"/>
      <c r="AC229" s="53"/>
      <c r="AD229" s="53"/>
      <c r="AE229" s="79"/>
      <c r="AF229" s="79"/>
      <c r="AG229" s="79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  <c r="IL229" s="53"/>
      <c r="IM229" s="53"/>
      <c r="IN229" s="53"/>
      <c r="IO229" s="53"/>
      <c r="IP229" s="53"/>
      <c r="IQ229" s="53"/>
      <c r="IR229" s="53"/>
      <c r="IS229" s="53"/>
      <c r="IT229" s="53"/>
      <c r="IU229" s="53"/>
      <c r="IV229" s="53"/>
      <c r="IW229" s="53"/>
      <c r="IX229" s="53"/>
      <c r="IY229" s="53"/>
      <c r="IZ229" s="53"/>
      <c r="JA229" s="53"/>
      <c r="JB229" s="53"/>
      <c r="JC229" s="53"/>
      <c r="JD229" s="53"/>
      <c r="JE229" s="53"/>
      <c r="JF229" s="53"/>
      <c r="JG229" s="53"/>
      <c r="JH229" s="53"/>
      <c r="JI229" s="53"/>
      <c r="JJ229" s="53"/>
      <c r="JK229" s="53"/>
      <c r="JL229" s="53"/>
      <c r="JM229" s="53"/>
      <c r="JN229" s="53"/>
      <c r="JO229" s="53"/>
      <c r="JP229" s="53"/>
      <c r="JQ229" s="53"/>
      <c r="JR229" s="53"/>
      <c r="JS229" s="53"/>
      <c r="JT229" s="53"/>
      <c r="JU229" s="53"/>
      <c r="JV229" s="53"/>
      <c r="JW229" s="53"/>
      <c r="JX229" s="53"/>
      <c r="JY229" s="53"/>
      <c r="JZ229" s="53"/>
      <c r="KA229" s="53"/>
      <c r="KB229" s="53"/>
      <c r="KC229" s="53"/>
      <c r="KD229" s="53"/>
      <c r="KE229" s="53"/>
      <c r="KF229" s="53"/>
      <c r="KG229" s="53"/>
      <c r="KH229" s="53"/>
      <c r="KI229" s="53"/>
      <c r="KJ229" s="53"/>
      <c r="KK229" s="53"/>
      <c r="KL229" s="53"/>
      <c r="KM229" s="53"/>
      <c r="KN229" s="53"/>
      <c r="KO229" s="53"/>
      <c r="KP229" s="53"/>
      <c r="KQ229" s="53"/>
      <c r="KR229" s="53"/>
      <c r="KS229" s="53"/>
      <c r="KT229" s="53"/>
      <c r="KU229" s="53"/>
      <c r="KV229" s="53"/>
      <c r="KW229" s="53"/>
      <c r="KX229" s="53"/>
      <c r="KY229" s="53"/>
      <c r="KZ229" s="53"/>
      <c r="LA229" s="53"/>
      <c r="LB229" s="53"/>
      <c r="LC229" s="53"/>
      <c r="LD229" s="53"/>
      <c r="LE229" s="53"/>
      <c r="LF229" s="53"/>
      <c r="LG229" s="53"/>
      <c r="LH229" s="53"/>
      <c r="LI229" s="53"/>
      <c r="LJ229" s="53"/>
      <c r="LK229" s="53"/>
      <c r="LL229" s="53"/>
      <c r="LM229" s="53"/>
      <c r="LN229" s="53"/>
      <c r="LO229" s="53"/>
      <c r="LP229" s="53"/>
      <c r="LQ229" s="53"/>
      <c r="LR229" s="53"/>
      <c r="LS229" s="53"/>
      <c r="LT229" s="53"/>
      <c r="LU229" s="53"/>
      <c r="LV229" s="53"/>
      <c r="LW229" s="53"/>
      <c r="LX229" s="53"/>
      <c r="LY229" s="53"/>
      <c r="LZ229" s="53"/>
      <c r="MA229" s="53"/>
      <c r="MB229" s="53"/>
      <c r="MC229" s="53"/>
      <c r="MD229" s="53"/>
      <c r="ME229" s="53"/>
      <c r="MF229" s="53"/>
      <c r="MG229" s="53"/>
      <c r="MH229" s="53"/>
      <c r="MI229" s="53"/>
      <c r="MJ229" s="53"/>
      <c r="MK229" s="53"/>
      <c r="ML229" s="53"/>
      <c r="MM229" s="53"/>
      <c r="MN229" s="53"/>
      <c r="MO229" s="53"/>
      <c r="MP229" s="53"/>
      <c r="MQ229" s="53"/>
      <c r="MR229" s="53"/>
      <c r="MS229" s="53"/>
      <c r="MT229" s="53"/>
      <c r="MU229" s="53"/>
      <c r="MV229" s="53"/>
      <c r="MW229" s="53"/>
      <c r="MX229" s="53"/>
      <c r="MY229" s="53"/>
      <c r="MZ229" s="53"/>
      <c r="NA229" s="53"/>
      <c r="NB229" s="53"/>
      <c r="NC229" s="53"/>
      <c r="ND229" s="53"/>
      <c r="NE229" s="53"/>
      <c r="NF229" s="53"/>
      <c r="NG229" s="53"/>
      <c r="NH229" s="53"/>
      <c r="NI229" s="53"/>
      <c r="NJ229" s="53"/>
      <c r="NK229" s="53"/>
      <c r="NL229" s="53"/>
      <c r="NM229" s="53"/>
      <c r="NN229" s="53"/>
      <c r="NO229" s="53"/>
      <c r="NP229" s="53"/>
      <c r="NQ229" s="53"/>
      <c r="NR229" s="53"/>
      <c r="NS229" s="53"/>
      <c r="NT229" s="53"/>
      <c r="NU229" s="53"/>
      <c r="NV229" s="53"/>
      <c r="NW229" s="53"/>
      <c r="NX229" s="53"/>
      <c r="NY229" s="53"/>
      <c r="NZ229" s="53"/>
      <c r="OA229" s="53"/>
      <c r="OB229" s="53"/>
      <c r="OC229" s="53"/>
      <c r="OD229" s="53"/>
      <c r="OE229" s="53"/>
      <c r="OF229" s="53"/>
      <c r="OG229" s="53"/>
      <c r="OH229" s="53"/>
      <c r="OI229" s="53"/>
      <c r="OJ229" s="53"/>
      <c r="OK229" s="53"/>
      <c r="OL229" s="53"/>
      <c r="OM229" s="53"/>
      <c r="ON229" s="53"/>
      <c r="OO229" s="53"/>
      <c r="OP229" s="53"/>
      <c r="OQ229" s="53"/>
      <c r="OR229" s="53"/>
      <c r="OS229" s="53"/>
      <c r="OT229" s="53"/>
      <c r="OU229" s="53"/>
      <c r="OV229" s="53"/>
      <c r="OW229" s="53"/>
      <c r="OX229" s="53"/>
      <c r="OY229" s="53"/>
      <c r="OZ229" s="53"/>
      <c r="PA229" s="53"/>
      <c r="PB229" s="53"/>
      <c r="PC229" s="53"/>
      <c r="PD229" s="53"/>
      <c r="PE229" s="53"/>
      <c r="PF229" s="53"/>
      <c r="PG229" s="53"/>
      <c r="PH229" s="53"/>
      <c r="PI229" s="53"/>
      <c r="PJ229" s="53"/>
      <c r="PK229" s="53"/>
      <c r="PL229" s="53"/>
      <c r="PM229" s="53"/>
      <c r="PN229" s="53"/>
      <c r="PO229" s="53"/>
      <c r="PP229" s="53"/>
      <c r="PQ229" s="53"/>
      <c r="PR229" s="53"/>
      <c r="PS229" s="53"/>
      <c r="PT229" s="53"/>
      <c r="PU229" s="53"/>
      <c r="PV229" s="53"/>
      <c r="PW229" s="53"/>
      <c r="PX229" s="53"/>
      <c r="PY229" s="53"/>
      <c r="PZ229" s="53"/>
      <c r="QA229" s="53"/>
      <c r="QB229" s="53"/>
      <c r="QC229" s="53"/>
      <c r="QD229" s="53"/>
      <c r="QE229" s="53"/>
      <c r="QF229" s="53"/>
      <c r="QG229" s="53"/>
      <c r="QH229" s="53"/>
      <c r="QI229" s="53"/>
      <c r="QJ229" s="53"/>
      <c r="QK229" s="53"/>
      <c r="QL229" s="53"/>
      <c r="QM229" s="53"/>
      <c r="QN229" s="53"/>
      <c r="QO229" s="53"/>
      <c r="QP229" s="53"/>
      <c r="QQ229" s="53"/>
      <c r="QR229" s="53"/>
      <c r="QS229" s="53"/>
      <c r="QT229" s="53"/>
      <c r="QU229" s="53"/>
      <c r="QV229" s="53"/>
      <c r="QW229" s="53"/>
      <c r="QX229" s="53"/>
      <c r="QY229" s="53"/>
      <c r="QZ229" s="53"/>
      <c r="RA229" s="53"/>
      <c r="RB229" s="53"/>
      <c r="RC229" s="53"/>
      <c r="RD229" s="53"/>
      <c r="RE229" s="53"/>
      <c r="RF229" s="53"/>
      <c r="RG229" s="53"/>
      <c r="RH229" s="53"/>
      <c r="RI229" s="53"/>
      <c r="RJ229" s="53"/>
      <c r="RK229" s="53"/>
      <c r="RL229" s="53"/>
      <c r="RM229" s="53"/>
      <c r="RN229" s="53"/>
      <c r="RO229" s="53"/>
      <c r="RP229" s="53"/>
      <c r="RQ229" s="53"/>
      <c r="RR229" s="53"/>
      <c r="RS229" s="53"/>
      <c r="RT229" s="53"/>
      <c r="RU229" s="53"/>
      <c r="RV229" s="53"/>
      <c r="RW229" s="53"/>
      <c r="RX229" s="53"/>
      <c r="RY229" s="53"/>
      <c r="RZ229" s="53"/>
      <c r="SA229" s="53"/>
      <c r="SB229" s="53"/>
      <c r="SC229" s="53"/>
      <c r="SD229" s="53"/>
      <c r="SE229" s="53"/>
      <c r="SF229" s="53"/>
      <c r="SG229" s="53"/>
      <c r="SH229" s="53"/>
      <c r="SI229" s="53"/>
      <c r="SJ229" s="53"/>
      <c r="SK229" s="53"/>
      <c r="SL229" s="53"/>
      <c r="SM229" s="53"/>
      <c r="SN229" s="53"/>
      <c r="SO229" s="53"/>
      <c r="SP229" s="53"/>
      <c r="SQ229" s="53"/>
      <c r="SR229" s="53"/>
      <c r="SS229" s="53"/>
      <c r="ST229" s="53"/>
      <c r="SU229" s="53"/>
      <c r="SV229" s="53"/>
      <c r="SW229" s="53"/>
      <c r="SX229" s="53"/>
      <c r="SY229" s="53"/>
      <c r="SZ229" s="53"/>
      <c r="TA229" s="53"/>
      <c r="TB229" s="53"/>
      <c r="TC229" s="53"/>
      <c r="TD229" s="53"/>
      <c r="TE229" s="53"/>
      <c r="TF229" s="53"/>
      <c r="TG229" s="53"/>
      <c r="TH229" s="53"/>
      <c r="TI229" s="53"/>
      <c r="TJ229" s="53"/>
      <c r="TK229" s="53"/>
      <c r="TL229" s="53"/>
      <c r="TM229" s="53"/>
      <c r="TN229" s="53"/>
      <c r="TO229" s="53"/>
      <c r="TP229" s="53"/>
      <c r="TQ229" s="53"/>
      <c r="TR229" s="53"/>
      <c r="TS229" s="53"/>
      <c r="TT229" s="53"/>
      <c r="TU229" s="53"/>
      <c r="TV229" s="53"/>
      <c r="TW229" s="53"/>
      <c r="TX229" s="53"/>
      <c r="TY229" s="53"/>
      <c r="TZ229" s="53"/>
      <c r="UA229" s="53"/>
      <c r="UB229" s="53"/>
      <c r="UC229" s="53"/>
      <c r="UD229" s="53"/>
      <c r="UE229" s="53"/>
      <c r="UF229" s="53"/>
      <c r="UG229" s="53"/>
      <c r="UH229" s="53"/>
      <c r="UI229" s="53"/>
      <c r="UJ229" s="53"/>
      <c r="UK229" s="53"/>
      <c r="UL229" s="53"/>
      <c r="UM229" s="53"/>
      <c r="UN229" s="53"/>
      <c r="UO229" s="53"/>
      <c r="UP229" s="53"/>
      <c r="UQ229" s="53"/>
      <c r="UR229" s="53"/>
      <c r="US229" s="53"/>
      <c r="UT229" s="53"/>
      <c r="UU229" s="53"/>
      <c r="UV229" s="53"/>
      <c r="UW229" s="53"/>
      <c r="UX229" s="53"/>
      <c r="UY229" s="53"/>
      <c r="UZ229" s="53"/>
      <c r="VA229" s="53"/>
      <c r="VB229" s="53"/>
      <c r="VC229" s="53"/>
      <c r="VD229" s="53"/>
      <c r="VE229" s="53"/>
      <c r="VF229" s="53"/>
      <c r="VG229" s="53"/>
      <c r="VH229" s="53"/>
      <c r="VI229" s="53"/>
      <c r="VJ229" s="53"/>
      <c r="VK229" s="53"/>
      <c r="VL229" s="53"/>
    </row>
    <row r="230" spans="1:584" s="47" customFormat="1" ht="45" x14ac:dyDescent="0.25">
      <c r="A230" s="45" t="s">
        <v>511</v>
      </c>
      <c r="B230" s="91" t="str">
        <f>'дод 3'!A171</f>
        <v>7361</v>
      </c>
      <c r="C230" s="91" t="str">
        <f>'дод 3'!B171</f>
        <v>0490</v>
      </c>
      <c r="D230" s="48" t="str">
        <f>'дод 3'!C171</f>
        <v>Співфінансування інвестиційних проектів, що реалізуються за рахунок коштів державного фонду регіонального розвитку</v>
      </c>
      <c r="E230" s="115">
        <v>0</v>
      </c>
      <c r="F230" s="115"/>
      <c r="G230" s="115"/>
      <c r="H230" s="115"/>
      <c r="I230" s="115"/>
      <c r="J230" s="115"/>
      <c r="K230" s="135"/>
      <c r="L230" s="115">
        <f t="shared" si="42"/>
        <v>12489763.43</v>
      </c>
      <c r="M230" s="115">
        <f>12569763.43-80000</f>
        <v>12489763.43</v>
      </c>
      <c r="N230" s="115"/>
      <c r="O230" s="115"/>
      <c r="P230" s="115"/>
      <c r="Q230" s="115">
        <f>12569763.43-80000</f>
        <v>12489763.43</v>
      </c>
      <c r="R230" s="115">
        <f t="shared" si="61"/>
        <v>9456299.0199999996</v>
      </c>
      <c r="S230" s="115">
        <v>9456299.0199999996</v>
      </c>
      <c r="T230" s="115"/>
      <c r="U230" s="115"/>
      <c r="V230" s="115"/>
      <c r="W230" s="115">
        <v>9456299.0199999996</v>
      </c>
      <c r="X230" s="166">
        <f t="shared" si="60"/>
        <v>75.712394978485193</v>
      </c>
      <c r="Y230" s="115">
        <f t="shared" si="69"/>
        <v>9456299.0199999996</v>
      </c>
      <c r="Z230" s="187"/>
      <c r="AA230" s="53"/>
      <c r="AB230" s="53"/>
      <c r="AC230" s="53"/>
      <c r="AD230" s="53"/>
      <c r="AE230" s="79"/>
      <c r="AF230" s="79"/>
      <c r="AG230" s="79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  <c r="IK230" s="53"/>
      <c r="IL230" s="53"/>
      <c r="IM230" s="53"/>
      <c r="IN230" s="53"/>
      <c r="IO230" s="53"/>
      <c r="IP230" s="53"/>
      <c r="IQ230" s="53"/>
      <c r="IR230" s="53"/>
      <c r="IS230" s="53"/>
      <c r="IT230" s="53"/>
      <c r="IU230" s="53"/>
      <c r="IV230" s="53"/>
      <c r="IW230" s="53"/>
      <c r="IX230" s="53"/>
      <c r="IY230" s="53"/>
      <c r="IZ230" s="53"/>
      <c r="JA230" s="53"/>
      <c r="JB230" s="53"/>
      <c r="JC230" s="53"/>
      <c r="JD230" s="53"/>
      <c r="JE230" s="53"/>
      <c r="JF230" s="53"/>
      <c r="JG230" s="53"/>
      <c r="JH230" s="53"/>
      <c r="JI230" s="53"/>
      <c r="JJ230" s="53"/>
      <c r="JK230" s="53"/>
      <c r="JL230" s="53"/>
      <c r="JM230" s="53"/>
      <c r="JN230" s="53"/>
      <c r="JO230" s="53"/>
      <c r="JP230" s="53"/>
      <c r="JQ230" s="53"/>
      <c r="JR230" s="53"/>
      <c r="JS230" s="53"/>
      <c r="JT230" s="53"/>
      <c r="JU230" s="53"/>
      <c r="JV230" s="53"/>
      <c r="JW230" s="53"/>
      <c r="JX230" s="53"/>
      <c r="JY230" s="53"/>
      <c r="JZ230" s="53"/>
      <c r="KA230" s="53"/>
      <c r="KB230" s="53"/>
      <c r="KC230" s="53"/>
      <c r="KD230" s="53"/>
      <c r="KE230" s="53"/>
      <c r="KF230" s="53"/>
      <c r="KG230" s="53"/>
      <c r="KH230" s="53"/>
      <c r="KI230" s="53"/>
      <c r="KJ230" s="53"/>
      <c r="KK230" s="53"/>
      <c r="KL230" s="53"/>
      <c r="KM230" s="53"/>
      <c r="KN230" s="53"/>
      <c r="KO230" s="53"/>
      <c r="KP230" s="53"/>
      <c r="KQ230" s="53"/>
      <c r="KR230" s="53"/>
      <c r="KS230" s="53"/>
      <c r="KT230" s="53"/>
      <c r="KU230" s="53"/>
      <c r="KV230" s="53"/>
      <c r="KW230" s="53"/>
      <c r="KX230" s="53"/>
      <c r="KY230" s="53"/>
      <c r="KZ230" s="53"/>
      <c r="LA230" s="53"/>
      <c r="LB230" s="53"/>
      <c r="LC230" s="53"/>
      <c r="LD230" s="53"/>
      <c r="LE230" s="53"/>
      <c r="LF230" s="53"/>
      <c r="LG230" s="53"/>
      <c r="LH230" s="53"/>
      <c r="LI230" s="53"/>
      <c r="LJ230" s="53"/>
      <c r="LK230" s="53"/>
      <c r="LL230" s="53"/>
      <c r="LM230" s="53"/>
      <c r="LN230" s="53"/>
      <c r="LO230" s="53"/>
      <c r="LP230" s="53"/>
      <c r="LQ230" s="53"/>
      <c r="LR230" s="53"/>
      <c r="LS230" s="53"/>
      <c r="LT230" s="53"/>
      <c r="LU230" s="53"/>
      <c r="LV230" s="53"/>
      <c r="LW230" s="53"/>
      <c r="LX230" s="53"/>
      <c r="LY230" s="53"/>
      <c r="LZ230" s="53"/>
      <c r="MA230" s="53"/>
      <c r="MB230" s="53"/>
      <c r="MC230" s="53"/>
      <c r="MD230" s="53"/>
      <c r="ME230" s="53"/>
      <c r="MF230" s="53"/>
      <c r="MG230" s="53"/>
      <c r="MH230" s="53"/>
      <c r="MI230" s="53"/>
      <c r="MJ230" s="53"/>
      <c r="MK230" s="53"/>
      <c r="ML230" s="53"/>
      <c r="MM230" s="53"/>
      <c r="MN230" s="53"/>
      <c r="MO230" s="53"/>
      <c r="MP230" s="53"/>
      <c r="MQ230" s="53"/>
      <c r="MR230" s="53"/>
      <c r="MS230" s="53"/>
      <c r="MT230" s="53"/>
      <c r="MU230" s="53"/>
      <c r="MV230" s="53"/>
      <c r="MW230" s="53"/>
      <c r="MX230" s="53"/>
      <c r="MY230" s="53"/>
      <c r="MZ230" s="53"/>
      <c r="NA230" s="53"/>
      <c r="NB230" s="53"/>
      <c r="NC230" s="53"/>
      <c r="ND230" s="53"/>
      <c r="NE230" s="53"/>
      <c r="NF230" s="53"/>
      <c r="NG230" s="53"/>
      <c r="NH230" s="53"/>
      <c r="NI230" s="53"/>
      <c r="NJ230" s="53"/>
      <c r="NK230" s="53"/>
      <c r="NL230" s="53"/>
      <c r="NM230" s="53"/>
      <c r="NN230" s="53"/>
      <c r="NO230" s="53"/>
      <c r="NP230" s="53"/>
      <c r="NQ230" s="53"/>
      <c r="NR230" s="53"/>
      <c r="NS230" s="53"/>
      <c r="NT230" s="53"/>
      <c r="NU230" s="53"/>
      <c r="NV230" s="53"/>
      <c r="NW230" s="53"/>
      <c r="NX230" s="53"/>
      <c r="NY230" s="53"/>
      <c r="NZ230" s="53"/>
      <c r="OA230" s="53"/>
      <c r="OB230" s="53"/>
      <c r="OC230" s="53"/>
      <c r="OD230" s="53"/>
      <c r="OE230" s="53"/>
      <c r="OF230" s="53"/>
      <c r="OG230" s="53"/>
      <c r="OH230" s="53"/>
      <c r="OI230" s="53"/>
      <c r="OJ230" s="53"/>
      <c r="OK230" s="53"/>
      <c r="OL230" s="53"/>
      <c r="OM230" s="53"/>
      <c r="ON230" s="53"/>
      <c r="OO230" s="53"/>
      <c r="OP230" s="53"/>
      <c r="OQ230" s="53"/>
      <c r="OR230" s="53"/>
      <c r="OS230" s="53"/>
      <c r="OT230" s="53"/>
      <c r="OU230" s="53"/>
      <c r="OV230" s="53"/>
      <c r="OW230" s="53"/>
      <c r="OX230" s="53"/>
      <c r="OY230" s="53"/>
      <c r="OZ230" s="53"/>
      <c r="PA230" s="53"/>
      <c r="PB230" s="53"/>
      <c r="PC230" s="53"/>
      <c r="PD230" s="53"/>
      <c r="PE230" s="53"/>
      <c r="PF230" s="53"/>
      <c r="PG230" s="53"/>
      <c r="PH230" s="53"/>
      <c r="PI230" s="53"/>
      <c r="PJ230" s="53"/>
      <c r="PK230" s="53"/>
      <c r="PL230" s="53"/>
      <c r="PM230" s="53"/>
      <c r="PN230" s="53"/>
      <c r="PO230" s="53"/>
      <c r="PP230" s="53"/>
      <c r="PQ230" s="53"/>
      <c r="PR230" s="53"/>
      <c r="PS230" s="53"/>
      <c r="PT230" s="53"/>
      <c r="PU230" s="53"/>
      <c r="PV230" s="53"/>
      <c r="PW230" s="53"/>
      <c r="PX230" s="53"/>
      <c r="PY230" s="53"/>
      <c r="PZ230" s="53"/>
      <c r="QA230" s="53"/>
      <c r="QB230" s="53"/>
      <c r="QC230" s="53"/>
      <c r="QD230" s="53"/>
      <c r="QE230" s="53"/>
      <c r="QF230" s="53"/>
      <c r="QG230" s="53"/>
      <c r="QH230" s="53"/>
      <c r="QI230" s="53"/>
      <c r="QJ230" s="53"/>
      <c r="QK230" s="53"/>
      <c r="QL230" s="53"/>
      <c r="QM230" s="53"/>
      <c r="QN230" s="53"/>
      <c r="QO230" s="53"/>
      <c r="QP230" s="53"/>
      <c r="QQ230" s="53"/>
      <c r="QR230" s="53"/>
      <c r="QS230" s="53"/>
      <c r="QT230" s="53"/>
      <c r="QU230" s="53"/>
      <c r="QV230" s="53"/>
      <c r="QW230" s="53"/>
      <c r="QX230" s="53"/>
      <c r="QY230" s="53"/>
      <c r="QZ230" s="53"/>
      <c r="RA230" s="53"/>
      <c r="RB230" s="53"/>
      <c r="RC230" s="53"/>
      <c r="RD230" s="53"/>
      <c r="RE230" s="53"/>
      <c r="RF230" s="53"/>
      <c r="RG230" s="53"/>
      <c r="RH230" s="53"/>
      <c r="RI230" s="53"/>
      <c r="RJ230" s="53"/>
      <c r="RK230" s="53"/>
      <c r="RL230" s="53"/>
      <c r="RM230" s="53"/>
      <c r="RN230" s="53"/>
      <c r="RO230" s="53"/>
      <c r="RP230" s="53"/>
      <c r="RQ230" s="53"/>
      <c r="RR230" s="53"/>
      <c r="RS230" s="53"/>
      <c r="RT230" s="53"/>
      <c r="RU230" s="53"/>
      <c r="RV230" s="53"/>
      <c r="RW230" s="53"/>
      <c r="RX230" s="53"/>
      <c r="RY230" s="53"/>
      <c r="RZ230" s="53"/>
      <c r="SA230" s="53"/>
      <c r="SB230" s="53"/>
      <c r="SC230" s="53"/>
      <c r="SD230" s="53"/>
      <c r="SE230" s="53"/>
      <c r="SF230" s="53"/>
      <c r="SG230" s="53"/>
      <c r="SH230" s="53"/>
      <c r="SI230" s="53"/>
      <c r="SJ230" s="53"/>
      <c r="SK230" s="53"/>
      <c r="SL230" s="53"/>
      <c r="SM230" s="53"/>
      <c r="SN230" s="53"/>
      <c r="SO230" s="53"/>
      <c r="SP230" s="53"/>
      <c r="SQ230" s="53"/>
      <c r="SR230" s="53"/>
      <c r="SS230" s="53"/>
      <c r="ST230" s="53"/>
      <c r="SU230" s="53"/>
      <c r="SV230" s="53"/>
      <c r="SW230" s="53"/>
      <c r="SX230" s="53"/>
      <c r="SY230" s="53"/>
      <c r="SZ230" s="53"/>
      <c r="TA230" s="53"/>
      <c r="TB230" s="53"/>
      <c r="TC230" s="53"/>
      <c r="TD230" s="53"/>
      <c r="TE230" s="53"/>
      <c r="TF230" s="53"/>
      <c r="TG230" s="53"/>
      <c r="TH230" s="53"/>
      <c r="TI230" s="53"/>
      <c r="TJ230" s="53"/>
      <c r="TK230" s="53"/>
      <c r="TL230" s="53"/>
      <c r="TM230" s="53"/>
      <c r="TN230" s="53"/>
      <c r="TO230" s="53"/>
      <c r="TP230" s="53"/>
      <c r="TQ230" s="53"/>
      <c r="TR230" s="53"/>
      <c r="TS230" s="53"/>
      <c r="TT230" s="53"/>
      <c r="TU230" s="53"/>
      <c r="TV230" s="53"/>
      <c r="TW230" s="53"/>
      <c r="TX230" s="53"/>
      <c r="TY230" s="53"/>
      <c r="TZ230" s="53"/>
      <c r="UA230" s="53"/>
      <c r="UB230" s="53"/>
      <c r="UC230" s="53"/>
      <c r="UD230" s="53"/>
      <c r="UE230" s="53"/>
      <c r="UF230" s="53"/>
      <c r="UG230" s="53"/>
      <c r="UH230" s="53"/>
      <c r="UI230" s="53"/>
      <c r="UJ230" s="53"/>
      <c r="UK230" s="53"/>
      <c r="UL230" s="53"/>
      <c r="UM230" s="53"/>
      <c r="UN230" s="53"/>
      <c r="UO230" s="53"/>
      <c r="UP230" s="53"/>
      <c r="UQ230" s="53"/>
      <c r="UR230" s="53"/>
      <c r="US230" s="53"/>
      <c r="UT230" s="53"/>
      <c r="UU230" s="53"/>
      <c r="UV230" s="53"/>
      <c r="UW230" s="53"/>
      <c r="UX230" s="53"/>
      <c r="UY230" s="53"/>
      <c r="UZ230" s="53"/>
      <c r="VA230" s="53"/>
      <c r="VB230" s="53"/>
      <c r="VC230" s="53"/>
      <c r="VD230" s="53"/>
      <c r="VE230" s="53"/>
      <c r="VF230" s="53"/>
      <c r="VG230" s="53"/>
      <c r="VH230" s="53"/>
      <c r="VI230" s="53"/>
      <c r="VJ230" s="53"/>
      <c r="VK230" s="53"/>
      <c r="VL230" s="53"/>
    </row>
    <row r="231" spans="1:584" s="47" customFormat="1" ht="38.25" customHeight="1" x14ac:dyDescent="0.25">
      <c r="A231" s="91" t="s">
        <v>504</v>
      </c>
      <c r="B231" s="91" t="str">
        <f>'дод 3'!A172</f>
        <v>7363</v>
      </c>
      <c r="C231" s="91" t="str">
        <f>'дод 3'!B172</f>
        <v>0490</v>
      </c>
      <c r="D231" s="48" t="str">
        <f>'дод 3'!C172</f>
        <v>Виконання інвестиційних проектів в рамках здійснення заходів щодо соціально-економічного розвитку окремих територій</v>
      </c>
      <c r="E231" s="115">
        <v>0</v>
      </c>
      <c r="F231" s="115"/>
      <c r="G231" s="115"/>
      <c r="H231" s="115"/>
      <c r="I231" s="115"/>
      <c r="J231" s="115"/>
      <c r="K231" s="135"/>
      <c r="L231" s="115">
        <f t="shared" si="42"/>
        <v>32277855.820000008</v>
      </c>
      <c r="M231" s="115">
        <f>7308614.43+53472.74+11064300+15155075.88+495705.2-7308614.43+5123000+1660000-1273698</f>
        <v>32277855.820000008</v>
      </c>
      <c r="N231" s="115"/>
      <c r="O231" s="115"/>
      <c r="P231" s="115"/>
      <c r="Q231" s="115">
        <f>7308614.43+53472.74+11064300+15155075.88+495705.2-7308614.43+5123000+1660000-1273698</f>
        <v>32277855.820000008</v>
      </c>
      <c r="R231" s="115">
        <f t="shared" si="61"/>
        <v>31122874.079999998</v>
      </c>
      <c r="S231" s="115">
        <v>31122874.079999998</v>
      </c>
      <c r="T231" s="115"/>
      <c r="U231" s="115"/>
      <c r="V231" s="115"/>
      <c r="W231" s="115">
        <v>31122874.079999998</v>
      </c>
      <c r="X231" s="166">
        <f t="shared" si="60"/>
        <v>96.421751970016672</v>
      </c>
      <c r="Y231" s="115">
        <f t="shared" si="69"/>
        <v>31122874.079999998</v>
      </c>
      <c r="Z231" s="187"/>
      <c r="AA231" s="53"/>
      <c r="AB231" s="53"/>
      <c r="AC231" s="53"/>
      <c r="AD231" s="53"/>
      <c r="AE231" s="79"/>
      <c r="AF231" s="79"/>
      <c r="AG231" s="79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3"/>
      <c r="HI231" s="53"/>
      <c r="HJ231" s="53"/>
      <c r="HK231" s="53"/>
      <c r="HL231" s="53"/>
      <c r="HM231" s="53"/>
      <c r="HN231" s="53"/>
      <c r="HO231" s="53"/>
      <c r="HP231" s="53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  <c r="IE231" s="53"/>
      <c r="IF231" s="53"/>
      <c r="IG231" s="53"/>
      <c r="IH231" s="53"/>
      <c r="II231" s="53"/>
      <c r="IJ231" s="53"/>
      <c r="IK231" s="53"/>
      <c r="IL231" s="53"/>
      <c r="IM231" s="53"/>
      <c r="IN231" s="53"/>
      <c r="IO231" s="53"/>
      <c r="IP231" s="53"/>
      <c r="IQ231" s="53"/>
      <c r="IR231" s="53"/>
      <c r="IS231" s="53"/>
      <c r="IT231" s="53"/>
      <c r="IU231" s="53"/>
      <c r="IV231" s="53"/>
      <c r="IW231" s="53"/>
      <c r="IX231" s="53"/>
      <c r="IY231" s="53"/>
      <c r="IZ231" s="53"/>
      <c r="JA231" s="53"/>
      <c r="JB231" s="53"/>
      <c r="JC231" s="53"/>
      <c r="JD231" s="53"/>
      <c r="JE231" s="53"/>
      <c r="JF231" s="53"/>
      <c r="JG231" s="53"/>
      <c r="JH231" s="53"/>
      <c r="JI231" s="53"/>
      <c r="JJ231" s="53"/>
      <c r="JK231" s="53"/>
      <c r="JL231" s="53"/>
      <c r="JM231" s="53"/>
      <c r="JN231" s="53"/>
      <c r="JO231" s="53"/>
      <c r="JP231" s="53"/>
      <c r="JQ231" s="53"/>
      <c r="JR231" s="53"/>
      <c r="JS231" s="53"/>
      <c r="JT231" s="53"/>
      <c r="JU231" s="53"/>
      <c r="JV231" s="53"/>
      <c r="JW231" s="53"/>
      <c r="JX231" s="53"/>
      <c r="JY231" s="53"/>
      <c r="JZ231" s="53"/>
      <c r="KA231" s="53"/>
      <c r="KB231" s="53"/>
      <c r="KC231" s="53"/>
      <c r="KD231" s="53"/>
      <c r="KE231" s="53"/>
      <c r="KF231" s="53"/>
      <c r="KG231" s="53"/>
      <c r="KH231" s="53"/>
      <c r="KI231" s="53"/>
      <c r="KJ231" s="53"/>
      <c r="KK231" s="53"/>
      <c r="KL231" s="53"/>
      <c r="KM231" s="53"/>
      <c r="KN231" s="53"/>
      <c r="KO231" s="53"/>
      <c r="KP231" s="53"/>
      <c r="KQ231" s="53"/>
      <c r="KR231" s="53"/>
      <c r="KS231" s="53"/>
      <c r="KT231" s="53"/>
      <c r="KU231" s="53"/>
      <c r="KV231" s="53"/>
      <c r="KW231" s="53"/>
      <c r="KX231" s="53"/>
      <c r="KY231" s="53"/>
      <c r="KZ231" s="53"/>
      <c r="LA231" s="53"/>
      <c r="LB231" s="53"/>
      <c r="LC231" s="53"/>
      <c r="LD231" s="53"/>
      <c r="LE231" s="53"/>
      <c r="LF231" s="53"/>
      <c r="LG231" s="53"/>
      <c r="LH231" s="53"/>
      <c r="LI231" s="53"/>
      <c r="LJ231" s="53"/>
      <c r="LK231" s="53"/>
      <c r="LL231" s="53"/>
      <c r="LM231" s="53"/>
      <c r="LN231" s="53"/>
      <c r="LO231" s="53"/>
      <c r="LP231" s="53"/>
      <c r="LQ231" s="53"/>
      <c r="LR231" s="53"/>
      <c r="LS231" s="53"/>
      <c r="LT231" s="53"/>
      <c r="LU231" s="53"/>
      <c r="LV231" s="53"/>
      <c r="LW231" s="53"/>
      <c r="LX231" s="53"/>
      <c r="LY231" s="53"/>
      <c r="LZ231" s="53"/>
      <c r="MA231" s="53"/>
      <c r="MB231" s="53"/>
      <c r="MC231" s="53"/>
      <c r="MD231" s="53"/>
      <c r="ME231" s="53"/>
      <c r="MF231" s="53"/>
      <c r="MG231" s="53"/>
      <c r="MH231" s="53"/>
      <c r="MI231" s="53"/>
      <c r="MJ231" s="53"/>
      <c r="MK231" s="53"/>
      <c r="ML231" s="53"/>
      <c r="MM231" s="53"/>
      <c r="MN231" s="53"/>
      <c r="MO231" s="53"/>
      <c r="MP231" s="53"/>
      <c r="MQ231" s="53"/>
      <c r="MR231" s="53"/>
      <c r="MS231" s="53"/>
      <c r="MT231" s="53"/>
      <c r="MU231" s="53"/>
      <c r="MV231" s="53"/>
      <c r="MW231" s="53"/>
      <c r="MX231" s="53"/>
      <c r="MY231" s="53"/>
      <c r="MZ231" s="53"/>
      <c r="NA231" s="53"/>
      <c r="NB231" s="53"/>
      <c r="NC231" s="53"/>
      <c r="ND231" s="53"/>
      <c r="NE231" s="53"/>
      <c r="NF231" s="53"/>
      <c r="NG231" s="53"/>
      <c r="NH231" s="53"/>
      <c r="NI231" s="53"/>
      <c r="NJ231" s="53"/>
      <c r="NK231" s="53"/>
      <c r="NL231" s="53"/>
      <c r="NM231" s="53"/>
      <c r="NN231" s="53"/>
      <c r="NO231" s="53"/>
      <c r="NP231" s="53"/>
      <c r="NQ231" s="53"/>
      <c r="NR231" s="53"/>
      <c r="NS231" s="53"/>
      <c r="NT231" s="53"/>
      <c r="NU231" s="53"/>
      <c r="NV231" s="53"/>
      <c r="NW231" s="53"/>
      <c r="NX231" s="53"/>
      <c r="NY231" s="53"/>
      <c r="NZ231" s="53"/>
      <c r="OA231" s="53"/>
      <c r="OB231" s="53"/>
      <c r="OC231" s="53"/>
      <c r="OD231" s="53"/>
      <c r="OE231" s="53"/>
      <c r="OF231" s="53"/>
      <c r="OG231" s="53"/>
      <c r="OH231" s="53"/>
      <c r="OI231" s="53"/>
      <c r="OJ231" s="53"/>
      <c r="OK231" s="53"/>
      <c r="OL231" s="53"/>
      <c r="OM231" s="53"/>
      <c r="ON231" s="53"/>
      <c r="OO231" s="53"/>
      <c r="OP231" s="53"/>
      <c r="OQ231" s="53"/>
      <c r="OR231" s="53"/>
      <c r="OS231" s="53"/>
      <c r="OT231" s="53"/>
      <c r="OU231" s="53"/>
      <c r="OV231" s="53"/>
      <c r="OW231" s="53"/>
      <c r="OX231" s="53"/>
      <c r="OY231" s="53"/>
      <c r="OZ231" s="53"/>
      <c r="PA231" s="53"/>
      <c r="PB231" s="53"/>
      <c r="PC231" s="53"/>
      <c r="PD231" s="53"/>
      <c r="PE231" s="53"/>
      <c r="PF231" s="53"/>
      <c r="PG231" s="53"/>
      <c r="PH231" s="53"/>
      <c r="PI231" s="53"/>
      <c r="PJ231" s="53"/>
      <c r="PK231" s="53"/>
      <c r="PL231" s="53"/>
      <c r="PM231" s="53"/>
      <c r="PN231" s="53"/>
      <c r="PO231" s="53"/>
      <c r="PP231" s="53"/>
      <c r="PQ231" s="53"/>
      <c r="PR231" s="53"/>
      <c r="PS231" s="53"/>
      <c r="PT231" s="53"/>
      <c r="PU231" s="53"/>
      <c r="PV231" s="53"/>
      <c r="PW231" s="53"/>
      <c r="PX231" s="53"/>
      <c r="PY231" s="53"/>
      <c r="PZ231" s="53"/>
      <c r="QA231" s="53"/>
      <c r="QB231" s="53"/>
      <c r="QC231" s="53"/>
      <c r="QD231" s="53"/>
      <c r="QE231" s="53"/>
      <c r="QF231" s="53"/>
      <c r="QG231" s="53"/>
      <c r="QH231" s="53"/>
      <c r="QI231" s="53"/>
      <c r="QJ231" s="53"/>
      <c r="QK231" s="53"/>
      <c r="QL231" s="53"/>
      <c r="QM231" s="53"/>
      <c r="QN231" s="53"/>
      <c r="QO231" s="53"/>
      <c r="QP231" s="53"/>
      <c r="QQ231" s="53"/>
      <c r="QR231" s="53"/>
      <c r="QS231" s="53"/>
      <c r="QT231" s="53"/>
      <c r="QU231" s="53"/>
      <c r="QV231" s="53"/>
      <c r="QW231" s="53"/>
      <c r="QX231" s="53"/>
      <c r="QY231" s="53"/>
      <c r="QZ231" s="53"/>
      <c r="RA231" s="53"/>
      <c r="RB231" s="53"/>
      <c r="RC231" s="53"/>
      <c r="RD231" s="53"/>
      <c r="RE231" s="53"/>
      <c r="RF231" s="53"/>
      <c r="RG231" s="53"/>
      <c r="RH231" s="53"/>
      <c r="RI231" s="53"/>
      <c r="RJ231" s="53"/>
      <c r="RK231" s="53"/>
      <c r="RL231" s="53"/>
      <c r="RM231" s="53"/>
      <c r="RN231" s="53"/>
      <c r="RO231" s="53"/>
      <c r="RP231" s="53"/>
      <c r="RQ231" s="53"/>
      <c r="RR231" s="53"/>
      <c r="RS231" s="53"/>
      <c r="RT231" s="53"/>
      <c r="RU231" s="53"/>
      <c r="RV231" s="53"/>
      <c r="RW231" s="53"/>
      <c r="RX231" s="53"/>
      <c r="RY231" s="53"/>
      <c r="RZ231" s="53"/>
      <c r="SA231" s="53"/>
      <c r="SB231" s="53"/>
      <c r="SC231" s="53"/>
      <c r="SD231" s="53"/>
      <c r="SE231" s="53"/>
      <c r="SF231" s="53"/>
      <c r="SG231" s="53"/>
      <c r="SH231" s="53"/>
      <c r="SI231" s="53"/>
      <c r="SJ231" s="53"/>
      <c r="SK231" s="53"/>
      <c r="SL231" s="53"/>
      <c r="SM231" s="53"/>
      <c r="SN231" s="53"/>
      <c r="SO231" s="53"/>
      <c r="SP231" s="53"/>
      <c r="SQ231" s="53"/>
      <c r="SR231" s="53"/>
      <c r="SS231" s="53"/>
      <c r="ST231" s="53"/>
      <c r="SU231" s="53"/>
      <c r="SV231" s="53"/>
      <c r="SW231" s="53"/>
      <c r="SX231" s="53"/>
      <c r="SY231" s="53"/>
      <c r="SZ231" s="53"/>
      <c r="TA231" s="53"/>
      <c r="TB231" s="53"/>
      <c r="TC231" s="53"/>
      <c r="TD231" s="53"/>
      <c r="TE231" s="53"/>
      <c r="TF231" s="53"/>
      <c r="TG231" s="53"/>
      <c r="TH231" s="53"/>
      <c r="TI231" s="53"/>
      <c r="TJ231" s="53"/>
      <c r="TK231" s="53"/>
      <c r="TL231" s="53"/>
      <c r="TM231" s="53"/>
      <c r="TN231" s="53"/>
      <c r="TO231" s="53"/>
      <c r="TP231" s="53"/>
      <c r="TQ231" s="53"/>
      <c r="TR231" s="53"/>
      <c r="TS231" s="53"/>
      <c r="TT231" s="53"/>
      <c r="TU231" s="53"/>
      <c r="TV231" s="53"/>
      <c r="TW231" s="53"/>
      <c r="TX231" s="53"/>
      <c r="TY231" s="53"/>
      <c r="TZ231" s="53"/>
      <c r="UA231" s="53"/>
      <c r="UB231" s="53"/>
      <c r="UC231" s="53"/>
      <c r="UD231" s="53"/>
      <c r="UE231" s="53"/>
      <c r="UF231" s="53"/>
      <c r="UG231" s="53"/>
      <c r="UH231" s="53"/>
      <c r="UI231" s="53"/>
      <c r="UJ231" s="53"/>
      <c r="UK231" s="53"/>
      <c r="UL231" s="53"/>
      <c r="UM231" s="53"/>
      <c r="UN231" s="53"/>
      <c r="UO231" s="53"/>
      <c r="UP231" s="53"/>
      <c r="UQ231" s="53"/>
      <c r="UR231" s="53"/>
      <c r="US231" s="53"/>
      <c r="UT231" s="53"/>
      <c r="UU231" s="53"/>
      <c r="UV231" s="53"/>
      <c r="UW231" s="53"/>
      <c r="UX231" s="53"/>
      <c r="UY231" s="53"/>
      <c r="UZ231" s="53"/>
      <c r="VA231" s="53"/>
      <c r="VB231" s="53"/>
      <c r="VC231" s="53"/>
      <c r="VD231" s="53"/>
      <c r="VE231" s="53"/>
      <c r="VF231" s="53"/>
      <c r="VG231" s="53"/>
      <c r="VH231" s="53"/>
      <c r="VI231" s="53"/>
      <c r="VJ231" s="53"/>
      <c r="VK231" s="53"/>
      <c r="VL231" s="53"/>
    </row>
    <row r="232" spans="1:584" s="47" customFormat="1" ht="18.75" customHeight="1" x14ac:dyDescent="0.25">
      <c r="A232" s="91"/>
      <c r="B232" s="91"/>
      <c r="C232" s="91"/>
      <c r="D232" s="46" t="s">
        <v>342</v>
      </c>
      <c r="E232" s="115">
        <v>0</v>
      </c>
      <c r="F232" s="115"/>
      <c r="G232" s="115"/>
      <c r="H232" s="115"/>
      <c r="I232" s="115"/>
      <c r="J232" s="115"/>
      <c r="K232" s="135"/>
      <c r="L232" s="115">
        <f t="shared" si="42"/>
        <v>31728677.880000003</v>
      </c>
      <c r="M232" s="115">
        <f>11064300+15155075.88+5123000+1660000-1273698</f>
        <v>31728677.880000003</v>
      </c>
      <c r="N232" s="115"/>
      <c r="O232" s="115"/>
      <c r="P232" s="115"/>
      <c r="Q232" s="115">
        <f>11064300+15155075.88+5123000+1660000-1273698</f>
        <v>31728677.880000003</v>
      </c>
      <c r="R232" s="115">
        <f t="shared" si="61"/>
        <v>30658844.780000001</v>
      </c>
      <c r="S232" s="115">
        <v>30658844.780000001</v>
      </c>
      <c r="T232" s="115"/>
      <c r="U232" s="115"/>
      <c r="V232" s="115"/>
      <c r="W232" s="115">
        <v>30658844.780000001</v>
      </c>
      <c r="X232" s="166">
        <f t="shared" si="60"/>
        <v>96.628182541843742</v>
      </c>
      <c r="Y232" s="115">
        <f t="shared" si="69"/>
        <v>30658844.780000001</v>
      </c>
      <c r="Z232" s="187"/>
      <c r="AA232" s="53"/>
      <c r="AB232" s="53"/>
      <c r="AC232" s="53"/>
      <c r="AD232" s="53"/>
      <c r="AE232" s="79"/>
      <c r="AF232" s="79"/>
      <c r="AG232" s="79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3"/>
      <c r="HI232" s="53"/>
      <c r="HJ232" s="53"/>
      <c r="HK232" s="53"/>
      <c r="HL232" s="53"/>
      <c r="HM232" s="53"/>
      <c r="HN232" s="53"/>
      <c r="HO232" s="53"/>
      <c r="HP232" s="53"/>
      <c r="HQ232" s="53"/>
      <c r="HR232" s="53"/>
      <c r="HS232" s="53"/>
      <c r="HT232" s="53"/>
      <c r="HU232" s="53"/>
      <c r="HV232" s="53"/>
      <c r="HW232" s="53"/>
      <c r="HX232" s="53"/>
      <c r="HY232" s="53"/>
      <c r="HZ232" s="53"/>
      <c r="IA232" s="53"/>
      <c r="IB232" s="53"/>
      <c r="IC232" s="53"/>
      <c r="ID232" s="53"/>
      <c r="IE232" s="53"/>
      <c r="IF232" s="53"/>
      <c r="IG232" s="53"/>
      <c r="IH232" s="53"/>
      <c r="II232" s="53"/>
      <c r="IJ232" s="53"/>
      <c r="IK232" s="53"/>
      <c r="IL232" s="53"/>
      <c r="IM232" s="53"/>
      <c r="IN232" s="53"/>
      <c r="IO232" s="53"/>
      <c r="IP232" s="53"/>
      <c r="IQ232" s="53"/>
      <c r="IR232" s="53"/>
      <c r="IS232" s="53"/>
      <c r="IT232" s="53"/>
      <c r="IU232" s="53"/>
      <c r="IV232" s="53"/>
      <c r="IW232" s="53"/>
      <c r="IX232" s="53"/>
      <c r="IY232" s="53"/>
      <c r="IZ232" s="53"/>
      <c r="JA232" s="53"/>
      <c r="JB232" s="53"/>
      <c r="JC232" s="53"/>
      <c r="JD232" s="53"/>
      <c r="JE232" s="53"/>
      <c r="JF232" s="53"/>
      <c r="JG232" s="53"/>
      <c r="JH232" s="53"/>
      <c r="JI232" s="53"/>
      <c r="JJ232" s="53"/>
      <c r="JK232" s="53"/>
      <c r="JL232" s="53"/>
      <c r="JM232" s="53"/>
      <c r="JN232" s="53"/>
      <c r="JO232" s="53"/>
      <c r="JP232" s="53"/>
      <c r="JQ232" s="53"/>
      <c r="JR232" s="53"/>
      <c r="JS232" s="53"/>
      <c r="JT232" s="53"/>
      <c r="JU232" s="53"/>
      <c r="JV232" s="53"/>
      <c r="JW232" s="53"/>
      <c r="JX232" s="53"/>
      <c r="JY232" s="53"/>
      <c r="JZ232" s="53"/>
      <c r="KA232" s="53"/>
      <c r="KB232" s="53"/>
      <c r="KC232" s="53"/>
      <c r="KD232" s="53"/>
      <c r="KE232" s="53"/>
      <c r="KF232" s="53"/>
      <c r="KG232" s="53"/>
      <c r="KH232" s="53"/>
      <c r="KI232" s="53"/>
      <c r="KJ232" s="53"/>
      <c r="KK232" s="53"/>
      <c r="KL232" s="53"/>
      <c r="KM232" s="53"/>
      <c r="KN232" s="53"/>
      <c r="KO232" s="53"/>
      <c r="KP232" s="53"/>
      <c r="KQ232" s="53"/>
      <c r="KR232" s="53"/>
      <c r="KS232" s="53"/>
      <c r="KT232" s="53"/>
      <c r="KU232" s="53"/>
      <c r="KV232" s="53"/>
      <c r="KW232" s="53"/>
      <c r="KX232" s="53"/>
      <c r="KY232" s="53"/>
      <c r="KZ232" s="53"/>
      <c r="LA232" s="53"/>
      <c r="LB232" s="53"/>
      <c r="LC232" s="53"/>
      <c r="LD232" s="53"/>
      <c r="LE232" s="53"/>
      <c r="LF232" s="53"/>
      <c r="LG232" s="53"/>
      <c r="LH232" s="53"/>
      <c r="LI232" s="53"/>
      <c r="LJ232" s="53"/>
      <c r="LK232" s="53"/>
      <c r="LL232" s="53"/>
      <c r="LM232" s="53"/>
      <c r="LN232" s="53"/>
      <c r="LO232" s="53"/>
      <c r="LP232" s="53"/>
      <c r="LQ232" s="53"/>
      <c r="LR232" s="53"/>
      <c r="LS232" s="53"/>
      <c r="LT232" s="53"/>
      <c r="LU232" s="53"/>
      <c r="LV232" s="53"/>
      <c r="LW232" s="53"/>
      <c r="LX232" s="53"/>
      <c r="LY232" s="53"/>
      <c r="LZ232" s="53"/>
      <c r="MA232" s="53"/>
      <c r="MB232" s="53"/>
      <c r="MC232" s="53"/>
      <c r="MD232" s="53"/>
      <c r="ME232" s="53"/>
      <c r="MF232" s="53"/>
      <c r="MG232" s="53"/>
      <c r="MH232" s="53"/>
      <c r="MI232" s="53"/>
      <c r="MJ232" s="53"/>
      <c r="MK232" s="53"/>
      <c r="ML232" s="53"/>
      <c r="MM232" s="53"/>
      <c r="MN232" s="53"/>
      <c r="MO232" s="53"/>
      <c r="MP232" s="53"/>
      <c r="MQ232" s="53"/>
      <c r="MR232" s="53"/>
      <c r="MS232" s="53"/>
      <c r="MT232" s="53"/>
      <c r="MU232" s="53"/>
      <c r="MV232" s="53"/>
      <c r="MW232" s="53"/>
      <c r="MX232" s="53"/>
      <c r="MY232" s="53"/>
      <c r="MZ232" s="53"/>
      <c r="NA232" s="53"/>
      <c r="NB232" s="53"/>
      <c r="NC232" s="53"/>
      <c r="ND232" s="53"/>
      <c r="NE232" s="53"/>
      <c r="NF232" s="53"/>
      <c r="NG232" s="53"/>
      <c r="NH232" s="53"/>
      <c r="NI232" s="53"/>
      <c r="NJ232" s="53"/>
      <c r="NK232" s="53"/>
      <c r="NL232" s="53"/>
      <c r="NM232" s="53"/>
      <c r="NN232" s="53"/>
      <c r="NO232" s="53"/>
      <c r="NP232" s="53"/>
      <c r="NQ232" s="53"/>
      <c r="NR232" s="53"/>
      <c r="NS232" s="53"/>
      <c r="NT232" s="53"/>
      <c r="NU232" s="53"/>
      <c r="NV232" s="53"/>
      <c r="NW232" s="53"/>
      <c r="NX232" s="53"/>
      <c r="NY232" s="53"/>
      <c r="NZ232" s="53"/>
      <c r="OA232" s="53"/>
      <c r="OB232" s="53"/>
      <c r="OC232" s="53"/>
      <c r="OD232" s="53"/>
      <c r="OE232" s="53"/>
      <c r="OF232" s="53"/>
      <c r="OG232" s="53"/>
      <c r="OH232" s="53"/>
      <c r="OI232" s="53"/>
      <c r="OJ232" s="53"/>
      <c r="OK232" s="53"/>
      <c r="OL232" s="53"/>
      <c r="OM232" s="53"/>
      <c r="ON232" s="53"/>
      <c r="OO232" s="53"/>
      <c r="OP232" s="53"/>
      <c r="OQ232" s="53"/>
      <c r="OR232" s="53"/>
      <c r="OS232" s="53"/>
      <c r="OT232" s="53"/>
      <c r="OU232" s="53"/>
      <c r="OV232" s="53"/>
      <c r="OW232" s="53"/>
      <c r="OX232" s="53"/>
      <c r="OY232" s="53"/>
      <c r="OZ232" s="53"/>
      <c r="PA232" s="53"/>
      <c r="PB232" s="53"/>
      <c r="PC232" s="53"/>
      <c r="PD232" s="53"/>
      <c r="PE232" s="53"/>
      <c r="PF232" s="53"/>
      <c r="PG232" s="53"/>
      <c r="PH232" s="53"/>
      <c r="PI232" s="53"/>
      <c r="PJ232" s="53"/>
      <c r="PK232" s="53"/>
      <c r="PL232" s="53"/>
      <c r="PM232" s="53"/>
      <c r="PN232" s="53"/>
      <c r="PO232" s="53"/>
      <c r="PP232" s="53"/>
      <c r="PQ232" s="53"/>
      <c r="PR232" s="53"/>
      <c r="PS232" s="53"/>
      <c r="PT232" s="53"/>
      <c r="PU232" s="53"/>
      <c r="PV232" s="53"/>
      <c r="PW232" s="53"/>
      <c r="PX232" s="53"/>
      <c r="PY232" s="53"/>
      <c r="PZ232" s="53"/>
      <c r="QA232" s="53"/>
      <c r="QB232" s="53"/>
      <c r="QC232" s="53"/>
      <c r="QD232" s="53"/>
      <c r="QE232" s="53"/>
      <c r="QF232" s="53"/>
      <c r="QG232" s="53"/>
      <c r="QH232" s="53"/>
      <c r="QI232" s="53"/>
      <c r="QJ232" s="53"/>
      <c r="QK232" s="53"/>
      <c r="QL232" s="53"/>
      <c r="QM232" s="53"/>
      <c r="QN232" s="53"/>
      <c r="QO232" s="53"/>
      <c r="QP232" s="53"/>
      <c r="QQ232" s="53"/>
      <c r="QR232" s="53"/>
      <c r="QS232" s="53"/>
      <c r="QT232" s="53"/>
      <c r="QU232" s="53"/>
      <c r="QV232" s="53"/>
      <c r="QW232" s="53"/>
      <c r="QX232" s="53"/>
      <c r="QY232" s="53"/>
      <c r="QZ232" s="53"/>
      <c r="RA232" s="53"/>
      <c r="RB232" s="53"/>
      <c r="RC232" s="53"/>
      <c r="RD232" s="53"/>
      <c r="RE232" s="53"/>
      <c r="RF232" s="53"/>
      <c r="RG232" s="53"/>
      <c r="RH232" s="53"/>
      <c r="RI232" s="53"/>
      <c r="RJ232" s="53"/>
      <c r="RK232" s="53"/>
      <c r="RL232" s="53"/>
      <c r="RM232" s="53"/>
      <c r="RN232" s="53"/>
      <c r="RO232" s="53"/>
      <c r="RP232" s="53"/>
      <c r="RQ232" s="53"/>
      <c r="RR232" s="53"/>
      <c r="RS232" s="53"/>
      <c r="RT232" s="53"/>
      <c r="RU232" s="53"/>
      <c r="RV232" s="53"/>
      <c r="RW232" s="53"/>
      <c r="RX232" s="53"/>
      <c r="RY232" s="53"/>
      <c r="RZ232" s="53"/>
      <c r="SA232" s="53"/>
      <c r="SB232" s="53"/>
      <c r="SC232" s="53"/>
      <c r="SD232" s="53"/>
      <c r="SE232" s="53"/>
      <c r="SF232" s="53"/>
      <c r="SG232" s="53"/>
      <c r="SH232" s="53"/>
      <c r="SI232" s="53"/>
      <c r="SJ232" s="53"/>
      <c r="SK232" s="53"/>
      <c r="SL232" s="53"/>
      <c r="SM232" s="53"/>
      <c r="SN232" s="53"/>
      <c r="SO232" s="53"/>
      <c r="SP232" s="53"/>
      <c r="SQ232" s="53"/>
      <c r="SR232" s="53"/>
      <c r="SS232" s="53"/>
      <c r="ST232" s="53"/>
      <c r="SU232" s="53"/>
      <c r="SV232" s="53"/>
      <c r="SW232" s="53"/>
      <c r="SX232" s="53"/>
      <c r="SY232" s="53"/>
      <c r="SZ232" s="53"/>
      <c r="TA232" s="53"/>
      <c r="TB232" s="53"/>
      <c r="TC232" s="53"/>
      <c r="TD232" s="53"/>
      <c r="TE232" s="53"/>
      <c r="TF232" s="53"/>
      <c r="TG232" s="53"/>
      <c r="TH232" s="53"/>
      <c r="TI232" s="53"/>
      <c r="TJ232" s="53"/>
      <c r="TK232" s="53"/>
      <c r="TL232" s="53"/>
      <c r="TM232" s="53"/>
      <c r="TN232" s="53"/>
      <c r="TO232" s="53"/>
      <c r="TP232" s="53"/>
      <c r="TQ232" s="53"/>
      <c r="TR232" s="53"/>
      <c r="TS232" s="53"/>
      <c r="TT232" s="53"/>
      <c r="TU232" s="53"/>
      <c r="TV232" s="53"/>
      <c r="TW232" s="53"/>
      <c r="TX232" s="53"/>
      <c r="TY232" s="53"/>
      <c r="TZ232" s="53"/>
      <c r="UA232" s="53"/>
      <c r="UB232" s="53"/>
      <c r="UC232" s="53"/>
      <c r="UD232" s="53"/>
      <c r="UE232" s="53"/>
      <c r="UF232" s="53"/>
      <c r="UG232" s="53"/>
      <c r="UH232" s="53"/>
      <c r="UI232" s="53"/>
      <c r="UJ232" s="53"/>
      <c r="UK232" s="53"/>
      <c r="UL232" s="53"/>
      <c r="UM232" s="53"/>
      <c r="UN232" s="53"/>
      <c r="UO232" s="53"/>
      <c r="UP232" s="53"/>
      <c r="UQ232" s="53"/>
      <c r="UR232" s="53"/>
      <c r="US232" s="53"/>
      <c r="UT232" s="53"/>
      <c r="UU232" s="53"/>
      <c r="UV232" s="53"/>
      <c r="UW232" s="53"/>
      <c r="UX232" s="53"/>
      <c r="UY232" s="53"/>
      <c r="UZ232" s="53"/>
      <c r="VA232" s="53"/>
      <c r="VB232" s="53"/>
      <c r="VC232" s="53"/>
      <c r="VD232" s="53"/>
      <c r="VE232" s="53"/>
      <c r="VF232" s="53"/>
      <c r="VG232" s="53"/>
      <c r="VH232" s="53"/>
      <c r="VI232" s="53"/>
      <c r="VJ232" s="53"/>
      <c r="VK232" s="53"/>
      <c r="VL232" s="53"/>
    </row>
    <row r="233" spans="1:584" s="47" customFormat="1" ht="39" customHeight="1" x14ac:dyDescent="0.25">
      <c r="A233" s="91">
        <v>1217461</v>
      </c>
      <c r="B233" s="91">
        <v>7461</v>
      </c>
      <c r="C233" s="71" t="s">
        <v>408</v>
      </c>
      <c r="D233" s="46" t="s">
        <v>601</v>
      </c>
      <c r="E233" s="115">
        <v>0</v>
      </c>
      <c r="F233" s="115"/>
      <c r="G233" s="115"/>
      <c r="H233" s="115"/>
      <c r="I233" s="115"/>
      <c r="J233" s="115"/>
      <c r="K233" s="135"/>
      <c r="L233" s="115">
        <f t="shared" si="42"/>
        <v>70472.47</v>
      </c>
      <c r="M233" s="115"/>
      <c r="N233" s="115"/>
      <c r="O233" s="115"/>
      <c r="P233" s="115"/>
      <c r="Q233" s="115">
        <v>70472.47</v>
      </c>
      <c r="R233" s="115">
        <f t="shared" si="61"/>
        <v>70472.47</v>
      </c>
      <c r="S233" s="115"/>
      <c r="T233" s="115"/>
      <c r="U233" s="115"/>
      <c r="V233" s="115"/>
      <c r="W233" s="115">
        <v>70472.47</v>
      </c>
      <c r="X233" s="166">
        <f t="shared" si="60"/>
        <v>100</v>
      </c>
      <c r="Y233" s="115">
        <f t="shared" si="69"/>
        <v>70472.47</v>
      </c>
      <c r="Z233" s="187"/>
      <c r="AA233" s="53"/>
      <c r="AB233" s="53"/>
      <c r="AC233" s="53"/>
      <c r="AD233" s="53"/>
      <c r="AE233" s="79"/>
      <c r="AF233" s="79"/>
      <c r="AG233" s="79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  <c r="GQ233" s="53"/>
      <c r="GR233" s="53"/>
      <c r="GS233" s="53"/>
      <c r="GT233" s="53"/>
      <c r="GU233" s="53"/>
      <c r="GV233" s="53"/>
      <c r="GW233" s="53"/>
      <c r="GX233" s="53"/>
      <c r="GY233" s="53"/>
      <c r="GZ233" s="53"/>
      <c r="HA233" s="53"/>
      <c r="HB233" s="53"/>
      <c r="HC233" s="53"/>
      <c r="HD233" s="53"/>
      <c r="HE233" s="53"/>
      <c r="HF233" s="53"/>
      <c r="HG233" s="53"/>
      <c r="HH233" s="53"/>
      <c r="HI233" s="53"/>
      <c r="HJ233" s="53"/>
      <c r="HK233" s="53"/>
      <c r="HL233" s="53"/>
      <c r="HM233" s="53"/>
      <c r="HN233" s="53"/>
      <c r="HO233" s="53"/>
      <c r="HP233" s="53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  <c r="IK233" s="53"/>
      <c r="IL233" s="53"/>
      <c r="IM233" s="53"/>
      <c r="IN233" s="53"/>
      <c r="IO233" s="53"/>
      <c r="IP233" s="53"/>
      <c r="IQ233" s="53"/>
      <c r="IR233" s="53"/>
      <c r="IS233" s="53"/>
      <c r="IT233" s="53"/>
      <c r="IU233" s="53"/>
      <c r="IV233" s="53"/>
      <c r="IW233" s="53"/>
      <c r="IX233" s="53"/>
      <c r="IY233" s="53"/>
      <c r="IZ233" s="53"/>
      <c r="JA233" s="53"/>
      <c r="JB233" s="53"/>
      <c r="JC233" s="53"/>
      <c r="JD233" s="53"/>
      <c r="JE233" s="53"/>
      <c r="JF233" s="53"/>
      <c r="JG233" s="53"/>
      <c r="JH233" s="53"/>
      <c r="JI233" s="53"/>
      <c r="JJ233" s="53"/>
      <c r="JK233" s="53"/>
      <c r="JL233" s="53"/>
      <c r="JM233" s="53"/>
      <c r="JN233" s="53"/>
      <c r="JO233" s="53"/>
      <c r="JP233" s="53"/>
      <c r="JQ233" s="53"/>
      <c r="JR233" s="53"/>
      <c r="JS233" s="53"/>
      <c r="JT233" s="53"/>
      <c r="JU233" s="53"/>
      <c r="JV233" s="53"/>
      <c r="JW233" s="53"/>
      <c r="JX233" s="53"/>
      <c r="JY233" s="53"/>
      <c r="JZ233" s="53"/>
      <c r="KA233" s="53"/>
      <c r="KB233" s="53"/>
      <c r="KC233" s="53"/>
      <c r="KD233" s="53"/>
      <c r="KE233" s="53"/>
      <c r="KF233" s="53"/>
      <c r="KG233" s="53"/>
      <c r="KH233" s="53"/>
      <c r="KI233" s="53"/>
      <c r="KJ233" s="53"/>
      <c r="KK233" s="53"/>
      <c r="KL233" s="53"/>
      <c r="KM233" s="53"/>
      <c r="KN233" s="53"/>
      <c r="KO233" s="53"/>
      <c r="KP233" s="53"/>
      <c r="KQ233" s="53"/>
      <c r="KR233" s="53"/>
      <c r="KS233" s="53"/>
      <c r="KT233" s="53"/>
      <c r="KU233" s="53"/>
      <c r="KV233" s="53"/>
      <c r="KW233" s="53"/>
      <c r="KX233" s="53"/>
      <c r="KY233" s="53"/>
      <c r="KZ233" s="53"/>
      <c r="LA233" s="53"/>
      <c r="LB233" s="53"/>
      <c r="LC233" s="53"/>
      <c r="LD233" s="53"/>
      <c r="LE233" s="53"/>
      <c r="LF233" s="53"/>
      <c r="LG233" s="53"/>
      <c r="LH233" s="53"/>
      <c r="LI233" s="53"/>
      <c r="LJ233" s="53"/>
      <c r="LK233" s="53"/>
      <c r="LL233" s="53"/>
      <c r="LM233" s="53"/>
      <c r="LN233" s="53"/>
      <c r="LO233" s="53"/>
      <c r="LP233" s="53"/>
      <c r="LQ233" s="53"/>
      <c r="LR233" s="53"/>
      <c r="LS233" s="53"/>
      <c r="LT233" s="53"/>
      <c r="LU233" s="53"/>
      <c r="LV233" s="53"/>
      <c r="LW233" s="53"/>
      <c r="LX233" s="53"/>
      <c r="LY233" s="53"/>
      <c r="LZ233" s="53"/>
      <c r="MA233" s="53"/>
      <c r="MB233" s="53"/>
      <c r="MC233" s="53"/>
      <c r="MD233" s="53"/>
      <c r="ME233" s="53"/>
      <c r="MF233" s="53"/>
      <c r="MG233" s="53"/>
      <c r="MH233" s="53"/>
      <c r="MI233" s="53"/>
      <c r="MJ233" s="53"/>
      <c r="MK233" s="53"/>
      <c r="ML233" s="53"/>
      <c r="MM233" s="53"/>
      <c r="MN233" s="53"/>
      <c r="MO233" s="53"/>
      <c r="MP233" s="53"/>
      <c r="MQ233" s="53"/>
      <c r="MR233" s="53"/>
      <c r="MS233" s="53"/>
      <c r="MT233" s="53"/>
      <c r="MU233" s="53"/>
      <c r="MV233" s="53"/>
      <c r="MW233" s="53"/>
      <c r="MX233" s="53"/>
      <c r="MY233" s="53"/>
      <c r="MZ233" s="53"/>
      <c r="NA233" s="53"/>
      <c r="NB233" s="53"/>
      <c r="NC233" s="53"/>
      <c r="ND233" s="53"/>
      <c r="NE233" s="53"/>
      <c r="NF233" s="53"/>
      <c r="NG233" s="53"/>
      <c r="NH233" s="53"/>
      <c r="NI233" s="53"/>
      <c r="NJ233" s="53"/>
      <c r="NK233" s="53"/>
      <c r="NL233" s="53"/>
      <c r="NM233" s="53"/>
      <c r="NN233" s="53"/>
      <c r="NO233" s="53"/>
      <c r="NP233" s="53"/>
      <c r="NQ233" s="53"/>
      <c r="NR233" s="53"/>
      <c r="NS233" s="53"/>
      <c r="NT233" s="53"/>
      <c r="NU233" s="53"/>
      <c r="NV233" s="53"/>
      <c r="NW233" s="53"/>
      <c r="NX233" s="53"/>
      <c r="NY233" s="53"/>
      <c r="NZ233" s="53"/>
      <c r="OA233" s="53"/>
      <c r="OB233" s="53"/>
      <c r="OC233" s="53"/>
      <c r="OD233" s="53"/>
      <c r="OE233" s="53"/>
      <c r="OF233" s="53"/>
      <c r="OG233" s="53"/>
      <c r="OH233" s="53"/>
      <c r="OI233" s="53"/>
      <c r="OJ233" s="53"/>
      <c r="OK233" s="53"/>
      <c r="OL233" s="53"/>
      <c r="OM233" s="53"/>
      <c r="ON233" s="53"/>
      <c r="OO233" s="53"/>
      <c r="OP233" s="53"/>
      <c r="OQ233" s="53"/>
      <c r="OR233" s="53"/>
      <c r="OS233" s="53"/>
      <c r="OT233" s="53"/>
      <c r="OU233" s="53"/>
      <c r="OV233" s="53"/>
      <c r="OW233" s="53"/>
      <c r="OX233" s="53"/>
      <c r="OY233" s="53"/>
      <c r="OZ233" s="53"/>
      <c r="PA233" s="53"/>
      <c r="PB233" s="53"/>
      <c r="PC233" s="53"/>
      <c r="PD233" s="53"/>
      <c r="PE233" s="53"/>
      <c r="PF233" s="53"/>
      <c r="PG233" s="53"/>
      <c r="PH233" s="53"/>
      <c r="PI233" s="53"/>
      <c r="PJ233" s="53"/>
      <c r="PK233" s="53"/>
      <c r="PL233" s="53"/>
      <c r="PM233" s="53"/>
      <c r="PN233" s="53"/>
      <c r="PO233" s="53"/>
      <c r="PP233" s="53"/>
      <c r="PQ233" s="53"/>
      <c r="PR233" s="53"/>
      <c r="PS233" s="53"/>
      <c r="PT233" s="53"/>
      <c r="PU233" s="53"/>
      <c r="PV233" s="53"/>
      <c r="PW233" s="53"/>
      <c r="PX233" s="53"/>
      <c r="PY233" s="53"/>
      <c r="PZ233" s="53"/>
      <c r="QA233" s="53"/>
      <c r="QB233" s="53"/>
      <c r="QC233" s="53"/>
      <c r="QD233" s="53"/>
      <c r="QE233" s="53"/>
      <c r="QF233" s="53"/>
      <c r="QG233" s="53"/>
      <c r="QH233" s="53"/>
      <c r="QI233" s="53"/>
      <c r="QJ233" s="53"/>
      <c r="QK233" s="53"/>
      <c r="QL233" s="53"/>
      <c r="QM233" s="53"/>
      <c r="QN233" s="53"/>
      <c r="QO233" s="53"/>
      <c r="QP233" s="53"/>
      <c r="QQ233" s="53"/>
      <c r="QR233" s="53"/>
      <c r="QS233" s="53"/>
      <c r="QT233" s="53"/>
      <c r="QU233" s="53"/>
      <c r="QV233" s="53"/>
      <c r="QW233" s="53"/>
      <c r="QX233" s="53"/>
      <c r="QY233" s="53"/>
      <c r="QZ233" s="53"/>
      <c r="RA233" s="53"/>
      <c r="RB233" s="53"/>
      <c r="RC233" s="53"/>
      <c r="RD233" s="53"/>
      <c r="RE233" s="53"/>
      <c r="RF233" s="53"/>
      <c r="RG233" s="53"/>
      <c r="RH233" s="53"/>
      <c r="RI233" s="53"/>
      <c r="RJ233" s="53"/>
      <c r="RK233" s="53"/>
      <c r="RL233" s="53"/>
      <c r="RM233" s="53"/>
      <c r="RN233" s="53"/>
      <c r="RO233" s="53"/>
      <c r="RP233" s="53"/>
      <c r="RQ233" s="53"/>
      <c r="RR233" s="53"/>
      <c r="RS233" s="53"/>
      <c r="RT233" s="53"/>
      <c r="RU233" s="53"/>
      <c r="RV233" s="53"/>
      <c r="RW233" s="53"/>
      <c r="RX233" s="53"/>
      <c r="RY233" s="53"/>
      <c r="RZ233" s="53"/>
      <c r="SA233" s="53"/>
      <c r="SB233" s="53"/>
      <c r="SC233" s="53"/>
      <c r="SD233" s="53"/>
      <c r="SE233" s="53"/>
      <c r="SF233" s="53"/>
      <c r="SG233" s="53"/>
      <c r="SH233" s="53"/>
      <c r="SI233" s="53"/>
      <c r="SJ233" s="53"/>
      <c r="SK233" s="53"/>
      <c r="SL233" s="53"/>
      <c r="SM233" s="53"/>
      <c r="SN233" s="53"/>
      <c r="SO233" s="53"/>
      <c r="SP233" s="53"/>
      <c r="SQ233" s="53"/>
      <c r="SR233" s="53"/>
      <c r="SS233" s="53"/>
      <c r="ST233" s="53"/>
      <c r="SU233" s="53"/>
      <c r="SV233" s="53"/>
      <c r="SW233" s="53"/>
      <c r="SX233" s="53"/>
      <c r="SY233" s="53"/>
      <c r="SZ233" s="53"/>
      <c r="TA233" s="53"/>
      <c r="TB233" s="53"/>
      <c r="TC233" s="53"/>
      <c r="TD233" s="53"/>
      <c r="TE233" s="53"/>
      <c r="TF233" s="53"/>
      <c r="TG233" s="53"/>
      <c r="TH233" s="53"/>
      <c r="TI233" s="53"/>
      <c r="TJ233" s="53"/>
      <c r="TK233" s="53"/>
      <c r="TL233" s="53"/>
      <c r="TM233" s="53"/>
      <c r="TN233" s="53"/>
      <c r="TO233" s="53"/>
      <c r="TP233" s="53"/>
      <c r="TQ233" s="53"/>
      <c r="TR233" s="53"/>
      <c r="TS233" s="53"/>
      <c r="TT233" s="53"/>
      <c r="TU233" s="53"/>
      <c r="TV233" s="53"/>
      <c r="TW233" s="53"/>
      <c r="TX233" s="53"/>
      <c r="TY233" s="53"/>
      <c r="TZ233" s="53"/>
      <c r="UA233" s="53"/>
      <c r="UB233" s="53"/>
      <c r="UC233" s="53"/>
      <c r="UD233" s="53"/>
      <c r="UE233" s="53"/>
      <c r="UF233" s="53"/>
      <c r="UG233" s="53"/>
      <c r="UH233" s="53"/>
      <c r="UI233" s="53"/>
      <c r="UJ233" s="53"/>
      <c r="UK233" s="53"/>
      <c r="UL233" s="53"/>
      <c r="UM233" s="53"/>
      <c r="UN233" s="53"/>
      <c r="UO233" s="53"/>
      <c r="UP233" s="53"/>
      <c r="UQ233" s="53"/>
      <c r="UR233" s="53"/>
      <c r="US233" s="53"/>
      <c r="UT233" s="53"/>
      <c r="UU233" s="53"/>
      <c r="UV233" s="53"/>
      <c r="UW233" s="53"/>
      <c r="UX233" s="53"/>
      <c r="UY233" s="53"/>
      <c r="UZ233" s="53"/>
      <c r="VA233" s="53"/>
      <c r="VB233" s="53"/>
      <c r="VC233" s="53"/>
      <c r="VD233" s="53"/>
      <c r="VE233" s="53"/>
      <c r="VF233" s="53"/>
      <c r="VG233" s="53"/>
      <c r="VH233" s="53"/>
      <c r="VI233" s="53"/>
      <c r="VJ233" s="53"/>
      <c r="VK233" s="53"/>
      <c r="VL233" s="53"/>
    </row>
    <row r="234" spans="1:584" s="47" customFormat="1" ht="48" customHeight="1" x14ac:dyDescent="0.25">
      <c r="A234" s="91">
        <v>1217462</v>
      </c>
      <c r="B234" s="91">
        <v>7462</v>
      </c>
      <c r="C234" s="71" t="s">
        <v>408</v>
      </c>
      <c r="D234" s="46" t="s">
        <v>527</v>
      </c>
      <c r="E234" s="115">
        <v>0</v>
      </c>
      <c r="F234" s="115"/>
      <c r="G234" s="115"/>
      <c r="H234" s="115"/>
      <c r="I234" s="115"/>
      <c r="J234" s="115"/>
      <c r="K234" s="135"/>
      <c r="L234" s="115">
        <f t="shared" si="42"/>
        <v>41000000</v>
      </c>
      <c r="M234" s="115"/>
      <c r="N234" s="115">
        <v>41000000</v>
      </c>
      <c r="O234" s="115"/>
      <c r="P234" s="115"/>
      <c r="Q234" s="115"/>
      <c r="R234" s="115">
        <f t="shared" si="61"/>
        <v>40999960</v>
      </c>
      <c r="S234" s="115"/>
      <c r="T234" s="115">
        <v>40999960</v>
      </c>
      <c r="U234" s="115"/>
      <c r="V234" s="115"/>
      <c r="W234" s="115"/>
      <c r="X234" s="166">
        <f t="shared" si="60"/>
        <v>99.999902439024396</v>
      </c>
      <c r="Y234" s="115">
        <f t="shared" si="69"/>
        <v>40999960</v>
      </c>
      <c r="Z234" s="187"/>
      <c r="AA234" s="53"/>
      <c r="AB234" s="53"/>
      <c r="AC234" s="53"/>
      <c r="AD234" s="53"/>
      <c r="AE234" s="79"/>
      <c r="AF234" s="79"/>
      <c r="AG234" s="79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  <c r="GQ234" s="53"/>
      <c r="GR234" s="53"/>
      <c r="GS234" s="53"/>
      <c r="GT234" s="53"/>
      <c r="GU234" s="53"/>
      <c r="GV234" s="53"/>
      <c r="GW234" s="53"/>
      <c r="GX234" s="53"/>
      <c r="GY234" s="53"/>
      <c r="GZ234" s="53"/>
      <c r="HA234" s="53"/>
      <c r="HB234" s="53"/>
      <c r="HC234" s="53"/>
      <c r="HD234" s="53"/>
      <c r="HE234" s="53"/>
      <c r="HF234" s="53"/>
      <c r="HG234" s="53"/>
      <c r="HH234" s="53"/>
      <c r="HI234" s="53"/>
      <c r="HJ234" s="53"/>
      <c r="HK234" s="53"/>
      <c r="HL234" s="53"/>
      <c r="HM234" s="53"/>
      <c r="HN234" s="53"/>
      <c r="HO234" s="53"/>
      <c r="HP234" s="53"/>
      <c r="HQ234" s="53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  <c r="IK234" s="53"/>
      <c r="IL234" s="53"/>
      <c r="IM234" s="53"/>
      <c r="IN234" s="53"/>
      <c r="IO234" s="53"/>
      <c r="IP234" s="53"/>
      <c r="IQ234" s="53"/>
      <c r="IR234" s="53"/>
      <c r="IS234" s="53"/>
      <c r="IT234" s="53"/>
      <c r="IU234" s="53"/>
      <c r="IV234" s="53"/>
      <c r="IW234" s="53"/>
      <c r="IX234" s="53"/>
      <c r="IY234" s="53"/>
      <c r="IZ234" s="53"/>
      <c r="JA234" s="53"/>
      <c r="JB234" s="53"/>
      <c r="JC234" s="53"/>
      <c r="JD234" s="53"/>
      <c r="JE234" s="53"/>
      <c r="JF234" s="53"/>
      <c r="JG234" s="53"/>
      <c r="JH234" s="53"/>
      <c r="JI234" s="53"/>
      <c r="JJ234" s="53"/>
      <c r="JK234" s="53"/>
      <c r="JL234" s="53"/>
      <c r="JM234" s="53"/>
      <c r="JN234" s="53"/>
      <c r="JO234" s="53"/>
      <c r="JP234" s="53"/>
      <c r="JQ234" s="53"/>
      <c r="JR234" s="53"/>
      <c r="JS234" s="53"/>
      <c r="JT234" s="53"/>
      <c r="JU234" s="53"/>
      <c r="JV234" s="53"/>
      <c r="JW234" s="53"/>
      <c r="JX234" s="53"/>
      <c r="JY234" s="53"/>
      <c r="JZ234" s="53"/>
      <c r="KA234" s="53"/>
      <c r="KB234" s="53"/>
      <c r="KC234" s="53"/>
      <c r="KD234" s="53"/>
      <c r="KE234" s="53"/>
      <c r="KF234" s="53"/>
      <c r="KG234" s="53"/>
      <c r="KH234" s="53"/>
      <c r="KI234" s="53"/>
      <c r="KJ234" s="53"/>
      <c r="KK234" s="53"/>
      <c r="KL234" s="53"/>
      <c r="KM234" s="53"/>
      <c r="KN234" s="53"/>
      <c r="KO234" s="53"/>
      <c r="KP234" s="53"/>
      <c r="KQ234" s="53"/>
      <c r="KR234" s="53"/>
      <c r="KS234" s="53"/>
      <c r="KT234" s="53"/>
      <c r="KU234" s="53"/>
      <c r="KV234" s="53"/>
      <c r="KW234" s="53"/>
      <c r="KX234" s="53"/>
      <c r="KY234" s="53"/>
      <c r="KZ234" s="53"/>
      <c r="LA234" s="53"/>
      <c r="LB234" s="53"/>
      <c r="LC234" s="53"/>
      <c r="LD234" s="53"/>
      <c r="LE234" s="53"/>
      <c r="LF234" s="53"/>
      <c r="LG234" s="53"/>
      <c r="LH234" s="53"/>
      <c r="LI234" s="53"/>
      <c r="LJ234" s="53"/>
      <c r="LK234" s="53"/>
      <c r="LL234" s="53"/>
      <c r="LM234" s="53"/>
      <c r="LN234" s="53"/>
      <c r="LO234" s="53"/>
      <c r="LP234" s="53"/>
      <c r="LQ234" s="53"/>
      <c r="LR234" s="53"/>
      <c r="LS234" s="53"/>
      <c r="LT234" s="53"/>
      <c r="LU234" s="53"/>
      <c r="LV234" s="53"/>
      <c r="LW234" s="53"/>
      <c r="LX234" s="53"/>
      <c r="LY234" s="53"/>
      <c r="LZ234" s="53"/>
      <c r="MA234" s="53"/>
      <c r="MB234" s="53"/>
      <c r="MC234" s="53"/>
      <c r="MD234" s="53"/>
      <c r="ME234" s="53"/>
      <c r="MF234" s="53"/>
      <c r="MG234" s="53"/>
      <c r="MH234" s="53"/>
      <c r="MI234" s="53"/>
      <c r="MJ234" s="53"/>
      <c r="MK234" s="53"/>
      <c r="ML234" s="53"/>
      <c r="MM234" s="53"/>
      <c r="MN234" s="53"/>
      <c r="MO234" s="53"/>
      <c r="MP234" s="53"/>
      <c r="MQ234" s="53"/>
      <c r="MR234" s="53"/>
      <c r="MS234" s="53"/>
      <c r="MT234" s="53"/>
      <c r="MU234" s="53"/>
      <c r="MV234" s="53"/>
      <c r="MW234" s="53"/>
      <c r="MX234" s="53"/>
      <c r="MY234" s="53"/>
      <c r="MZ234" s="53"/>
      <c r="NA234" s="53"/>
      <c r="NB234" s="53"/>
      <c r="NC234" s="53"/>
      <c r="ND234" s="53"/>
      <c r="NE234" s="53"/>
      <c r="NF234" s="53"/>
      <c r="NG234" s="53"/>
      <c r="NH234" s="53"/>
      <c r="NI234" s="53"/>
      <c r="NJ234" s="53"/>
      <c r="NK234" s="53"/>
      <c r="NL234" s="53"/>
      <c r="NM234" s="53"/>
      <c r="NN234" s="53"/>
      <c r="NO234" s="53"/>
      <c r="NP234" s="53"/>
      <c r="NQ234" s="53"/>
      <c r="NR234" s="53"/>
      <c r="NS234" s="53"/>
      <c r="NT234" s="53"/>
      <c r="NU234" s="53"/>
      <c r="NV234" s="53"/>
      <c r="NW234" s="53"/>
      <c r="NX234" s="53"/>
      <c r="NY234" s="53"/>
      <c r="NZ234" s="53"/>
      <c r="OA234" s="53"/>
      <c r="OB234" s="53"/>
      <c r="OC234" s="53"/>
      <c r="OD234" s="53"/>
      <c r="OE234" s="53"/>
      <c r="OF234" s="53"/>
      <c r="OG234" s="53"/>
      <c r="OH234" s="53"/>
      <c r="OI234" s="53"/>
      <c r="OJ234" s="53"/>
      <c r="OK234" s="53"/>
      <c r="OL234" s="53"/>
      <c r="OM234" s="53"/>
      <c r="ON234" s="53"/>
      <c r="OO234" s="53"/>
      <c r="OP234" s="53"/>
      <c r="OQ234" s="53"/>
      <c r="OR234" s="53"/>
      <c r="OS234" s="53"/>
      <c r="OT234" s="53"/>
      <c r="OU234" s="53"/>
      <c r="OV234" s="53"/>
      <c r="OW234" s="53"/>
      <c r="OX234" s="53"/>
      <c r="OY234" s="53"/>
      <c r="OZ234" s="53"/>
      <c r="PA234" s="53"/>
      <c r="PB234" s="53"/>
      <c r="PC234" s="53"/>
      <c r="PD234" s="53"/>
      <c r="PE234" s="53"/>
      <c r="PF234" s="53"/>
      <c r="PG234" s="53"/>
      <c r="PH234" s="53"/>
      <c r="PI234" s="53"/>
      <c r="PJ234" s="53"/>
      <c r="PK234" s="53"/>
      <c r="PL234" s="53"/>
      <c r="PM234" s="53"/>
      <c r="PN234" s="53"/>
      <c r="PO234" s="53"/>
      <c r="PP234" s="53"/>
      <c r="PQ234" s="53"/>
      <c r="PR234" s="53"/>
      <c r="PS234" s="53"/>
      <c r="PT234" s="53"/>
      <c r="PU234" s="53"/>
      <c r="PV234" s="53"/>
      <c r="PW234" s="53"/>
      <c r="PX234" s="53"/>
      <c r="PY234" s="53"/>
      <c r="PZ234" s="53"/>
      <c r="QA234" s="53"/>
      <c r="QB234" s="53"/>
      <c r="QC234" s="53"/>
      <c r="QD234" s="53"/>
      <c r="QE234" s="53"/>
      <c r="QF234" s="53"/>
      <c r="QG234" s="53"/>
      <c r="QH234" s="53"/>
      <c r="QI234" s="53"/>
      <c r="QJ234" s="53"/>
      <c r="QK234" s="53"/>
      <c r="QL234" s="53"/>
      <c r="QM234" s="53"/>
      <c r="QN234" s="53"/>
      <c r="QO234" s="53"/>
      <c r="QP234" s="53"/>
      <c r="QQ234" s="53"/>
      <c r="QR234" s="53"/>
      <c r="QS234" s="53"/>
      <c r="QT234" s="53"/>
      <c r="QU234" s="53"/>
      <c r="QV234" s="53"/>
      <c r="QW234" s="53"/>
      <c r="QX234" s="53"/>
      <c r="QY234" s="53"/>
      <c r="QZ234" s="53"/>
      <c r="RA234" s="53"/>
      <c r="RB234" s="53"/>
      <c r="RC234" s="53"/>
      <c r="RD234" s="53"/>
      <c r="RE234" s="53"/>
      <c r="RF234" s="53"/>
      <c r="RG234" s="53"/>
      <c r="RH234" s="53"/>
      <c r="RI234" s="53"/>
      <c r="RJ234" s="53"/>
      <c r="RK234" s="53"/>
      <c r="RL234" s="53"/>
      <c r="RM234" s="53"/>
      <c r="RN234" s="53"/>
      <c r="RO234" s="53"/>
      <c r="RP234" s="53"/>
      <c r="RQ234" s="53"/>
      <c r="RR234" s="53"/>
      <c r="RS234" s="53"/>
      <c r="RT234" s="53"/>
      <c r="RU234" s="53"/>
      <c r="RV234" s="53"/>
      <c r="RW234" s="53"/>
      <c r="RX234" s="53"/>
      <c r="RY234" s="53"/>
      <c r="RZ234" s="53"/>
      <c r="SA234" s="53"/>
      <c r="SB234" s="53"/>
      <c r="SC234" s="53"/>
      <c r="SD234" s="53"/>
      <c r="SE234" s="53"/>
      <c r="SF234" s="53"/>
      <c r="SG234" s="53"/>
      <c r="SH234" s="53"/>
      <c r="SI234" s="53"/>
      <c r="SJ234" s="53"/>
      <c r="SK234" s="53"/>
      <c r="SL234" s="53"/>
      <c r="SM234" s="53"/>
      <c r="SN234" s="53"/>
      <c r="SO234" s="53"/>
      <c r="SP234" s="53"/>
      <c r="SQ234" s="53"/>
      <c r="SR234" s="53"/>
      <c r="SS234" s="53"/>
      <c r="ST234" s="53"/>
      <c r="SU234" s="53"/>
      <c r="SV234" s="53"/>
      <c r="SW234" s="53"/>
      <c r="SX234" s="53"/>
      <c r="SY234" s="53"/>
      <c r="SZ234" s="53"/>
      <c r="TA234" s="53"/>
      <c r="TB234" s="53"/>
      <c r="TC234" s="53"/>
      <c r="TD234" s="53"/>
      <c r="TE234" s="53"/>
      <c r="TF234" s="53"/>
      <c r="TG234" s="53"/>
      <c r="TH234" s="53"/>
      <c r="TI234" s="53"/>
      <c r="TJ234" s="53"/>
      <c r="TK234" s="53"/>
      <c r="TL234" s="53"/>
      <c r="TM234" s="53"/>
      <c r="TN234" s="53"/>
      <c r="TO234" s="53"/>
      <c r="TP234" s="53"/>
      <c r="TQ234" s="53"/>
      <c r="TR234" s="53"/>
      <c r="TS234" s="53"/>
      <c r="TT234" s="53"/>
      <c r="TU234" s="53"/>
      <c r="TV234" s="53"/>
      <c r="TW234" s="53"/>
      <c r="TX234" s="53"/>
      <c r="TY234" s="53"/>
      <c r="TZ234" s="53"/>
      <c r="UA234" s="53"/>
      <c r="UB234" s="53"/>
      <c r="UC234" s="53"/>
      <c r="UD234" s="53"/>
      <c r="UE234" s="53"/>
      <c r="UF234" s="53"/>
      <c r="UG234" s="53"/>
      <c r="UH234" s="53"/>
      <c r="UI234" s="53"/>
      <c r="UJ234" s="53"/>
      <c r="UK234" s="53"/>
      <c r="UL234" s="53"/>
      <c r="UM234" s="53"/>
      <c r="UN234" s="53"/>
      <c r="UO234" s="53"/>
      <c r="UP234" s="53"/>
      <c r="UQ234" s="53"/>
      <c r="UR234" s="53"/>
      <c r="US234" s="53"/>
      <c r="UT234" s="53"/>
      <c r="UU234" s="53"/>
      <c r="UV234" s="53"/>
      <c r="UW234" s="53"/>
      <c r="UX234" s="53"/>
      <c r="UY234" s="53"/>
      <c r="UZ234" s="53"/>
      <c r="VA234" s="53"/>
      <c r="VB234" s="53"/>
      <c r="VC234" s="53"/>
      <c r="VD234" s="53"/>
      <c r="VE234" s="53"/>
      <c r="VF234" s="53"/>
      <c r="VG234" s="53"/>
      <c r="VH234" s="53"/>
      <c r="VI234" s="53"/>
      <c r="VJ234" s="53"/>
      <c r="VK234" s="53"/>
      <c r="VL234" s="53"/>
    </row>
    <row r="235" spans="1:584" s="47" customFormat="1" ht="20.25" customHeight="1" x14ac:dyDescent="0.25">
      <c r="A235" s="91"/>
      <c r="B235" s="91"/>
      <c r="C235" s="91"/>
      <c r="D235" s="46" t="s">
        <v>342</v>
      </c>
      <c r="E235" s="115">
        <v>0</v>
      </c>
      <c r="F235" s="115"/>
      <c r="G235" s="115"/>
      <c r="H235" s="115"/>
      <c r="I235" s="115"/>
      <c r="J235" s="115"/>
      <c r="K235" s="135"/>
      <c r="L235" s="115">
        <f t="shared" si="42"/>
        <v>41000000</v>
      </c>
      <c r="M235" s="115"/>
      <c r="N235" s="115">
        <v>41000000</v>
      </c>
      <c r="O235" s="115"/>
      <c r="P235" s="115"/>
      <c r="Q235" s="115"/>
      <c r="R235" s="115">
        <f t="shared" si="61"/>
        <v>40999960</v>
      </c>
      <c r="S235" s="115"/>
      <c r="T235" s="115">
        <v>40999960</v>
      </c>
      <c r="U235" s="115"/>
      <c r="V235" s="115"/>
      <c r="W235" s="115"/>
      <c r="X235" s="166">
        <f t="shared" si="60"/>
        <v>99.999902439024396</v>
      </c>
      <c r="Y235" s="115">
        <f t="shared" si="69"/>
        <v>40999960</v>
      </c>
      <c r="Z235" s="187"/>
      <c r="AA235" s="53"/>
      <c r="AB235" s="53"/>
      <c r="AC235" s="53"/>
      <c r="AD235" s="53"/>
      <c r="AE235" s="79"/>
      <c r="AF235" s="79"/>
      <c r="AG235" s="79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3"/>
      <c r="HI235" s="53"/>
      <c r="HJ235" s="53"/>
      <c r="HK235" s="53"/>
      <c r="HL235" s="53"/>
      <c r="HM235" s="53"/>
      <c r="HN235" s="53"/>
      <c r="HO235" s="53"/>
      <c r="HP235" s="53"/>
      <c r="HQ235" s="53"/>
      <c r="HR235" s="53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  <c r="IK235" s="53"/>
      <c r="IL235" s="53"/>
      <c r="IM235" s="53"/>
      <c r="IN235" s="53"/>
      <c r="IO235" s="53"/>
      <c r="IP235" s="53"/>
      <c r="IQ235" s="53"/>
      <c r="IR235" s="53"/>
      <c r="IS235" s="53"/>
      <c r="IT235" s="53"/>
      <c r="IU235" s="53"/>
      <c r="IV235" s="53"/>
      <c r="IW235" s="53"/>
      <c r="IX235" s="53"/>
      <c r="IY235" s="53"/>
      <c r="IZ235" s="53"/>
      <c r="JA235" s="53"/>
      <c r="JB235" s="53"/>
      <c r="JC235" s="53"/>
      <c r="JD235" s="53"/>
      <c r="JE235" s="53"/>
      <c r="JF235" s="53"/>
      <c r="JG235" s="53"/>
      <c r="JH235" s="53"/>
      <c r="JI235" s="53"/>
      <c r="JJ235" s="53"/>
      <c r="JK235" s="53"/>
      <c r="JL235" s="53"/>
      <c r="JM235" s="53"/>
      <c r="JN235" s="53"/>
      <c r="JO235" s="53"/>
      <c r="JP235" s="53"/>
      <c r="JQ235" s="53"/>
      <c r="JR235" s="53"/>
      <c r="JS235" s="53"/>
      <c r="JT235" s="53"/>
      <c r="JU235" s="53"/>
      <c r="JV235" s="53"/>
      <c r="JW235" s="53"/>
      <c r="JX235" s="53"/>
      <c r="JY235" s="53"/>
      <c r="JZ235" s="53"/>
      <c r="KA235" s="53"/>
      <c r="KB235" s="53"/>
      <c r="KC235" s="53"/>
      <c r="KD235" s="53"/>
      <c r="KE235" s="53"/>
      <c r="KF235" s="53"/>
      <c r="KG235" s="53"/>
      <c r="KH235" s="53"/>
      <c r="KI235" s="53"/>
      <c r="KJ235" s="53"/>
      <c r="KK235" s="53"/>
      <c r="KL235" s="53"/>
      <c r="KM235" s="53"/>
      <c r="KN235" s="53"/>
      <c r="KO235" s="53"/>
      <c r="KP235" s="53"/>
      <c r="KQ235" s="53"/>
      <c r="KR235" s="53"/>
      <c r="KS235" s="53"/>
      <c r="KT235" s="53"/>
      <c r="KU235" s="53"/>
      <c r="KV235" s="53"/>
      <c r="KW235" s="53"/>
      <c r="KX235" s="53"/>
      <c r="KY235" s="53"/>
      <c r="KZ235" s="53"/>
      <c r="LA235" s="53"/>
      <c r="LB235" s="53"/>
      <c r="LC235" s="53"/>
      <c r="LD235" s="53"/>
      <c r="LE235" s="53"/>
      <c r="LF235" s="53"/>
      <c r="LG235" s="53"/>
      <c r="LH235" s="53"/>
      <c r="LI235" s="53"/>
      <c r="LJ235" s="53"/>
      <c r="LK235" s="53"/>
      <c r="LL235" s="53"/>
      <c r="LM235" s="53"/>
      <c r="LN235" s="53"/>
      <c r="LO235" s="53"/>
      <c r="LP235" s="53"/>
      <c r="LQ235" s="53"/>
      <c r="LR235" s="53"/>
      <c r="LS235" s="53"/>
      <c r="LT235" s="53"/>
      <c r="LU235" s="53"/>
      <c r="LV235" s="53"/>
      <c r="LW235" s="53"/>
      <c r="LX235" s="53"/>
      <c r="LY235" s="53"/>
      <c r="LZ235" s="53"/>
      <c r="MA235" s="53"/>
      <c r="MB235" s="53"/>
      <c r="MC235" s="53"/>
      <c r="MD235" s="53"/>
      <c r="ME235" s="53"/>
      <c r="MF235" s="53"/>
      <c r="MG235" s="53"/>
      <c r="MH235" s="53"/>
      <c r="MI235" s="53"/>
      <c r="MJ235" s="53"/>
      <c r="MK235" s="53"/>
      <c r="ML235" s="53"/>
      <c r="MM235" s="53"/>
      <c r="MN235" s="53"/>
      <c r="MO235" s="53"/>
      <c r="MP235" s="53"/>
      <c r="MQ235" s="53"/>
      <c r="MR235" s="53"/>
      <c r="MS235" s="53"/>
      <c r="MT235" s="53"/>
      <c r="MU235" s="53"/>
      <c r="MV235" s="53"/>
      <c r="MW235" s="53"/>
      <c r="MX235" s="53"/>
      <c r="MY235" s="53"/>
      <c r="MZ235" s="53"/>
      <c r="NA235" s="53"/>
      <c r="NB235" s="53"/>
      <c r="NC235" s="53"/>
      <c r="ND235" s="53"/>
      <c r="NE235" s="53"/>
      <c r="NF235" s="53"/>
      <c r="NG235" s="53"/>
      <c r="NH235" s="53"/>
      <c r="NI235" s="53"/>
      <c r="NJ235" s="53"/>
      <c r="NK235" s="53"/>
      <c r="NL235" s="53"/>
      <c r="NM235" s="53"/>
      <c r="NN235" s="53"/>
      <c r="NO235" s="53"/>
      <c r="NP235" s="53"/>
      <c r="NQ235" s="53"/>
      <c r="NR235" s="53"/>
      <c r="NS235" s="53"/>
      <c r="NT235" s="53"/>
      <c r="NU235" s="53"/>
      <c r="NV235" s="53"/>
      <c r="NW235" s="53"/>
      <c r="NX235" s="53"/>
      <c r="NY235" s="53"/>
      <c r="NZ235" s="53"/>
      <c r="OA235" s="53"/>
      <c r="OB235" s="53"/>
      <c r="OC235" s="53"/>
      <c r="OD235" s="53"/>
      <c r="OE235" s="53"/>
      <c r="OF235" s="53"/>
      <c r="OG235" s="53"/>
      <c r="OH235" s="53"/>
      <c r="OI235" s="53"/>
      <c r="OJ235" s="53"/>
      <c r="OK235" s="53"/>
      <c r="OL235" s="53"/>
      <c r="OM235" s="53"/>
      <c r="ON235" s="53"/>
      <c r="OO235" s="53"/>
      <c r="OP235" s="53"/>
      <c r="OQ235" s="53"/>
      <c r="OR235" s="53"/>
      <c r="OS235" s="53"/>
      <c r="OT235" s="53"/>
      <c r="OU235" s="53"/>
      <c r="OV235" s="53"/>
      <c r="OW235" s="53"/>
      <c r="OX235" s="53"/>
      <c r="OY235" s="53"/>
      <c r="OZ235" s="53"/>
      <c r="PA235" s="53"/>
      <c r="PB235" s="53"/>
      <c r="PC235" s="53"/>
      <c r="PD235" s="53"/>
      <c r="PE235" s="53"/>
      <c r="PF235" s="53"/>
      <c r="PG235" s="53"/>
      <c r="PH235" s="53"/>
      <c r="PI235" s="53"/>
      <c r="PJ235" s="53"/>
      <c r="PK235" s="53"/>
      <c r="PL235" s="53"/>
      <c r="PM235" s="53"/>
      <c r="PN235" s="53"/>
      <c r="PO235" s="53"/>
      <c r="PP235" s="53"/>
      <c r="PQ235" s="53"/>
      <c r="PR235" s="53"/>
      <c r="PS235" s="53"/>
      <c r="PT235" s="53"/>
      <c r="PU235" s="53"/>
      <c r="PV235" s="53"/>
      <c r="PW235" s="53"/>
      <c r="PX235" s="53"/>
      <c r="PY235" s="53"/>
      <c r="PZ235" s="53"/>
      <c r="QA235" s="53"/>
      <c r="QB235" s="53"/>
      <c r="QC235" s="53"/>
      <c r="QD235" s="53"/>
      <c r="QE235" s="53"/>
      <c r="QF235" s="53"/>
      <c r="QG235" s="53"/>
      <c r="QH235" s="53"/>
      <c r="QI235" s="53"/>
      <c r="QJ235" s="53"/>
      <c r="QK235" s="53"/>
      <c r="QL235" s="53"/>
      <c r="QM235" s="53"/>
      <c r="QN235" s="53"/>
      <c r="QO235" s="53"/>
      <c r="QP235" s="53"/>
      <c r="QQ235" s="53"/>
      <c r="QR235" s="53"/>
      <c r="QS235" s="53"/>
      <c r="QT235" s="53"/>
      <c r="QU235" s="53"/>
      <c r="QV235" s="53"/>
      <c r="QW235" s="53"/>
      <c r="QX235" s="53"/>
      <c r="QY235" s="53"/>
      <c r="QZ235" s="53"/>
      <c r="RA235" s="53"/>
      <c r="RB235" s="53"/>
      <c r="RC235" s="53"/>
      <c r="RD235" s="53"/>
      <c r="RE235" s="53"/>
      <c r="RF235" s="53"/>
      <c r="RG235" s="53"/>
      <c r="RH235" s="53"/>
      <c r="RI235" s="53"/>
      <c r="RJ235" s="53"/>
      <c r="RK235" s="53"/>
      <c r="RL235" s="53"/>
      <c r="RM235" s="53"/>
      <c r="RN235" s="53"/>
      <c r="RO235" s="53"/>
      <c r="RP235" s="53"/>
      <c r="RQ235" s="53"/>
      <c r="RR235" s="53"/>
      <c r="RS235" s="53"/>
      <c r="RT235" s="53"/>
      <c r="RU235" s="53"/>
      <c r="RV235" s="53"/>
      <c r="RW235" s="53"/>
      <c r="RX235" s="53"/>
      <c r="RY235" s="53"/>
      <c r="RZ235" s="53"/>
      <c r="SA235" s="53"/>
      <c r="SB235" s="53"/>
      <c r="SC235" s="53"/>
      <c r="SD235" s="53"/>
      <c r="SE235" s="53"/>
      <c r="SF235" s="53"/>
      <c r="SG235" s="53"/>
      <c r="SH235" s="53"/>
      <c r="SI235" s="53"/>
      <c r="SJ235" s="53"/>
      <c r="SK235" s="53"/>
      <c r="SL235" s="53"/>
      <c r="SM235" s="53"/>
      <c r="SN235" s="53"/>
      <c r="SO235" s="53"/>
      <c r="SP235" s="53"/>
      <c r="SQ235" s="53"/>
      <c r="SR235" s="53"/>
      <c r="SS235" s="53"/>
      <c r="ST235" s="53"/>
      <c r="SU235" s="53"/>
      <c r="SV235" s="53"/>
      <c r="SW235" s="53"/>
      <c r="SX235" s="53"/>
      <c r="SY235" s="53"/>
      <c r="SZ235" s="53"/>
      <c r="TA235" s="53"/>
      <c r="TB235" s="53"/>
      <c r="TC235" s="53"/>
      <c r="TD235" s="53"/>
      <c r="TE235" s="53"/>
      <c r="TF235" s="53"/>
      <c r="TG235" s="53"/>
      <c r="TH235" s="53"/>
      <c r="TI235" s="53"/>
      <c r="TJ235" s="53"/>
      <c r="TK235" s="53"/>
      <c r="TL235" s="53"/>
      <c r="TM235" s="53"/>
      <c r="TN235" s="53"/>
      <c r="TO235" s="53"/>
      <c r="TP235" s="53"/>
      <c r="TQ235" s="53"/>
      <c r="TR235" s="53"/>
      <c r="TS235" s="53"/>
      <c r="TT235" s="53"/>
      <c r="TU235" s="53"/>
      <c r="TV235" s="53"/>
      <c r="TW235" s="53"/>
      <c r="TX235" s="53"/>
      <c r="TY235" s="53"/>
      <c r="TZ235" s="53"/>
      <c r="UA235" s="53"/>
      <c r="UB235" s="53"/>
      <c r="UC235" s="53"/>
      <c r="UD235" s="53"/>
      <c r="UE235" s="53"/>
      <c r="UF235" s="53"/>
      <c r="UG235" s="53"/>
      <c r="UH235" s="53"/>
      <c r="UI235" s="53"/>
      <c r="UJ235" s="53"/>
      <c r="UK235" s="53"/>
      <c r="UL235" s="53"/>
      <c r="UM235" s="53"/>
      <c r="UN235" s="53"/>
      <c r="UO235" s="53"/>
      <c r="UP235" s="53"/>
      <c r="UQ235" s="53"/>
      <c r="UR235" s="53"/>
      <c r="US235" s="53"/>
      <c r="UT235" s="53"/>
      <c r="UU235" s="53"/>
      <c r="UV235" s="53"/>
      <c r="UW235" s="53"/>
      <c r="UX235" s="53"/>
      <c r="UY235" s="53"/>
      <c r="UZ235" s="53"/>
      <c r="VA235" s="53"/>
      <c r="VB235" s="53"/>
      <c r="VC235" s="53"/>
      <c r="VD235" s="53"/>
      <c r="VE235" s="53"/>
      <c r="VF235" s="53"/>
      <c r="VG235" s="53"/>
      <c r="VH235" s="53"/>
      <c r="VI235" s="53"/>
      <c r="VJ235" s="53"/>
      <c r="VK235" s="53"/>
      <c r="VL235" s="53"/>
    </row>
    <row r="236" spans="1:584" s="47" customFormat="1" ht="20.25" customHeight="1" x14ac:dyDescent="0.25">
      <c r="A236" s="91" t="s">
        <v>267</v>
      </c>
      <c r="B236" s="91" t="str">
        <f>'дод 3'!A189</f>
        <v>7640</v>
      </c>
      <c r="C236" s="91" t="str">
        <f>'дод 3'!B189</f>
        <v>0470</v>
      </c>
      <c r="D236" s="48" t="str">
        <f>'дод 3'!C189</f>
        <v>Заходи з енергозбереження</v>
      </c>
      <c r="E236" s="115">
        <v>1820000</v>
      </c>
      <c r="F236" s="115"/>
      <c r="G236" s="115"/>
      <c r="H236" s="115">
        <v>1781636.36</v>
      </c>
      <c r="I236" s="115"/>
      <c r="J236" s="115"/>
      <c r="K236" s="164">
        <f t="shared" si="59"/>
        <v>97.89210769230769</v>
      </c>
      <c r="L236" s="115">
        <f t="shared" si="42"/>
        <v>0</v>
      </c>
      <c r="M236" s="115"/>
      <c r="N236" s="115"/>
      <c r="O236" s="115"/>
      <c r="P236" s="115"/>
      <c r="Q236" s="115"/>
      <c r="R236" s="115">
        <f t="shared" si="61"/>
        <v>0</v>
      </c>
      <c r="S236" s="115"/>
      <c r="T236" s="115"/>
      <c r="U236" s="115"/>
      <c r="V236" s="115"/>
      <c r="W236" s="115"/>
      <c r="X236" s="166"/>
      <c r="Y236" s="115">
        <f t="shared" si="69"/>
        <v>1781636.36</v>
      </c>
      <c r="Z236" s="187"/>
      <c r="AA236" s="53"/>
      <c r="AB236" s="53"/>
      <c r="AC236" s="53"/>
      <c r="AD236" s="53"/>
      <c r="AE236" s="79"/>
      <c r="AF236" s="79"/>
      <c r="AG236" s="79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  <c r="IL236" s="53"/>
      <c r="IM236" s="53"/>
      <c r="IN236" s="53"/>
      <c r="IO236" s="53"/>
      <c r="IP236" s="53"/>
      <c r="IQ236" s="53"/>
      <c r="IR236" s="53"/>
      <c r="IS236" s="53"/>
      <c r="IT236" s="53"/>
      <c r="IU236" s="53"/>
      <c r="IV236" s="53"/>
      <c r="IW236" s="53"/>
      <c r="IX236" s="53"/>
      <c r="IY236" s="53"/>
      <c r="IZ236" s="53"/>
      <c r="JA236" s="53"/>
      <c r="JB236" s="53"/>
      <c r="JC236" s="53"/>
      <c r="JD236" s="53"/>
      <c r="JE236" s="53"/>
      <c r="JF236" s="53"/>
      <c r="JG236" s="53"/>
      <c r="JH236" s="53"/>
      <c r="JI236" s="53"/>
      <c r="JJ236" s="53"/>
      <c r="JK236" s="53"/>
      <c r="JL236" s="53"/>
      <c r="JM236" s="53"/>
      <c r="JN236" s="53"/>
      <c r="JO236" s="53"/>
      <c r="JP236" s="53"/>
      <c r="JQ236" s="53"/>
      <c r="JR236" s="53"/>
      <c r="JS236" s="53"/>
      <c r="JT236" s="53"/>
      <c r="JU236" s="53"/>
      <c r="JV236" s="53"/>
      <c r="JW236" s="53"/>
      <c r="JX236" s="53"/>
      <c r="JY236" s="53"/>
      <c r="JZ236" s="53"/>
      <c r="KA236" s="53"/>
      <c r="KB236" s="53"/>
      <c r="KC236" s="53"/>
      <c r="KD236" s="53"/>
      <c r="KE236" s="53"/>
      <c r="KF236" s="53"/>
      <c r="KG236" s="53"/>
      <c r="KH236" s="53"/>
      <c r="KI236" s="53"/>
      <c r="KJ236" s="53"/>
      <c r="KK236" s="53"/>
      <c r="KL236" s="53"/>
      <c r="KM236" s="53"/>
      <c r="KN236" s="53"/>
      <c r="KO236" s="53"/>
      <c r="KP236" s="53"/>
      <c r="KQ236" s="53"/>
      <c r="KR236" s="53"/>
      <c r="KS236" s="53"/>
      <c r="KT236" s="53"/>
      <c r="KU236" s="53"/>
      <c r="KV236" s="53"/>
      <c r="KW236" s="53"/>
      <c r="KX236" s="53"/>
      <c r="KY236" s="53"/>
      <c r="KZ236" s="53"/>
      <c r="LA236" s="53"/>
      <c r="LB236" s="53"/>
      <c r="LC236" s="53"/>
      <c r="LD236" s="53"/>
      <c r="LE236" s="53"/>
      <c r="LF236" s="53"/>
      <c r="LG236" s="53"/>
      <c r="LH236" s="53"/>
      <c r="LI236" s="53"/>
      <c r="LJ236" s="53"/>
      <c r="LK236" s="53"/>
      <c r="LL236" s="53"/>
      <c r="LM236" s="53"/>
      <c r="LN236" s="53"/>
      <c r="LO236" s="53"/>
      <c r="LP236" s="53"/>
      <c r="LQ236" s="53"/>
      <c r="LR236" s="53"/>
      <c r="LS236" s="53"/>
      <c r="LT236" s="53"/>
      <c r="LU236" s="53"/>
      <c r="LV236" s="53"/>
      <c r="LW236" s="53"/>
      <c r="LX236" s="53"/>
      <c r="LY236" s="53"/>
      <c r="LZ236" s="53"/>
      <c r="MA236" s="53"/>
      <c r="MB236" s="53"/>
      <c r="MC236" s="53"/>
      <c r="MD236" s="53"/>
      <c r="ME236" s="53"/>
      <c r="MF236" s="53"/>
      <c r="MG236" s="53"/>
      <c r="MH236" s="53"/>
      <c r="MI236" s="53"/>
      <c r="MJ236" s="53"/>
      <c r="MK236" s="53"/>
      <c r="ML236" s="53"/>
      <c r="MM236" s="53"/>
      <c r="MN236" s="53"/>
      <c r="MO236" s="53"/>
      <c r="MP236" s="53"/>
      <c r="MQ236" s="53"/>
      <c r="MR236" s="53"/>
      <c r="MS236" s="53"/>
      <c r="MT236" s="53"/>
      <c r="MU236" s="53"/>
      <c r="MV236" s="53"/>
      <c r="MW236" s="53"/>
      <c r="MX236" s="53"/>
      <c r="MY236" s="53"/>
      <c r="MZ236" s="53"/>
      <c r="NA236" s="53"/>
      <c r="NB236" s="53"/>
      <c r="NC236" s="53"/>
      <c r="ND236" s="53"/>
      <c r="NE236" s="53"/>
      <c r="NF236" s="53"/>
      <c r="NG236" s="53"/>
      <c r="NH236" s="53"/>
      <c r="NI236" s="53"/>
      <c r="NJ236" s="53"/>
      <c r="NK236" s="53"/>
      <c r="NL236" s="53"/>
      <c r="NM236" s="53"/>
      <c r="NN236" s="53"/>
      <c r="NO236" s="53"/>
      <c r="NP236" s="53"/>
      <c r="NQ236" s="53"/>
      <c r="NR236" s="53"/>
      <c r="NS236" s="53"/>
      <c r="NT236" s="53"/>
      <c r="NU236" s="53"/>
      <c r="NV236" s="53"/>
      <c r="NW236" s="53"/>
      <c r="NX236" s="53"/>
      <c r="NY236" s="53"/>
      <c r="NZ236" s="53"/>
      <c r="OA236" s="53"/>
      <c r="OB236" s="53"/>
      <c r="OC236" s="53"/>
      <c r="OD236" s="53"/>
      <c r="OE236" s="53"/>
      <c r="OF236" s="53"/>
      <c r="OG236" s="53"/>
      <c r="OH236" s="53"/>
      <c r="OI236" s="53"/>
      <c r="OJ236" s="53"/>
      <c r="OK236" s="53"/>
      <c r="OL236" s="53"/>
      <c r="OM236" s="53"/>
      <c r="ON236" s="53"/>
      <c r="OO236" s="53"/>
      <c r="OP236" s="53"/>
      <c r="OQ236" s="53"/>
      <c r="OR236" s="53"/>
      <c r="OS236" s="53"/>
      <c r="OT236" s="53"/>
      <c r="OU236" s="53"/>
      <c r="OV236" s="53"/>
      <c r="OW236" s="53"/>
      <c r="OX236" s="53"/>
      <c r="OY236" s="53"/>
      <c r="OZ236" s="53"/>
      <c r="PA236" s="53"/>
      <c r="PB236" s="53"/>
      <c r="PC236" s="53"/>
      <c r="PD236" s="53"/>
      <c r="PE236" s="53"/>
      <c r="PF236" s="53"/>
      <c r="PG236" s="53"/>
      <c r="PH236" s="53"/>
      <c r="PI236" s="53"/>
      <c r="PJ236" s="53"/>
      <c r="PK236" s="53"/>
      <c r="PL236" s="53"/>
      <c r="PM236" s="53"/>
      <c r="PN236" s="53"/>
      <c r="PO236" s="53"/>
      <c r="PP236" s="53"/>
      <c r="PQ236" s="53"/>
      <c r="PR236" s="53"/>
      <c r="PS236" s="53"/>
      <c r="PT236" s="53"/>
      <c r="PU236" s="53"/>
      <c r="PV236" s="53"/>
      <c r="PW236" s="53"/>
      <c r="PX236" s="53"/>
      <c r="PY236" s="53"/>
      <c r="PZ236" s="53"/>
      <c r="QA236" s="53"/>
      <c r="QB236" s="53"/>
      <c r="QC236" s="53"/>
      <c r="QD236" s="53"/>
      <c r="QE236" s="53"/>
      <c r="QF236" s="53"/>
      <c r="QG236" s="53"/>
      <c r="QH236" s="53"/>
      <c r="QI236" s="53"/>
      <c r="QJ236" s="53"/>
      <c r="QK236" s="53"/>
      <c r="QL236" s="53"/>
      <c r="QM236" s="53"/>
      <c r="QN236" s="53"/>
      <c r="QO236" s="53"/>
      <c r="QP236" s="53"/>
      <c r="QQ236" s="53"/>
      <c r="QR236" s="53"/>
      <c r="QS236" s="53"/>
      <c r="QT236" s="53"/>
      <c r="QU236" s="53"/>
      <c r="QV236" s="53"/>
      <c r="QW236" s="53"/>
      <c r="QX236" s="53"/>
      <c r="QY236" s="53"/>
      <c r="QZ236" s="53"/>
      <c r="RA236" s="53"/>
      <c r="RB236" s="53"/>
      <c r="RC236" s="53"/>
      <c r="RD236" s="53"/>
      <c r="RE236" s="53"/>
      <c r="RF236" s="53"/>
      <c r="RG236" s="53"/>
      <c r="RH236" s="53"/>
      <c r="RI236" s="53"/>
      <c r="RJ236" s="53"/>
      <c r="RK236" s="53"/>
      <c r="RL236" s="53"/>
      <c r="RM236" s="53"/>
      <c r="RN236" s="53"/>
      <c r="RO236" s="53"/>
      <c r="RP236" s="53"/>
      <c r="RQ236" s="53"/>
      <c r="RR236" s="53"/>
      <c r="RS236" s="53"/>
      <c r="RT236" s="53"/>
      <c r="RU236" s="53"/>
      <c r="RV236" s="53"/>
      <c r="RW236" s="53"/>
      <c r="RX236" s="53"/>
      <c r="RY236" s="53"/>
      <c r="RZ236" s="53"/>
      <c r="SA236" s="53"/>
      <c r="SB236" s="53"/>
      <c r="SC236" s="53"/>
      <c r="SD236" s="53"/>
      <c r="SE236" s="53"/>
      <c r="SF236" s="53"/>
      <c r="SG236" s="53"/>
      <c r="SH236" s="53"/>
      <c r="SI236" s="53"/>
      <c r="SJ236" s="53"/>
      <c r="SK236" s="53"/>
      <c r="SL236" s="53"/>
      <c r="SM236" s="53"/>
      <c r="SN236" s="53"/>
      <c r="SO236" s="53"/>
      <c r="SP236" s="53"/>
      <c r="SQ236" s="53"/>
      <c r="SR236" s="53"/>
      <c r="SS236" s="53"/>
      <c r="ST236" s="53"/>
      <c r="SU236" s="53"/>
      <c r="SV236" s="53"/>
      <c r="SW236" s="53"/>
      <c r="SX236" s="53"/>
      <c r="SY236" s="53"/>
      <c r="SZ236" s="53"/>
      <c r="TA236" s="53"/>
      <c r="TB236" s="53"/>
      <c r="TC236" s="53"/>
      <c r="TD236" s="53"/>
      <c r="TE236" s="53"/>
      <c r="TF236" s="53"/>
      <c r="TG236" s="53"/>
      <c r="TH236" s="53"/>
      <c r="TI236" s="53"/>
      <c r="TJ236" s="53"/>
      <c r="TK236" s="53"/>
      <c r="TL236" s="53"/>
      <c r="TM236" s="53"/>
      <c r="TN236" s="53"/>
      <c r="TO236" s="53"/>
      <c r="TP236" s="53"/>
      <c r="TQ236" s="53"/>
      <c r="TR236" s="53"/>
      <c r="TS236" s="53"/>
      <c r="TT236" s="53"/>
      <c r="TU236" s="53"/>
      <c r="TV236" s="53"/>
      <c r="TW236" s="53"/>
      <c r="TX236" s="53"/>
      <c r="TY236" s="53"/>
      <c r="TZ236" s="53"/>
      <c r="UA236" s="53"/>
      <c r="UB236" s="53"/>
      <c r="UC236" s="53"/>
      <c r="UD236" s="53"/>
      <c r="UE236" s="53"/>
      <c r="UF236" s="53"/>
      <c r="UG236" s="53"/>
      <c r="UH236" s="53"/>
      <c r="UI236" s="53"/>
      <c r="UJ236" s="53"/>
      <c r="UK236" s="53"/>
      <c r="UL236" s="53"/>
      <c r="UM236" s="53"/>
      <c r="UN236" s="53"/>
      <c r="UO236" s="53"/>
      <c r="UP236" s="53"/>
      <c r="UQ236" s="53"/>
      <c r="UR236" s="53"/>
      <c r="US236" s="53"/>
      <c r="UT236" s="53"/>
      <c r="UU236" s="53"/>
      <c r="UV236" s="53"/>
      <c r="UW236" s="53"/>
      <c r="UX236" s="53"/>
      <c r="UY236" s="53"/>
      <c r="UZ236" s="53"/>
      <c r="VA236" s="53"/>
      <c r="VB236" s="53"/>
      <c r="VC236" s="53"/>
      <c r="VD236" s="53"/>
      <c r="VE236" s="53"/>
      <c r="VF236" s="53"/>
      <c r="VG236" s="53"/>
      <c r="VH236" s="53"/>
      <c r="VI236" s="53"/>
      <c r="VJ236" s="53"/>
      <c r="VK236" s="53"/>
      <c r="VL236" s="53"/>
    </row>
    <row r="237" spans="1:584" s="47" customFormat="1" ht="23.25" customHeight="1" x14ac:dyDescent="0.25">
      <c r="A237" s="91" t="s">
        <v>561</v>
      </c>
      <c r="B237" s="91" t="str">
        <f>'дод 3'!A192</f>
        <v>7670</v>
      </c>
      <c r="C237" s="91" t="str">
        <f>'дод 3'!B192</f>
        <v>0490</v>
      </c>
      <c r="D237" s="56" t="str">
        <f>'дод 3'!C192</f>
        <v>Внески до статутного капіталу суб’єктів господарювання</v>
      </c>
      <c r="E237" s="115">
        <v>0</v>
      </c>
      <c r="F237" s="115"/>
      <c r="G237" s="115"/>
      <c r="H237" s="115"/>
      <c r="I237" s="115"/>
      <c r="J237" s="115"/>
      <c r="K237" s="135"/>
      <c r="L237" s="115">
        <f t="shared" si="42"/>
        <v>463000</v>
      </c>
      <c r="M237" s="115">
        <f>63000+300000+1000000-1000000+100000</f>
        <v>463000</v>
      </c>
      <c r="N237" s="115"/>
      <c r="O237" s="115"/>
      <c r="P237" s="115"/>
      <c r="Q237" s="115">
        <f>63000+300000+1000000-1000000+100000</f>
        <v>463000</v>
      </c>
      <c r="R237" s="115">
        <f t="shared" si="61"/>
        <v>359798.98</v>
      </c>
      <c r="S237" s="115">
        <v>359798.98</v>
      </c>
      <c r="T237" s="115"/>
      <c r="U237" s="115"/>
      <c r="V237" s="115"/>
      <c r="W237" s="115">
        <v>359798.98</v>
      </c>
      <c r="X237" s="166">
        <f t="shared" si="60"/>
        <v>77.710362850971919</v>
      </c>
      <c r="Y237" s="115">
        <f t="shared" si="69"/>
        <v>359798.98</v>
      </c>
      <c r="Z237" s="187"/>
      <c r="AA237" s="53"/>
      <c r="AB237" s="53"/>
      <c r="AC237" s="53"/>
      <c r="AD237" s="53"/>
      <c r="AE237" s="79"/>
      <c r="AF237" s="79"/>
      <c r="AG237" s="79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  <c r="IL237" s="53"/>
      <c r="IM237" s="53"/>
      <c r="IN237" s="53"/>
      <c r="IO237" s="53"/>
      <c r="IP237" s="53"/>
      <c r="IQ237" s="53"/>
      <c r="IR237" s="53"/>
      <c r="IS237" s="53"/>
      <c r="IT237" s="53"/>
      <c r="IU237" s="53"/>
      <c r="IV237" s="53"/>
      <c r="IW237" s="53"/>
      <c r="IX237" s="53"/>
      <c r="IY237" s="53"/>
      <c r="IZ237" s="53"/>
      <c r="JA237" s="53"/>
      <c r="JB237" s="53"/>
      <c r="JC237" s="53"/>
      <c r="JD237" s="53"/>
      <c r="JE237" s="53"/>
      <c r="JF237" s="53"/>
      <c r="JG237" s="53"/>
      <c r="JH237" s="53"/>
      <c r="JI237" s="53"/>
      <c r="JJ237" s="53"/>
      <c r="JK237" s="53"/>
      <c r="JL237" s="53"/>
      <c r="JM237" s="53"/>
      <c r="JN237" s="53"/>
      <c r="JO237" s="53"/>
      <c r="JP237" s="53"/>
      <c r="JQ237" s="53"/>
      <c r="JR237" s="53"/>
      <c r="JS237" s="53"/>
      <c r="JT237" s="53"/>
      <c r="JU237" s="53"/>
      <c r="JV237" s="53"/>
      <c r="JW237" s="53"/>
      <c r="JX237" s="53"/>
      <c r="JY237" s="53"/>
      <c r="JZ237" s="53"/>
      <c r="KA237" s="53"/>
      <c r="KB237" s="53"/>
      <c r="KC237" s="53"/>
      <c r="KD237" s="53"/>
      <c r="KE237" s="53"/>
      <c r="KF237" s="53"/>
      <c r="KG237" s="53"/>
      <c r="KH237" s="53"/>
      <c r="KI237" s="53"/>
      <c r="KJ237" s="53"/>
      <c r="KK237" s="53"/>
      <c r="KL237" s="53"/>
      <c r="KM237" s="53"/>
      <c r="KN237" s="53"/>
      <c r="KO237" s="53"/>
      <c r="KP237" s="53"/>
      <c r="KQ237" s="53"/>
      <c r="KR237" s="53"/>
      <c r="KS237" s="53"/>
      <c r="KT237" s="53"/>
      <c r="KU237" s="53"/>
      <c r="KV237" s="53"/>
      <c r="KW237" s="53"/>
      <c r="KX237" s="53"/>
      <c r="KY237" s="53"/>
      <c r="KZ237" s="53"/>
      <c r="LA237" s="53"/>
      <c r="LB237" s="53"/>
      <c r="LC237" s="53"/>
      <c r="LD237" s="53"/>
      <c r="LE237" s="53"/>
      <c r="LF237" s="53"/>
      <c r="LG237" s="53"/>
      <c r="LH237" s="53"/>
      <c r="LI237" s="53"/>
      <c r="LJ237" s="53"/>
      <c r="LK237" s="53"/>
      <c r="LL237" s="53"/>
      <c r="LM237" s="53"/>
      <c r="LN237" s="53"/>
      <c r="LO237" s="53"/>
      <c r="LP237" s="53"/>
      <c r="LQ237" s="53"/>
      <c r="LR237" s="53"/>
      <c r="LS237" s="53"/>
      <c r="LT237" s="53"/>
      <c r="LU237" s="53"/>
      <c r="LV237" s="53"/>
      <c r="LW237" s="53"/>
      <c r="LX237" s="53"/>
      <c r="LY237" s="53"/>
      <c r="LZ237" s="53"/>
      <c r="MA237" s="53"/>
      <c r="MB237" s="53"/>
      <c r="MC237" s="53"/>
      <c r="MD237" s="53"/>
      <c r="ME237" s="53"/>
      <c r="MF237" s="53"/>
      <c r="MG237" s="53"/>
      <c r="MH237" s="53"/>
      <c r="MI237" s="53"/>
      <c r="MJ237" s="53"/>
      <c r="MK237" s="53"/>
      <c r="ML237" s="53"/>
      <c r="MM237" s="53"/>
      <c r="MN237" s="53"/>
      <c r="MO237" s="53"/>
      <c r="MP237" s="53"/>
      <c r="MQ237" s="53"/>
      <c r="MR237" s="53"/>
      <c r="MS237" s="53"/>
      <c r="MT237" s="53"/>
      <c r="MU237" s="53"/>
      <c r="MV237" s="53"/>
      <c r="MW237" s="53"/>
      <c r="MX237" s="53"/>
      <c r="MY237" s="53"/>
      <c r="MZ237" s="53"/>
      <c r="NA237" s="53"/>
      <c r="NB237" s="53"/>
      <c r="NC237" s="53"/>
      <c r="ND237" s="53"/>
      <c r="NE237" s="53"/>
      <c r="NF237" s="53"/>
      <c r="NG237" s="53"/>
      <c r="NH237" s="53"/>
      <c r="NI237" s="53"/>
      <c r="NJ237" s="53"/>
      <c r="NK237" s="53"/>
      <c r="NL237" s="53"/>
      <c r="NM237" s="53"/>
      <c r="NN237" s="53"/>
      <c r="NO237" s="53"/>
      <c r="NP237" s="53"/>
      <c r="NQ237" s="53"/>
      <c r="NR237" s="53"/>
      <c r="NS237" s="53"/>
      <c r="NT237" s="53"/>
      <c r="NU237" s="53"/>
      <c r="NV237" s="53"/>
      <c r="NW237" s="53"/>
      <c r="NX237" s="53"/>
      <c r="NY237" s="53"/>
      <c r="NZ237" s="53"/>
      <c r="OA237" s="53"/>
      <c r="OB237" s="53"/>
      <c r="OC237" s="53"/>
      <c r="OD237" s="53"/>
      <c r="OE237" s="53"/>
      <c r="OF237" s="53"/>
      <c r="OG237" s="53"/>
      <c r="OH237" s="53"/>
      <c r="OI237" s="53"/>
      <c r="OJ237" s="53"/>
      <c r="OK237" s="53"/>
      <c r="OL237" s="53"/>
      <c r="OM237" s="53"/>
      <c r="ON237" s="53"/>
      <c r="OO237" s="53"/>
      <c r="OP237" s="53"/>
      <c r="OQ237" s="53"/>
      <c r="OR237" s="53"/>
      <c r="OS237" s="53"/>
      <c r="OT237" s="53"/>
      <c r="OU237" s="53"/>
      <c r="OV237" s="53"/>
      <c r="OW237" s="53"/>
      <c r="OX237" s="53"/>
      <c r="OY237" s="53"/>
      <c r="OZ237" s="53"/>
      <c r="PA237" s="53"/>
      <c r="PB237" s="53"/>
      <c r="PC237" s="53"/>
      <c r="PD237" s="53"/>
      <c r="PE237" s="53"/>
      <c r="PF237" s="53"/>
      <c r="PG237" s="53"/>
      <c r="PH237" s="53"/>
      <c r="PI237" s="53"/>
      <c r="PJ237" s="53"/>
      <c r="PK237" s="53"/>
      <c r="PL237" s="53"/>
      <c r="PM237" s="53"/>
      <c r="PN237" s="53"/>
      <c r="PO237" s="53"/>
      <c r="PP237" s="53"/>
      <c r="PQ237" s="53"/>
      <c r="PR237" s="53"/>
      <c r="PS237" s="53"/>
      <c r="PT237" s="53"/>
      <c r="PU237" s="53"/>
      <c r="PV237" s="53"/>
      <c r="PW237" s="53"/>
      <c r="PX237" s="53"/>
      <c r="PY237" s="53"/>
      <c r="PZ237" s="53"/>
      <c r="QA237" s="53"/>
      <c r="QB237" s="53"/>
      <c r="QC237" s="53"/>
      <c r="QD237" s="53"/>
      <c r="QE237" s="53"/>
      <c r="QF237" s="53"/>
      <c r="QG237" s="53"/>
      <c r="QH237" s="53"/>
      <c r="QI237" s="53"/>
      <c r="QJ237" s="53"/>
      <c r="QK237" s="53"/>
      <c r="QL237" s="53"/>
      <c r="QM237" s="53"/>
      <c r="QN237" s="53"/>
      <c r="QO237" s="53"/>
      <c r="QP237" s="53"/>
      <c r="QQ237" s="53"/>
      <c r="QR237" s="53"/>
      <c r="QS237" s="53"/>
      <c r="QT237" s="53"/>
      <c r="QU237" s="53"/>
      <c r="QV237" s="53"/>
      <c r="QW237" s="53"/>
      <c r="QX237" s="53"/>
      <c r="QY237" s="53"/>
      <c r="QZ237" s="53"/>
      <c r="RA237" s="53"/>
      <c r="RB237" s="53"/>
      <c r="RC237" s="53"/>
      <c r="RD237" s="53"/>
      <c r="RE237" s="53"/>
      <c r="RF237" s="53"/>
      <c r="RG237" s="53"/>
      <c r="RH237" s="53"/>
      <c r="RI237" s="53"/>
      <c r="RJ237" s="53"/>
      <c r="RK237" s="53"/>
      <c r="RL237" s="53"/>
      <c r="RM237" s="53"/>
      <c r="RN237" s="53"/>
      <c r="RO237" s="53"/>
      <c r="RP237" s="53"/>
      <c r="RQ237" s="53"/>
      <c r="RR237" s="53"/>
      <c r="RS237" s="53"/>
      <c r="RT237" s="53"/>
      <c r="RU237" s="53"/>
      <c r="RV237" s="53"/>
      <c r="RW237" s="53"/>
      <c r="RX237" s="53"/>
      <c r="RY237" s="53"/>
      <c r="RZ237" s="53"/>
      <c r="SA237" s="53"/>
      <c r="SB237" s="53"/>
      <c r="SC237" s="53"/>
      <c r="SD237" s="53"/>
      <c r="SE237" s="53"/>
      <c r="SF237" s="53"/>
      <c r="SG237" s="53"/>
      <c r="SH237" s="53"/>
      <c r="SI237" s="53"/>
      <c r="SJ237" s="53"/>
      <c r="SK237" s="53"/>
      <c r="SL237" s="53"/>
      <c r="SM237" s="53"/>
      <c r="SN237" s="53"/>
      <c r="SO237" s="53"/>
      <c r="SP237" s="53"/>
      <c r="SQ237" s="53"/>
      <c r="SR237" s="53"/>
      <c r="SS237" s="53"/>
      <c r="ST237" s="53"/>
      <c r="SU237" s="53"/>
      <c r="SV237" s="53"/>
      <c r="SW237" s="53"/>
      <c r="SX237" s="53"/>
      <c r="SY237" s="53"/>
      <c r="SZ237" s="53"/>
      <c r="TA237" s="53"/>
      <c r="TB237" s="53"/>
      <c r="TC237" s="53"/>
      <c r="TD237" s="53"/>
      <c r="TE237" s="53"/>
      <c r="TF237" s="53"/>
      <c r="TG237" s="53"/>
      <c r="TH237" s="53"/>
      <c r="TI237" s="53"/>
      <c r="TJ237" s="53"/>
      <c r="TK237" s="53"/>
      <c r="TL237" s="53"/>
      <c r="TM237" s="53"/>
      <c r="TN237" s="53"/>
      <c r="TO237" s="53"/>
      <c r="TP237" s="53"/>
      <c r="TQ237" s="53"/>
      <c r="TR237" s="53"/>
      <c r="TS237" s="53"/>
      <c r="TT237" s="53"/>
      <c r="TU237" s="53"/>
      <c r="TV237" s="53"/>
      <c r="TW237" s="53"/>
      <c r="TX237" s="53"/>
      <c r="TY237" s="53"/>
      <c r="TZ237" s="53"/>
      <c r="UA237" s="53"/>
      <c r="UB237" s="53"/>
      <c r="UC237" s="53"/>
      <c r="UD237" s="53"/>
      <c r="UE237" s="53"/>
      <c r="UF237" s="53"/>
      <c r="UG237" s="53"/>
      <c r="UH237" s="53"/>
      <c r="UI237" s="53"/>
      <c r="UJ237" s="53"/>
      <c r="UK237" s="53"/>
      <c r="UL237" s="53"/>
      <c r="UM237" s="53"/>
      <c r="UN237" s="53"/>
      <c r="UO237" s="53"/>
      <c r="UP237" s="53"/>
      <c r="UQ237" s="53"/>
      <c r="UR237" s="53"/>
      <c r="US237" s="53"/>
      <c r="UT237" s="53"/>
      <c r="UU237" s="53"/>
      <c r="UV237" s="53"/>
      <c r="UW237" s="53"/>
      <c r="UX237" s="53"/>
      <c r="UY237" s="53"/>
      <c r="UZ237" s="53"/>
      <c r="VA237" s="53"/>
      <c r="VB237" s="53"/>
      <c r="VC237" s="53"/>
      <c r="VD237" s="53"/>
      <c r="VE237" s="53"/>
      <c r="VF237" s="53"/>
      <c r="VG237" s="53"/>
      <c r="VH237" s="53"/>
      <c r="VI237" s="53"/>
      <c r="VJ237" s="53"/>
      <c r="VK237" s="53"/>
      <c r="VL237" s="53"/>
    </row>
    <row r="238" spans="1:584" s="47" customFormat="1" ht="90" x14ac:dyDescent="0.25">
      <c r="A238" s="49" t="s">
        <v>390</v>
      </c>
      <c r="B238" s="93">
        <v>7691</v>
      </c>
      <c r="C238" s="93" t="s">
        <v>112</v>
      </c>
      <c r="D238" s="46" t="s">
        <v>413</v>
      </c>
      <c r="E238" s="115">
        <v>0</v>
      </c>
      <c r="F238" s="115"/>
      <c r="G238" s="115"/>
      <c r="H238" s="115"/>
      <c r="I238" s="115"/>
      <c r="J238" s="115"/>
      <c r="K238" s="135"/>
      <c r="L238" s="115">
        <f t="shared" si="42"/>
        <v>287835.41000000003</v>
      </c>
      <c r="M238" s="115"/>
      <c r="N238" s="115">
        <f>65000+20000+67835.41</f>
        <v>152835.41</v>
      </c>
      <c r="O238" s="115"/>
      <c r="P238" s="115"/>
      <c r="Q238" s="115">
        <f>20000+115000</f>
        <v>135000</v>
      </c>
      <c r="R238" s="115">
        <f t="shared" si="61"/>
        <v>17859.849999999999</v>
      </c>
      <c r="S238" s="115"/>
      <c r="T238" s="115"/>
      <c r="U238" s="115"/>
      <c r="V238" s="115"/>
      <c r="W238" s="115">
        <v>17859.849999999999</v>
      </c>
      <c r="X238" s="166">
        <f t="shared" si="60"/>
        <v>6.2048828530165894</v>
      </c>
      <c r="Y238" s="115">
        <f t="shared" si="69"/>
        <v>17859.849999999999</v>
      </c>
      <c r="Z238" s="187"/>
      <c r="AA238" s="53"/>
      <c r="AB238" s="53"/>
      <c r="AC238" s="53"/>
      <c r="AD238" s="53"/>
      <c r="AE238" s="79"/>
      <c r="AF238" s="79"/>
      <c r="AG238" s="79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  <c r="IK238" s="53"/>
      <c r="IL238" s="53"/>
      <c r="IM238" s="53"/>
      <c r="IN238" s="53"/>
      <c r="IO238" s="53"/>
      <c r="IP238" s="53"/>
      <c r="IQ238" s="53"/>
      <c r="IR238" s="53"/>
      <c r="IS238" s="53"/>
      <c r="IT238" s="53"/>
      <c r="IU238" s="53"/>
      <c r="IV238" s="53"/>
      <c r="IW238" s="53"/>
      <c r="IX238" s="53"/>
      <c r="IY238" s="53"/>
      <c r="IZ238" s="53"/>
      <c r="JA238" s="53"/>
      <c r="JB238" s="53"/>
      <c r="JC238" s="53"/>
      <c r="JD238" s="53"/>
      <c r="JE238" s="53"/>
      <c r="JF238" s="53"/>
      <c r="JG238" s="53"/>
      <c r="JH238" s="53"/>
      <c r="JI238" s="53"/>
      <c r="JJ238" s="53"/>
      <c r="JK238" s="53"/>
      <c r="JL238" s="53"/>
      <c r="JM238" s="53"/>
      <c r="JN238" s="53"/>
      <c r="JO238" s="53"/>
      <c r="JP238" s="53"/>
      <c r="JQ238" s="53"/>
      <c r="JR238" s="53"/>
      <c r="JS238" s="53"/>
      <c r="JT238" s="53"/>
      <c r="JU238" s="53"/>
      <c r="JV238" s="53"/>
      <c r="JW238" s="53"/>
      <c r="JX238" s="53"/>
      <c r="JY238" s="53"/>
      <c r="JZ238" s="53"/>
      <c r="KA238" s="53"/>
      <c r="KB238" s="53"/>
      <c r="KC238" s="53"/>
      <c r="KD238" s="53"/>
      <c r="KE238" s="53"/>
      <c r="KF238" s="53"/>
      <c r="KG238" s="53"/>
      <c r="KH238" s="53"/>
      <c r="KI238" s="53"/>
      <c r="KJ238" s="53"/>
      <c r="KK238" s="53"/>
      <c r="KL238" s="53"/>
      <c r="KM238" s="53"/>
      <c r="KN238" s="53"/>
      <c r="KO238" s="53"/>
      <c r="KP238" s="53"/>
      <c r="KQ238" s="53"/>
      <c r="KR238" s="53"/>
      <c r="KS238" s="53"/>
      <c r="KT238" s="53"/>
      <c r="KU238" s="53"/>
      <c r="KV238" s="53"/>
      <c r="KW238" s="53"/>
      <c r="KX238" s="53"/>
      <c r="KY238" s="53"/>
      <c r="KZ238" s="53"/>
      <c r="LA238" s="53"/>
      <c r="LB238" s="53"/>
      <c r="LC238" s="53"/>
      <c r="LD238" s="53"/>
      <c r="LE238" s="53"/>
      <c r="LF238" s="53"/>
      <c r="LG238" s="53"/>
      <c r="LH238" s="53"/>
      <c r="LI238" s="53"/>
      <c r="LJ238" s="53"/>
      <c r="LK238" s="53"/>
      <c r="LL238" s="53"/>
      <c r="LM238" s="53"/>
      <c r="LN238" s="53"/>
      <c r="LO238" s="53"/>
      <c r="LP238" s="53"/>
      <c r="LQ238" s="53"/>
      <c r="LR238" s="53"/>
      <c r="LS238" s="53"/>
      <c r="LT238" s="53"/>
      <c r="LU238" s="53"/>
      <c r="LV238" s="53"/>
      <c r="LW238" s="53"/>
      <c r="LX238" s="53"/>
      <c r="LY238" s="53"/>
      <c r="LZ238" s="53"/>
      <c r="MA238" s="53"/>
      <c r="MB238" s="53"/>
      <c r="MC238" s="53"/>
      <c r="MD238" s="53"/>
      <c r="ME238" s="53"/>
      <c r="MF238" s="53"/>
      <c r="MG238" s="53"/>
      <c r="MH238" s="53"/>
      <c r="MI238" s="53"/>
      <c r="MJ238" s="53"/>
      <c r="MK238" s="53"/>
      <c r="ML238" s="53"/>
      <c r="MM238" s="53"/>
      <c r="MN238" s="53"/>
      <c r="MO238" s="53"/>
      <c r="MP238" s="53"/>
      <c r="MQ238" s="53"/>
      <c r="MR238" s="53"/>
      <c r="MS238" s="53"/>
      <c r="MT238" s="53"/>
      <c r="MU238" s="53"/>
      <c r="MV238" s="53"/>
      <c r="MW238" s="53"/>
      <c r="MX238" s="53"/>
      <c r="MY238" s="53"/>
      <c r="MZ238" s="53"/>
      <c r="NA238" s="53"/>
      <c r="NB238" s="53"/>
      <c r="NC238" s="53"/>
      <c r="ND238" s="53"/>
      <c r="NE238" s="53"/>
      <c r="NF238" s="53"/>
      <c r="NG238" s="53"/>
      <c r="NH238" s="53"/>
      <c r="NI238" s="53"/>
      <c r="NJ238" s="53"/>
      <c r="NK238" s="53"/>
      <c r="NL238" s="53"/>
      <c r="NM238" s="53"/>
      <c r="NN238" s="53"/>
      <c r="NO238" s="53"/>
      <c r="NP238" s="53"/>
      <c r="NQ238" s="53"/>
      <c r="NR238" s="53"/>
      <c r="NS238" s="53"/>
      <c r="NT238" s="53"/>
      <c r="NU238" s="53"/>
      <c r="NV238" s="53"/>
      <c r="NW238" s="53"/>
      <c r="NX238" s="53"/>
      <c r="NY238" s="53"/>
      <c r="NZ238" s="53"/>
      <c r="OA238" s="53"/>
      <c r="OB238" s="53"/>
      <c r="OC238" s="53"/>
      <c r="OD238" s="53"/>
      <c r="OE238" s="53"/>
      <c r="OF238" s="53"/>
      <c r="OG238" s="53"/>
      <c r="OH238" s="53"/>
      <c r="OI238" s="53"/>
      <c r="OJ238" s="53"/>
      <c r="OK238" s="53"/>
      <c r="OL238" s="53"/>
      <c r="OM238" s="53"/>
      <c r="ON238" s="53"/>
      <c r="OO238" s="53"/>
      <c r="OP238" s="53"/>
      <c r="OQ238" s="53"/>
      <c r="OR238" s="53"/>
      <c r="OS238" s="53"/>
      <c r="OT238" s="53"/>
      <c r="OU238" s="53"/>
      <c r="OV238" s="53"/>
      <c r="OW238" s="53"/>
      <c r="OX238" s="53"/>
      <c r="OY238" s="53"/>
      <c r="OZ238" s="53"/>
      <c r="PA238" s="53"/>
      <c r="PB238" s="53"/>
      <c r="PC238" s="53"/>
      <c r="PD238" s="53"/>
      <c r="PE238" s="53"/>
      <c r="PF238" s="53"/>
      <c r="PG238" s="53"/>
      <c r="PH238" s="53"/>
      <c r="PI238" s="53"/>
      <c r="PJ238" s="53"/>
      <c r="PK238" s="53"/>
      <c r="PL238" s="53"/>
      <c r="PM238" s="53"/>
      <c r="PN238" s="53"/>
      <c r="PO238" s="53"/>
      <c r="PP238" s="53"/>
      <c r="PQ238" s="53"/>
      <c r="PR238" s="53"/>
      <c r="PS238" s="53"/>
      <c r="PT238" s="53"/>
      <c r="PU238" s="53"/>
      <c r="PV238" s="53"/>
      <c r="PW238" s="53"/>
      <c r="PX238" s="53"/>
      <c r="PY238" s="53"/>
      <c r="PZ238" s="53"/>
      <c r="QA238" s="53"/>
      <c r="QB238" s="53"/>
      <c r="QC238" s="53"/>
      <c r="QD238" s="53"/>
      <c r="QE238" s="53"/>
      <c r="QF238" s="53"/>
      <c r="QG238" s="53"/>
      <c r="QH238" s="53"/>
      <c r="QI238" s="53"/>
      <c r="QJ238" s="53"/>
      <c r="QK238" s="53"/>
      <c r="QL238" s="53"/>
      <c r="QM238" s="53"/>
      <c r="QN238" s="53"/>
      <c r="QO238" s="53"/>
      <c r="QP238" s="53"/>
      <c r="QQ238" s="53"/>
      <c r="QR238" s="53"/>
      <c r="QS238" s="53"/>
      <c r="QT238" s="53"/>
      <c r="QU238" s="53"/>
      <c r="QV238" s="53"/>
      <c r="QW238" s="53"/>
      <c r="QX238" s="53"/>
      <c r="QY238" s="53"/>
      <c r="QZ238" s="53"/>
      <c r="RA238" s="53"/>
      <c r="RB238" s="53"/>
      <c r="RC238" s="53"/>
      <c r="RD238" s="53"/>
      <c r="RE238" s="53"/>
      <c r="RF238" s="53"/>
      <c r="RG238" s="53"/>
      <c r="RH238" s="53"/>
      <c r="RI238" s="53"/>
      <c r="RJ238" s="53"/>
      <c r="RK238" s="53"/>
      <c r="RL238" s="53"/>
      <c r="RM238" s="53"/>
      <c r="RN238" s="53"/>
      <c r="RO238" s="53"/>
      <c r="RP238" s="53"/>
      <c r="RQ238" s="53"/>
      <c r="RR238" s="53"/>
      <c r="RS238" s="53"/>
      <c r="RT238" s="53"/>
      <c r="RU238" s="53"/>
      <c r="RV238" s="53"/>
      <c r="RW238" s="53"/>
      <c r="RX238" s="53"/>
      <c r="RY238" s="53"/>
      <c r="RZ238" s="53"/>
      <c r="SA238" s="53"/>
      <c r="SB238" s="53"/>
      <c r="SC238" s="53"/>
      <c r="SD238" s="53"/>
      <c r="SE238" s="53"/>
      <c r="SF238" s="53"/>
      <c r="SG238" s="53"/>
      <c r="SH238" s="53"/>
      <c r="SI238" s="53"/>
      <c r="SJ238" s="53"/>
      <c r="SK238" s="53"/>
      <c r="SL238" s="53"/>
      <c r="SM238" s="53"/>
      <c r="SN238" s="53"/>
      <c r="SO238" s="53"/>
      <c r="SP238" s="53"/>
      <c r="SQ238" s="53"/>
      <c r="SR238" s="53"/>
      <c r="SS238" s="53"/>
      <c r="ST238" s="53"/>
      <c r="SU238" s="53"/>
      <c r="SV238" s="53"/>
      <c r="SW238" s="53"/>
      <c r="SX238" s="53"/>
      <c r="SY238" s="53"/>
      <c r="SZ238" s="53"/>
      <c r="TA238" s="53"/>
      <c r="TB238" s="53"/>
      <c r="TC238" s="53"/>
      <c r="TD238" s="53"/>
      <c r="TE238" s="53"/>
      <c r="TF238" s="53"/>
      <c r="TG238" s="53"/>
      <c r="TH238" s="53"/>
      <c r="TI238" s="53"/>
      <c r="TJ238" s="53"/>
      <c r="TK238" s="53"/>
      <c r="TL238" s="53"/>
      <c r="TM238" s="53"/>
      <c r="TN238" s="53"/>
      <c r="TO238" s="53"/>
      <c r="TP238" s="53"/>
      <c r="TQ238" s="53"/>
      <c r="TR238" s="53"/>
      <c r="TS238" s="53"/>
      <c r="TT238" s="53"/>
      <c r="TU238" s="53"/>
      <c r="TV238" s="53"/>
      <c r="TW238" s="53"/>
      <c r="TX238" s="53"/>
      <c r="TY238" s="53"/>
      <c r="TZ238" s="53"/>
      <c r="UA238" s="53"/>
      <c r="UB238" s="53"/>
      <c r="UC238" s="53"/>
      <c r="UD238" s="53"/>
      <c r="UE238" s="53"/>
      <c r="UF238" s="53"/>
      <c r="UG238" s="53"/>
      <c r="UH238" s="53"/>
      <c r="UI238" s="53"/>
      <c r="UJ238" s="53"/>
      <c r="UK238" s="53"/>
      <c r="UL238" s="53"/>
      <c r="UM238" s="53"/>
      <c r="UN238" s="53"/>
      <c r="UO238" s="53"/>
      <c r="UP238" s="53"/>
      <c r="UQ238" s="53"/>
      <c r="UR238" s="53"/>
      <c r="US238" s="53"/>
      <c r="UT238" s="53"/>
      <c r="UU238" s="53"/>
      <c r="UV238" s="53"/>
      <c r="UW238" s="53"/>
      <c r="UX238" s="53"/>
      <c r="UY238" s="53"/>
      <c r="UZ238" s="53"/>
      <c r="VA238" s="53"/>
      <c r="VB238" s="53"/>
      <c r="VC238" s="53"/>
      <c r="VD238" s="53"/>
      <c r="VE238" s="53"/>
      <c r="VF238" s="53"/>
      <c r="VG238" s="53"/>
      <c r="VH238" s="53"/>
      <c r="VI238" s="53"/>
      <c r="VJ238" s="53"/>
      <c r="VK238" s="53"/>
      <c r="VL238" s="53"/>
    </row>
    <row r="239" spans="1:584" s="47" customFormat="1" ht="21.75" hidden="1" customHeight="1" x14ac:dyDescent="0.25">
      <c r="A239" s="45" t="s">
        <v>268</v>
      </c>
      <c r="B239" s="91" t="str">
        <f>'дод 3'!A206</f>
        <v>8320</v>
      </c>
      <c r="C239" s="91" t="str">
        <f>'дод 3'!B206</f>
        <v>0520</v>
      </c>
      <c r="D239" s="48" t="str">
        <f>'дод 3'!C206</f>
        <v>Збереження природно-заповідного фонду</v>
      </c>
      <c r="E239" s="115">
        <v>0</v>
      </c>
      <c r="F239" s="115"/>
      <c r="G239" s="115"/>
      <c r="H239" s="115"/>
      <c r="I239" s="115"/>
      <c r="J239" s="115"/>
      <c r="K239" s="135" t="e">
        <f t="shared" si="59"/>
        <v>#DIV/0!</v>
      </c>
      <c r="L239" s="115">
        <f t="shared" si="42"/>
        <v>0</v>
      </c>
      <c r="M239" s="115"/>
      <c r="N239" s="115"/>
      <c r="O239" s="115"/>
      <c r="P239" s="115"/>
      <c r="Q239" s="115"/>
      <c r="R239" s="115">
        <f t="shared" si="61"/>
        <v>0</v>
      </c>
      <c r="S239" s="115"/>
      <c r="T239" s="115"/>
      <c r="U239" s="115"/>
      <c r="V239" s="115"/>
      <c r="W239" s="115"/>
      <c r="X239" s="166" t="e">
        <f t="shared" si="60"/>
        <v>#DIV/0!</v>
      </c>
      <c r="Y239" s="115">
        <f t="shared" si="69"/>
        <v>0</v>
      </c>
      <c r="Z239" s="187"/>
      <c r="AA239" s="53"/>
      <c r="AB239" s="53"/>
      <c r="AC239" s="53"/>
      <c r="AD239" s="53"/>
      <c r="AE239" s="79"/>
      <c r="AF239" s="79"/>
      <c r="AG239" s="79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  <c r="GQ239" s="53"/>
      <c r="GR239" s="53"/>
      <c r="GS239" s="53"/>
      <c r="GT239" s="53"/>
      <c r="GU239" s="53"/>
      <c r="GV239" s="53"/>
      <c r="GW239" s="53"/>
      <c r="GX239" s="53"/>
      <c r="GY239" s="53"/>
      <c r="GZ239" s="53"/>
      <c r="HA239" s="53"/>
      <c r="HB239" s="53"/>
      <c r="HC239" s="53"/>
      <c r="HD239" s="53"/>
      <c r="HE239" s="53"/>
      <c r="HF239" s="53"/>
      <c r="HG239" s="53"/>
      <c r="HH239" s="53"/>
      <c r="HI239" s="53"/>
      <c r="HJ239" s="53"/>
      <c r="HK239" s="53"/>
      <c r="HL239" s="53"/>
      <c r="HM239" s="53"/>
      <c r="HN239" s="53"/>
      <c r="HO239" s="53"/>
      <c r="HP239" s="53"/>
      <c r="HQ239" s="53"/>
      <c r="HR239" s="53"/>
      <c r="HS239" s="53"/>
      <c r="HT239" s="53"/>
      <c r="HU239" s="53"/>
      <c r="HV239" s="53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  <c r="IK239" s="53"/>
      <c r="IL239" s="53"/>
      <c r="IM239" s="53"/>
      <c r="IN239" s="53"/>
      <c r="IO239" s="53"/>
      <c r="IP239" s="53"/>
      <c r="IQ239" s="53"/>
      <c r="IR239" s="53"/>
      <c r="IS239" s="53"/>
      <c r="IT239" s="53"/>
      <c r="IU239" s="53"/>
      <c r="IV239" s="53"/>
      <c r="IW239" s="53"/>
      <c r="IX239" s="53"/>
      <c r="IY239" s="53"/>
      <c r="IZ239" s="53"/>
      <c r="JA239" s="53"/>
      <c r="JB239" s="53"/>
      <c r="JC239" s="53"/>
      <c r="JD239" s="53"/>
      <c r="JE239" s="53"/>
      <c r="JF239" s="53"/>
      <c r="JG239" s="53"/>
      <c r="JH239" s="53"/>
      <c r="JI239" s="53"/>
      <c r="JJ239" s="53"/>
      <c r="JK239" s="53"/>
      <c r="JL239" s="53"/>
      <c r="JM239" s="53"/>
      <c r="JN239" s="53"/>
      <c r="JO239" s="53"/>
      <c r="JP239" s="53"/>
      <c r="JQ239" s="53"/>
      <c r="JR239" s="53"/>
      <c r="JS239" s="53"/>
      <c r="JT239" s="53"/>
      <c r="JU239" s="53"/>
      <c r="JV239" s="53"/>
      <c r="JW239" s="53"/>
      <c r="JX239" s="53"/>
      <c r="JY239" s="53"/>
      <c r="JZ239" s="53"/>
      <c r="KA239" s="53"/>
      <c r="KB239" s="53"/>
      <c r="KC239" s="53"/>
      <c r="KD239" s="53"/>
      <c r="KE239" s="53"/>
      <c r="KF239" s="53"/>
      <c r="KG239" s="53"/>
      <c r="KH239" s="53"/>
      <c r="KI239" s="53"/>
      <c r="KJ239" s="53"/>
      <c r="KK239" s="53"/>
      <c r="KL239" s="53"/>
      <c r="KM239" s="53"/>
      <c r="KN239" s="53"/>
      <c r="KO239" s="53"/>
      <c r="KP239" s="53"/>
      <c r="KQ239" s="53"/>
      <c r="KR239" s="53"/>
      <c r="KS239" s="53"/>
      <c r="KT239" s="53"/>
      <c r="KU239" s="53"/>
      <c r="KV239" s="53"/>
      <c r="KW239" s="53"/>
      <c r="KX239" s="53"/>
      <c r="KY239" s="53"/>
      <c r="KZ239" s="53"/>
      <c r="LA239" s="53"/>
      <c r="LB239" s="53"/>
      <c r="LC239" s="53"/>
      <c r="LD239" s="53"/>
      <c r="LE239" s="53"/>
      <c r="LF239" s="53"/>
      <c r="LG239" s="53"/>
      <c r="LH239" s="53"/>
      <c r="LI239" s="53"/>
      <c r="LJ239" s="53"/>
      <c r="LK239" s="53"/>
      <c r="LL239" s="53"/>
      <c r="LM239" s="53"/>
      <c r="LN239" s="53"/>
      <c r="LO239" s="53"/>
      <c r="LP239" s="53"/>
      <c r="LQ239" s="53"/>
      <c r="LR239" s="53"/>
      <c r="LS239" s="53"/>
      <c r="LT239" s="53"/>
      <c r="LU239" s="53"/>
      <c r="LV239" s="53"/>
      <c r="LW239" s="53"/>
      <c r="LX239" s="53"/>
      <c r="LY239" s="53"/>
      <c r="LZ239" s="53"/>
      <c r="MA239" s="53"/>
      <c r="MB239" s="53"/>
      <c r="MC239" s="53"/>
      <c r="MD239" s="53"/>
      <c r="ME239" s="53"/>
      <c r="MF239" s="53"/>
      <c r="MG239" s="53"/>
      <c r="MH239" s="53"/>
      <c r="MI239" s="53"/>
      <c r="MJ239" s="53"/>
      <c r="MK239" s="53"/>
      <c r="ML239" s="53"/>
      <c r="MM239" s="53"/>
      <c r="MN239" s="53"/>
      <c r="MO239" s="53"/>
      <c r="MP239" s="53"/>
      <c r="MQ239" s="53"/>
      <c r="MR239" s="53"/>
      <c r="MS239" s="53"/>
      <c r="MT239" s="53"/>
      <c r="MU239" s="53"/>
      <c r="MV239" s="53"/>
      <c r="MW239" s="53"/>
      <c r="MX239" s="53"/>
      <c r="MY239" s="53"/>
      <c r="MZ239" s="53"/>
      <c r="NA239" s="53"/>
      <c r="NB239" s="53"/>
      <c r="NC239" s="53"/>
      <c r="ND239" s="53"/>
      <c r="NE239" s="53"/>
      <c r="NF239" s="53"/>
      <c r="NG239" s="53"/>
      <c r="NH239" s="53"/>
      <c r="NI239" s="53"/>
      <c r="NJ239" s="53"/>
      <c r="NK239" s="53"/>
      <c r="NL239" s="53"/>
      <c r="NM239" s="53"/>
      <c r="NN239" s="53"/>
      <c r="NO239" s="53"/>
      <c r="NP239" s="53"/>
      <c r="NQ239" s="53"/>
      <c r="NR239" s="53"/>
      <c r="NS239" s="53"/>
      <c r="NT239" s="53"/>
      <c r="NU239" s="53"/>
      <c r="NV239" s="53"/>
      <c r="NW239" s="53"/>
      <c r="NX239" s="53"/>
      <c r="NY239" s="53"/>
      <c r="NZ239" s="53"/>
      <c r="OA239" s="53"/>
      <c r="OB239" s="53"/>
      <c r="OC239" s="53"/>
      <c r="OD239" s="53"/>
      <c r="OE239" s="53"/>
      <c r="OF239" s="53"/>
      <c r="OG239" s="53"/>
      <c r="OH239" s="53"/>
      <c r="OI239" s="53"/>
      <c r="OJ239" s="53"/>
      <c r="OK239" s="53"/>
      <c r="OL239" s="53"/>
      <c r="OM239" s="53"/>
      <c r="ON239" s="53"/>
      <c r="OO239" s="53"/>
      <c r="OP239" s="53"/>
      <c r="OQ239" s="53"/>
      <c r="OR239" s="53"/>
      <c r="OS239" s="53"/>
      <c r="OT239" s="53"/>
      <c r="OU239" s="53"/>
      <c r="OV239" s="53"/>
      <c r="OW239" s="53"/>
      <c r="OX239" s="53"/>
      <c r="OY239" s="53"/>
      <c r="OZ239" s="53"/>
      <c r="PA239" s="53"/>
      <c r="PB239" s="53"/>
      <c r="PC239" s="53"/>
      <c r="PD239" s="53"/>
      <c r="PE239" s="53"/>
      <c r="PF239" s="53"/>
      <c r="PG239" s="53"/>
      <c r="PH239" s="53"/>
      <c r="PI239" s="53"/>
      <c r="PJ239" s="53"/>
      <c r="PK239" s="53"/>
      <c r="PL239" s="53"/>
      <c r="PM239" s="53"/>
      <c r="PN239" s="53"/>
      <c r="PO239" s="53"/>
      <c r="PP239" s="53"/>
      <c r="PQ239" s="53"/>
      <c r="PR239" s="53"/>
      <c r="PS239" s="53"/>
      <c r="PT239" s="53"/>
      <c r="PU239" s="53"/>
      <c r="PV239" s="53"/>
      <c r="PW239" s="53"/>
      <c r="PX239" s="53"/>
      <c r="PY239" s="53"/>
      <c r="PZ239" s="53"/>
      <c r="QA239" s="53"/>
      <c r="QB239" s="53"/>
      <c r="QC239" s="53"/>
      <c r="QD239" s="53"/>
      <c r="QE239" s="53"/>
      <c r="QF239" s="53"/>
      <c r="QG239" s="53"/>
      <c r="QH239" s="53"/>
      <c r="QI239" s="53"/>
      <c r="QJ239" s="53"/>
      <c r="QK239" s="53"/>
      <c r="QL239" s="53"/>
      <c r="QM239" s="53"/>
      <c r="QN239" s="53"/>
      <c r="QO239" s="53"/>
      <c r="QP239" s="53"/>
      <c r="QQ239" s="53"/>
      <c r="QR239" s="53"/>
      <c r="QS239" s="53"/>
      <c r="QT239" s="53"/>
      <c r="QU239" s="53"/>
      <c r="QV239" s="53"/>
      <c r="QW239" s="53"/>
      <c r="QX239" s="53"/>
      <c r="QY239" s="53"/>
      <c r="QZ239" s="53"/>
      <c r="RA239" s="53"/>
      <c r="RB239" s="53"/>
      <c r="RC239" s="53"/>
      <c r="RD239" s="53"/>
      <c r="RE239" s="53"/>
      <c r="RF239" s="53"/>
      <c r="RG239" s="53"/>
      <c r="RH239" s="53"/>
      <c r="RI239" s="53"/>
      <c r="RJ239" s="53"/>
      <c r="RK239" s="53"/>
      <c r="RL239" s="53"/>
      <c r="RM239" s="53"/>
      <c r="RN239" s="53"/>
      <c r="RO239" s="53"/>
      <c r="RP239" s="53"/>
      <c r="RQ239" s="53"/>
      <c r="RR239" s="53"/>
      <c r="RS239" s="53"/>
      <c r="RT239" s="53"/>
      <c r="RU239" s="53"/>
      <c r="RV239" s="53"/>
      <c r="RW239" s="53"/>
      <c r="RX239" s="53"/>
      <c r="RY239" s="53"/>
      <c r="RZ239" s="53"/>
      <c r="SA239" s="53"/>
      <c r="SB239" s="53"/>
      <c r="SC239" s="53"/>
      <c r="SD239" s="53"/>
      <c r="SE239" s="53"/>
      <c r="SF239" s="53"/>
      <c r="SG239" s="53"/>
      <c r="SH239" s="53"/>
      <c r="SI239" s="53"/>
      <c r="SJ239" s="53"/>
      <c r="SK239" s="53"/>
      <c r="SL239" s="53"/>
      <c r="SM239" s="53"/>
      <c r="SN239" s="53"/>
      <c r="SO239" s="53"/>
      <c r="SP239" s="53"/>
      <c r="SQ239" s="53"/>
      <c r="SR239" s="53"/>
      <c r="SS239" s="53"/>
      <c r="ST239" s="53"/>
      <c r="SU239" s="53"/>
      <c r="SV239" s="53"/>
      <c r="SW239" s="53"/>
      <c r="SX239" s="53"/>
      <c r="SY239" s="53"/>
      <c r="SZ239" s="53"/>
      <c r="TA239" s="53"/>
      <c r="TB239" s="53"/>
      <c r="TC239" s="53"/>
      <c r="TD239" s="53"/>
      <c r="TE239" s="53"/>
      <c r="TF239" s="53"/>
      <c r="TG239" s="53"/>
      <c r="TH239" s="53"/>
      <c r="TI239" s="53"/>
      <c r="TJ239" s="53"/>
      <c r="TK239" s="53"/>
      <c r="TL239" s="53"/>
      <c r="TM239" s="53"/>
      <c r="TN239" s="53"/>
      <c r="TO239" s="53"/>
      <c r="TP239" s="53"/>
      <c r="TQ239" s="53"/>
      <c r="TR239" s="53"/>
      <c r="TS239" s="53"/>
      <c r="TT239" s="53"/>
      <c r="TU239" s="53"/>
      <c r="TV239" s="53"/>
      <c r="TW239" s="53"/>
      <c r="TX239" s="53"/>
      <c r="TY239" s="53"/>
      <c r="TZ239" s="53"/>
      <c r="UA239" s="53"/>
      <c r="UB239" s="53"/>
      <c r="UC239" s="53"/>
      <c r="UD239" s="53"/>
      <c r="UE239" s="53"/>
      <c r="UF239" s="53"/>
      <c r="UG239" s="53"/>
      <c r="UH239" s="53"/>
      <c r="UI239" s="53"/>
      <c r="UJ239" s="53"/>
      <c r="UK239" s="53"/>
      <c r="UL239" s="53"/>
      <c r="UM239" s="53"/>
      <c r="UN239" s="53"/>
      <c r="UO239" s="53"/>
      <c r="UP239" s="53"/>
      <c r="UQ239" s="53"/>
      <c r="UR239" s="53"/>
      <c r="US239" s="53"/>
      <c r="UT239" s="53"/>
      <c r="UU239" s="53"/>
      <c r="UV239" s="53"/>
      <c r="UW239" s="53"/>
      <c r="UX239" s="53"/>
      <c r="UY239" s="53"/>
      <c r="UZ239" s="53"/>
      <c r="VA239" s="53"/>
      <c r="VB239" s="53"/>
      <c r="VC239" s="53"/>
      <c r="VD239" s="53"/>
      <c r="VE239" s="53"/>
      <c r="VF239" s="53"/>
      <c r="VG239" s="53"/>
      <c r="VH239" s="53"/>
      <c r="VI239" s="53"/>
      <c r="VJ239" s="53"/>
      <c r="VK239" s="53"/>
      <c r="VL239" s="53"/>
    </row>
    <row r="240" spans="1:584" s="47" customFormat="1" ht="24.75" customHeight="1" x14ac:dyDescent="0.25">
      <c r="A240" s="45" t="s">
        <v>269</v>
      </c>
      <c r="B240" s="91" t="str">
        <f>'дод 3'!A207</f>
        <v>8340</v>
      </c>
      <c r="C240" s="91" t="str">
        <f>'дод 3'!B207</f>
        <v>0540</v>
      </c>
      <c r="D240" s="48" t="str">
        <f>'дод 3'!C207</f>
        <v>Природоохоронні заходи за рахунок цільових фондів</v>
      </c>
      <c r="E240" s="115">
        <v>0</v>
      </c>
      <c r="F240" s="115"/>
      <c r="G240" s="115"/>
      <c r="H240" s="115"/>
      <c r="I240" s="115"/>
      <c r="J240" s="115"/>
      <c r="K240" s="135"/>
      <c r="L240" s="115">
        <f t="shared" si="42"/>
        <v>4905900</v>
      </c>
      <c r="M240" s="115"/>
      <c r="N240" s="115">
        <f>1910000-70000+60000+320000+66280</f>
        <v>2286280</v>
      </c>
      <c r="O240" s="115"/>
      <c r="P240" s="115">
        <f>540000</f>
        <v>540000</v>
      </c>
      <c r="Q240" s="115">
        <f>1985900+70000+950000-320000-66280</f>
        <v>2619620</v>
      </c>
      <c r="R240" s="115">
        <f t="shared" si="61"/>
        <v>3404313.46</v>
      </c>
      <c r="S240" s="115"/>
      <c r="T240" s="115">
        <v>2100949.66</v>
      </c>
      <c r="U240" s="115"/>
      <c r="V240" s="115">
        <v>540000</v>
      </c>
      <c r="W240" s="115">
        <v>1303363.8</v>
      </c>
      <c r="X240" s="166">
        <f t="shared" si="60"/>
        <v>69.392230987178706</v>
      </c>
      <c r="Y240" s="115">
        <f t="shared" si="69"/>
        <v>3404313.46</v>
      </c>
      <c r="Z240" s="187"/>
      <c r="AA240" s="53"/>
      <c r="AB240" s="53"/>
      <c r="AC240" s="53"/>
      <c r="AD240" s="53"/>
      <c r="AE240" s="79"/>
      <c r="AF240" s="79"/>
      <c r="AG240" s="79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  <c r="GN240" s="53"/>
      <c r="GO240" s="53"/>
      <c r="GP240" s="53"/>
      <c r="GQ240" s="53"/>
      <c r="GR240" s="53"/>
      <c r="GS240" s="53"/>
      <c r="GT240" s="53"/>
      <c r="GU240" s="53"/>
      <c r="GV240" s="53"/>
      <c r="GW240" s="53"/>
      <c r="GX240" s="53"/>
      <c r="GY240" s="53"/>
      <c r="GZ240" s="53"/>
      <c r="HA240" s="53"/>
      <c r="HB240" s="53"/>
      <c r="HC240" s="53"/>
      <c r="HD240" s="53"/>
      <c r="HE240" s="53"/>
      <c r="HF240" s="53"/>
      <c r="HG240" s="53"/>
      <c r="HH240" s="53"/>
      <c r="HI240" s="53"/>
      <c r="HJ240" s="53"/>
      <c r="HK240" s="53"/>
      <c r="HL240" s="53"/>
      <c r="HM240" s="53"/>
      <c r="HN240" s="53"/>
      <c r="HO240" s="53"/>
      <c r="HP240" s="53"/>
      <c r="HQ240" s="53"/>
      <c r="HR240" s="53"/>
      <c r="HS240" s="53"/>
      <c r="HT240" s="53"/>
      <c r="HU240" s="53"/>
      <c r="HV240" s="53"/>
      <c r="HW240" s="53"/>
      <c r="HX240" s="53"/>
      <c r="HY240" s="53"/>
      <c r="HZ240" s="53"/>
      <c r="IA240" s="53"/>
      <c r="IB240" s="53"/>
      <c r="IC240" s="53"/>
      <c r="ID240" s="53"/>
      <c r="IE240" s="53"/>
      <c r="IF240" s="53"/>
      <c r="IG240" s="53"/>
      <c r="IH240" s="53"/>
      <c r="II240" s="53"/>
      <c r="IJ240" s="53"/>
      <c r="IK240" s="53"/>
      <c r="IL240" s="53"/>
      <c r="IM240" s="53"/>
      <c r="IN240" s="53"/>
      <c r="IO240" s="53"/>
      <c r="IP240" s="53"/>
      <c r="IQ240" s="53"/>
      <c r="IR240" s="53"/>
      <c r="IS240" s="53"/>
      <c r="IT240" s="53"/>
      <c r="IU240" s="53"/>
      <c r="IV240" s="53"/>
      <c r="IW240" s="53"/>
      <c r="IX240" s="53"/>
      <c r="IY240" s="53"/>
      <c r="IZ240" s="53"/>
      <c r="JA240" s="53"/>
      <c r="JB240" s="53"/>
      <c r="JC240" s="53"/>
      <c r="JD240" s="53"/>
      <c r="JE240" s="53"/>
      <c r="JF240" s="53"/>
      <c r="JG240" s="53"/>
      <c r="JH240" s="53"/>
      <c r="JI240" s="53"/>
      <c r="JJ240" s="53"/>
      <c r="JK240" s="53"/>
      <c r="JL240" s="53"/>
      <c r="JM240" s="53"/>
      <c r="JN240" s="53"/>
      <c r="JO240" s="53"/>
      <c r="JP240" s="53"/>
      <c r="JQ240" s="53"/>
      <c r="JR240" s="53"/>
      <c r="JS240" s="53"/>
      <c r="JT240" s="53"/>
      <c r="JU240" s="53"/>
      <c r="JV240" s="53"/>
      <c r="JW240" s="53"/>
      <c r="JX240" s="53"/>
      <c r="JY240" s="53"/>
      <c r="JZ240" s="53"/>
      <c r="KA240" s="53"/>
      <c r="KB240" s="53"/>
      <c r="KC240" s="53"/>
      <c r="KD240" s="53"/>
      <c r="KE240" s="53"/>
      <c r="KF240" s="53"/>
      <c r="KG240" s="53"/>
      <c r="KH240" s="53"/>
      <c r="KI240" s="53"/>
      <c r="KJ240" s="53"/>
      <c r="KK240" s="53"/>
      <c r="KL240" s="53"/>
      <c r="KM240" s="53"/>
      <c r="KN240" s="53"/>
      <c r="KO240" s="53"/>
      <c r="KP240" s="53"/>
      <c r="KQ240" s="53"/>
      <c r="KR240" s="53"/>
      <c r="KS240" s="53"/>
      <c r="KT240" s="53"/>
      <c r="KU240" s="53"/>
      <c r="KV240" s="53"/>
      <c r="KW240" s="53"/>
      <c r="KX240" s="53"/>
      <c r="KY240" s="53"/>
      <c r="KZ240" s="53"/>
      <c r="LA240" s="53"/>
      <c r="LB240" s="53"/>
      <c r="LC240" s="53"/>
      <c r="LD240" s="53"/>
      <c r="LE240" s="53"/>
      <c r="LF240" s="53"/>
      <c r="LG240" s="53"/>
      <c r="LH240" s="53"/>
      <c r="LI240" s="53"/>
      <c r="LJ240" s="53"/>
      <c r="LK240" s="53"/>
      <c r="LL240" s="53"/>
      <c r="LM240" s="53"/>
      <c r="LN240" s="53"/>
      <c r="LO240" s="53"/>
      <c r="LP240" s="53"/>
      <c r="LQ240" s="53"/>
      <c r="LR240" s="53"/>
      <c r="LS240" s="53"/>
      <c r="LT240" s="53"/>
      <c r="LU240" s="53"/>
      <c r="LV240" s="53"/>
      <c r="LW240" s="53"/>
      <c r="LX240" s="53"/>
      <c r="LY240" s="53"/>
      <c r="LZ240" s="53"/>
      <c r="MA240" s="53"/>
      <c r="MB240" s="53"/>
      <c r="MC240" s="53"/>
      <c r="MD240" s="53"/>
      <c r="ME240" s="53"/>
      <c r="MF240" s="53"/>
      <c r="MG240" s="53"/>
      <c r="MH240" s="53"/>
      <c r="MI240" s="53"/>
      <c r="MJ240" s="53"/>
      <c r="MK240" s="53"/>
      <c r="ML240" s="53"/>
      <c r="MM240" s="53"/>
      <c r="MN240" s="53"/>
      <c r="MO240" s="53"/>
      <c r="MP240" s="53"/>
      <c r="MQ240" s="53"/>
      <c r="MR240" s="53"/>
      <c r="MS240" s="53"/>
      <c r="MT240" s="53"/>
      <c r="MU240" s="53"/>
      <c r="MV240" s="53"/>
      <c r="MW240" s="53"/>
      <c r="MX240" s="53"/>
      <c r="MY240" s="53"/>
      <c r="MZ240" s="53"/>
      <c r="NA240" s="53"/>
      <c r="NB240" s="53"/>
      <c r="NC240" s="53"/>
      <c r="ND240" s="53"/>
      <c r="NE240" s="53"/>
      <c r="NF240" s="53"/>
      <c r="NG240" s="53"/>
      <c r="NH240" s="53"/>
      <c r="NI240" s="53"/>
      <c r="NJ240" s="53"/>
      <c r="NK240" s="53"/>
      <c r="NL240" s="53"/>
      <c r="NM240" s="53"/>
      <c r="NN240" s="53"/>
      <c r="NO240" s="53"/>
      <c r="NP240" s="53"/>
      <c r="NQ240" s="53"/>
      <c r="NR240" s="53"/>
      <c r="NS240" s="53"/>
      <c r="NT240" s="53"/>
      <c r="NU240" s="53"/>
      <c r="NV240" s="53"/>
      <c r="NW240" s="53"/>
      <c r="NX240" s="53"/>
      <c r="NY240" s="53"/>
      <c r="NZ240" s="53"/>
      <c r="OA240" s="53"/>
      <c r="OB240" s="53"/>
      <c r="OC240" s="53"/>
      <c r="OD240" s="53"/>
      <c r="OE240" s="53"/>
      <c r="OF240" s="53"/>
      <c r="OG240" s="53"/>
      <c r="OH240" s="53"/>
      <c r="OI240" s="53"/>
      <c r="OJ240" s="53"/>
      <c r="OK240" s="53"/>
      <c r="OL240" s="53"/>
      <c r="OM240" s="53"/>
      <c r="ON240" s="53"/>
      <c r="OO240" s="53"/>
      <c r="OP240" s="53"/>
      <c r="OQ240" s="53"/>
      <c r="OR240" s="53"/>
      <c r="OS240" s="53"/>
      <c r="OT240" s="53"/>
      <c r="OU240" s="53"/>
      <c r="OV240" s="53"/>
      <c r="OW240" s="53"/>
      <c r="OX240" s="53"/>
      <c r="OY240" s="53"/>
      <c r="OZ240" s="53"/>
      <c r="PA240" s="53"/>
      <c r="PB240" s="53"/>
      <c r="PC240" s="53"/>
      <c r="PD240" s="53"/>
      <c r="PE240" s="53"/>
      <c r="PF240" s="53"/>
      <c r="PG240" s="53"/>
      <c r="PH240" s="53"/>
      <c r="PI240" s="53"/>
      <c r="PJ240" s="53"/>
      <c r="PK240" s="53"/>
      <c r="PL240" s="53"/>
      <c r="PM240" s="53"/>
      <c r="PN240" s="53"/>
      <c r="PO240" s="53"/>
      <c r="PP240" s="53"/>
      <c r="PQ240" s="53"/>
      <c r="PR240" s="53"/>
      <c r="PS240" s="53"/>
      <c r="PT240" s="53"/>
      <c r="PU240" s="53"/>
      <c r="PV240" s="53"/>
      <c r="PW240" s="53"/>
      <c r="PX240" s="53"/>
      <c r="PY240" s="53"/>
      <c r="PZ240" s="53"/>
      <c r="QA240" s="53"/>
      <c r="QB240" s="53"/>
      <c r="QC240" s="53"/>
      <c r="QD240" s="53"/>
      <c r="QE240" s="53"/>
      <c r="QF240" s="53"/>
      <c r="QG240" s="53"/>
      <c r="QH240" s="53"/>
      <c r="QI240" s="53"/>
      <c r="QJ240" s="53"/>
      <c r="QK240" s="53"/>
      <c r="QL240" s="53"/>
      <c r="QM240" s="53"/>
      <c r="QN240" s="53"/>
      <c r="QO240" s="53"/>
      <c r="QP240" s="53"/>
      <c r="QQ240" s="53"/>
      <c r="QR240" s="53"/>
      <c r="QS240" s="53"/>
      <c r="QT240" s="53"/>
      <c r="QU240" s="53"/>
      <c r="QV240" s="53"/>
      <c r="QW240" s="53"/>
      <c r="QX240" s="53"/>
      <c r="QY240" s="53"/>
      <c r="QZ240" s="53"/>
      <c r="RA240" s="53"/>
      <c r="RB240" s="53"/>
      <c r="RC240" s="53"/>
      <c r="RD240" s="53"/>
      <c r="RE240" s="53"/>
      <c r="RF240" s="53"/>
      <c r="RG240" s="53"/>
      <c r="RH240" s="53"/>
      <c r="RI240" s="53"/>
      <c r="RJ240" s="53"/>
      <c r="RK240" s="53"/>
      <c r="RL240" s="53"/>
      <c r="RM240" s="53"/>
      <c r="RN240" s="53"/>
      <c r="RO240" s="53"/>
      <c r="RP240" s="53"/>
      <c r="RQ240" s="53"/>
      <c r="RR240" s="53"/>
      <c r="RS240" s="53"/>
      <c r="RT240" s="53"/>
      <c r="RU240" s="53"/>
      <c r="RV240" s="53"/>
      <c r="RW240" s="53"/>
      <c r="RX240" s="53"/>
      <c r="RY240" s="53"/>
      <c r="RZ240" s="53"/>
      <c r="SA240" s="53"/>
      <c r="SB240" s="53"/>
      <c r="SC240" s="53"/>
      <c r="SD240" s="53"/>
      <c r="SE240" s="53"/>
      <c r="SF240" s="53"/>
      <c r="SG240" s="53"/>
      <c r="SH240" s="53"/>
      <c r="SI240" s="53"/>
      <c r="SJ240" s="53"/>
      <c r="SK240" s="53"/>
      <c r="SL240" s="53"/>
      <c r="SM240" s="53"/>
      <c r="SN240" s="53"/>
      <c r="SO240" s="53"/>
      <c r="SP240" s="53"/>
      <c r="SQ240" s="53"/>
      <c r="SR240" s="53"/>
      <c r="SS240" s="53"/>
      <c r="ST240" s="53"/>
      <c r="SU240" s="53"/>
      <c r="SV240" s="53"/>
      <c r="SW240" s="53"/>
      <c r="SX240" s="53"/>
      <c r="SY240" s="53"/>
      <c r="SZ240" s="53"/>
      <c r="TA240" s="53"/>
      <c r="TB240" s="53"/>
      <c r="TC240" s="53"/>
      <c r="TD240" s="53"/>
      <c r="TE240" s="53"/>
      <c r="TF240" s="53"/>
      <c r="TG240" s="53"/>
      <c r="TH240" s="53"/>
      <c r="TI240" s="53"/>
      <c r="TJ240" s="53"/>
      <c r="TK240" s="53"/>
      <c r="TL240" s="53"/>
      <c r="TM240" s="53"/>
      <c r="TN240" s="53"/>
      <c r="TO240" s="53"/>
      <c r="TP240" s="53"/>
      <c r="TQ240" s="53"/>
      <c r="TR240" s="53"/>
      <c r="TS240" s="53"/>
      <c r="TT240" s="53"/>
      <c r="TU240" s="53"/>
      <c r="TV240" s="53"/>
      <c r="TW240" s="53"/>
      <c r="TX240" s="53"/>
      <c r="TY240" s="53"/>
      <c r="TZ240" s="53"/>
      <c r="UA240" s="53"/>
      <c r="UB240" s="53"/>
      <c r="UC240" s="53"/>
      <c r="UD240" s="53"/>
      <c r="UE240" s="53"/>
      <c r="UF240" s="53"/>
      <c r="UG240" s="53"/>
      <c r="UH240" s="53"/>
      <c r="UI240" s="53"/>
      <c r="UJ240" s="53"/>
      <c r="UK240" s="53"/>
      <c r="UL240" s="53"/>
      <c r="UM240" s="53"/>
      <c r="UN240" s="53"/>
      <c r="UO240" s="53"/>
      <c r="UP240" s="53"/>
      <c r="UQ240" s="53"/>
      <c r="UR240" s="53"/>
      <c r="US240" s="53"/>
      <c r="UT240" s="53"/>
      <c r="UU240" s="53"/>
      <c r="UV240" s="53"/>
      <c r="UW240" s="53"/>
      <c r="UX240" s="53"/>
      <c r="UY240" s="53"/>
      <c r="UZ240" s="53"/>
      <c r="VA240" s="53"/>
      <c r="VB240" s="53"/>
      <c r="VC240" s="53"/>
      <c r="VD240" s="53"/>
      <c r="VE240" s="53"/>
      <c r="VF240" s="53"/>
      <c r="VG240" s="53"/>
      <c r="VH240" s="53"/>
      <c r="VI240" s="53"/>
      <c r="VJ240" s="53"/>
      <c r="VK240" s="53"/>
      <c r="VL240" s="53"/>
    </row>
    <row r="241" spans="1:584" s="47" customFormat="1" ht="21" customHeight="1" x14ac:dyDescent="0.25">
      <c r="A241" s="45" t="s">
        <v>270</v>
      </c>
      <c r="B241" s="91" t="str">
        <f>'дод 3'!A227</f>
        <v>9770</v>
      </c>
      <c r="C241" s="91" t="str">
        <f>'дод 3'!B227</f>
        <v>0180</v>
      </c>
      <c r="D241" s="48" t="str">
        <f>'дод 3'!C227</f>
        <v xml:space="preserve">Інші субвенції з місцевого бюджету </v>
      </c>
      <c r="E241" s="115">
        <v>1960000</v>
      </c>
      <c r="F241" s="115"/>
      <c r="G241" s="115"/>
      <c r="H241" s="115">
        <v>1960000</v>
      </c>
      <c r="I241" s="115"/>
      <c r="J241" s="115"/>
      <c r="K241" s="164">
        <f t="shared" si="59"/>
        <v>100</v>
      </c>
      <c r="L241" s="115">
        <f t="shared" si="42"/>
        <v>6032500</v>
      </c>
      <c r="M241" s="115">
        <f>7000000+992500-1960000</f>
        <v>6032500</v>
      </c>
      <c r="N241" s="115"/>
      <c r="O241" s="115"/>
      <c r="P241" s="115"/>
      <c r="Q241" s="115">
        <f>7000000+992500-1960000</f>
        <v>6032500</v>
      </c>
      <c r="R241" s="115">
        <f t="shared" si="61"/>
        <v>6032500</v>
      </c>
      <c r="S241" s="115">
        <v>6032500</v>
      </c>
      <c r="T241" s="115"/>
      <c r="U241" s="115"/>
      <c r="V241" s="115"/>
      <c r="W241" s="115">
        <v>6032500</v>
      </c>
      <c r="X241" s="166">
        <f t="shared" si="60"/>
        <v>100</v>
      </c>
      <c r="Y241" s="115">
        <f t="shared" si="69"/>
        <v>7992500</v>
      </c>
      <c r="Z241" s="187"/>
      <c r="AA241" s="53"/>
      <c r="AB241" s="53"/>
      <c r="AC241" s="53"/>
      <c r="AD241" s="53"/>
      <c r="AE241" s="79"/>
      <c r="AF241" s="79"/>
      <c r="AG241" s="79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  <c r="IQ241" s="53"/>
      <c r="IR241" s="53"/>
      <c r="IS241" s="53"/>
      <c r="IT241" s="53"/>
      <c r="IU241" s="53"/>
      <c r="IV241" s="53"/>
      <c r="IW241" s="53"/>
      <c r="IX241" s="53"/>
      <c r="IY241" s="53"/>
      <c r="IZ241" s="53"/>
      <c r="JA241" s="53"/>
      <c r="JB241" s="53"/>
      <c r="JC241" s="53"/>
      <c r="JD241" s="53"/>
      <c r="JE241" s="53"/>
      <c r="JF241" s="53"/>
      <c r="JG241" s="53"/>
      <c r="JH241" s="53"/>
      <c r="JI241" s="53"/>
      <c r="JJ241" s="53"/>
      <c r="JK241" s="53"/>
      <c r="JL241" s="53"/>
      <c r="JM241" s="53"/>
      <c r="JN241" s="53"/>
      <c r="JO241" s="53"/>
      <c r="JP241" s="53"/>
      <c r="JQ241" s="53"/>
      <c r="JR241" s="53"/>
      <c r="JS241" s="53"/>
      <c r="JT241" s="53"/>
      <c r="JU241" s="53"/>
      <c r="JV241" s="53"/>
      <c r="JW241" s="53"/>
      <c r="JX241" s="53"/>
      <c r="JY241" s="53"/>
      <c r="JZ241" s="53"/>
      <c r="KA241" s="53"/>
      <c r="KB241" s="53"/>
      <c r="KC241" s="53"/>
      <c r="KD241" s="53"/>
      <c r="KE241" s="53"/>
      <c r="KF241" s="53"/>
      <c r="KG241" s="53"/>
      <c r="KH241" s="53"/>
      <c r="KI241" s="53"/>
      <c r="KJ241" s="53"/>
      <c r="KK241" s="53"/>
      <c r="KL241" s="53"/>
      <c r="KM241" s="53"/>
      <c r="KN241" s="53"/>
      <c r="KO241" s="53"/>
      <c r="KP241" s="53"/>
      <c r="KQ241" s="53"/>
      <c r="KR241" s="53"/>
      <c r="KS241" s="53"/>
      <c r="KT241" s="53"/>
      <c r="KU241" s="53"/>
      <c r="KV241" s="53"/>
      <c r="KW241" s="53"/>
      <c r="KX241" s="53"/>
      <c r="KY241" s="53"/>
      <c r="KZ241" s="53"/>
      <c r="LA241" s="53"/>
      <c r="LB241" s="53"/>
      <c r="LC241" s="53"/>
      <c r="LD241" s="53"/>
      <c r="LE241" s="53"/>
      <c r="LF241" s="53"/>
      <c r="LG241" s="53"/>
      <c r="LH241" s="53"/>
      <c r="LI241" s="53"/>
      <c r="LJ241" s="53"/>
      <c r="LK241" s="53"/>
      <c r="LL241" s="53"/>
      <c r="LM241" s="53"/>
      <c r="LN241" s="53"/>
      <c r="LO241" s="53"/>
      <c r="LP241" s="53"/>
      <c r="LQ241" s="53"/>
      <c r="LR241" s="53"/>
      <c r="LS241" s="53"/>
      <c r="LT241" s="53"/>
      <c r="LU241" s="53"/>
      <c r="LV241" s="53"/>
      <c r="LW241" s="53"/>
      <c r="LX241" s="53"/>
      <c r="LY241" s="53"/>
      <c r="LZ241" s="53"/>
      <c r="MA241" s="53"/>
      <c r="MB241" s="53"/>
      <c r="MC241" s="53"/>
      <c r="MD241" s="53"/>
      <c r="ME241" s="53"/>
      <c r="MF241" s="53"/>
      <c r="MG241" s="53"/>
      <c r="MH241" s="53"/>
      <c r="MI241" s="53"/>
      <c r="MJ241" s="53"/>
      <c r="MK241" s="53"/>
      <c r="ML241" s="53"/>
      <c r="MM241" s="53"/>
      <c r="MN241" s="53"/>
      <c r="MO241" s="53"/>
      <c r="MP241" s="53"/>
      <c r="MQ241" s="53"/>
      <c r="MR241" s="53"/>
      <c r="MS241" s="53"/>
      <c r="MT241" s="53"/>
      <c r="MU241" s="53"/>
      <c r="MV241" s="53"/>
      <c r="MW241" s="53"/>
      <c r="MX241" s="53"/>
      <c r="MY241" s="53"/>
      <c r="MZ241" s="53"/>
      <c r="NA241" s="53"/>
      <c r="NB241" s="53"/>
      <c r="NC241" s="53"/>
      <c r="ND241" s="53"/>
      <c r="NE241" s="53"/>
      <c r="NF241" s="53"/>
      <c r="NG241" s="53"/>
      <c r="NH241" s="53"/>
      <c r="NI241" s="53"/>
      <c r="NJ241" s="53"/>
      <c r="NK241" s="53"/>
      <c r="NL241" s="53"/>
      <c r="NM241" s="53"/>
      <c r="NN241" s="53"/>
      <c r="NO241" s="53"/>
      <c r="NP241" s="53"/>
      <c r="NQ241" s="53"/>
      <c r="NR241" s="53"/>
      <c r="NS241" s="53"/>
      <c r="NT241" s="53"/>
      <c r="NU241" s="53"/>
      <c r="NV241" s="53"/>
      <c r="NW241" s="53"/>
      <c r="NX241" s="53"/>
      <c r="NY241" s="53"/>
      <c r="NZ241" s="53"/>
      <c r="OA241" s="53"/>
      <c r="OB241" s="53"/>
      <c r="OC241" s="53"/>
      <c r="OD241" s="53"/>
      <c r="OE241" s="53"/>
      <c r="OF241" s="53"/>
      <c r="OG241" s="53"/>
      <c r="OH241" s="53"/>
      <c r="OI241" s="53"/>
      <c r="OJ241" s="53"/>
      <c r="OK241" s="53"/>
      <c r="OL241" s="53"/>
      <c r="OM241" s="53"/>
      <c r="ON241" s="53"/>
      <c r="OO241" s="53"/>
      <c r="OP241" s="53"/>
      <c r="OQ241" s="53"/>
      <c r="OR241" s="53"/>
      <c r="OS241" s="53"/>
      <c r="OT241" s="53"/>
      <c r="OU241" s="53"/>
      <c r="OV241" s="53"/>
      <c r="OW241" s="53"/>
      <c r="OX241" s="53"/>
      <c r="OY241" s="53"/>
      <c r="OZ241" s="53"/>
      <c r="PA241" s="53"/>
      <c r="PB241" s="53"/>
      <c r="PC241" s="53"/>
      <c r="PD241" s="53"/>
      <c r="PE241" s="53"/>
      <c r="PF241" s="53"/>
      <c r="PG241" s="53"/>
      <c r="PH241" s="53"/>
      <c r="PI241" s="53"/>
      <c r="PJ241" s="53"/>
      <c r="PK241" s="53"/>
      <c r="PL241" s="53"/>
      <c r="PM241" s="53"/>
      <c r="PN241" s="53"/>
      <c r="PO241" s="53"/>
      <c r="PP241" s="53"/>
      <c r="PQ241" s="53"/>
      <c r="PR241" s="53"/>
      <c r="PS241" s="53"/>
      <c r="PT241" s="53"/>
      <c r="PU241" s="53"/>
      <c r="PV241" s="53"/>
      <c r="PW241" s="53"/>
      <c r="PX241" s="53"/>
      <c r="PY241" s="53"/>
      <c r="PZ241" s="53"/>
      <c r="QA241" s="53"/>
      <c r="QB241" s="53"/>
      <c r="QC241" s="53"/>
      <c r="QD241" s="53"/>
      <c r="QE241" s="53"/>
      <c r="QF241" s="53"/>
      <c r="QG241" s="53"/>
      <c r="QH241" s="53"/>
      <c r="QI241" s="53"/>
      <c r="QJ241" s="53"/>
      <c r="QK241" s="53"/>
      <c r="QL241" s="53"/>
      <c r="QM241" s="53"/>
      <c r="QN241" s="53"/>
      <c r="QO241" s="53"/>
      <c r="QP241" s="53"/>
      <c r="QQ241" s="53"/>
      <c r="QR241" s="53"/>
      <c r="QS241" s="53"/>
      <c r="QT241" s="53"/>
      <c r="QU241" s="53"/>
      <c r="QV241" s="53"/>
      <c r="QW241" s="53"/>
      <c r="QX241" s="53"/>
      <c r="QY241" s="53"/>
      <c r="QZ241" s="53"/>
      <c r="RA241" s="53"/>
      <c r="RB241" s="53"/>
      <c r="RC241" s="53"/>
      <c r="RD241" s="53"/>
      <c r="RE241" s="53"/>
      <c r="RF241" s="53"/>
      <c r="RG241" s="53"/>
      <c r="RH241" s="53"/>
      <c r="RI241" s="53"/>
      <c r="RJ241" s="53"/>
      <c r="RK241" s="53"/>
      <c r="RL241" s="53"/>
      <c r="RM241" s="53"/>
      <c r="RN241" s="53"/>
      <c r="RO241" s="53"/>
      <c r="RP241" s="53"/>
      <c r="RQ241" s="53"/>
      <c r="RR241" s="53"/>
      <c r="RS241" s="53"/>
      <c r="RT241" s="53"/>
      <c r="RU241" s="53"/>
      <c r="RV241" s="53"/>
      <c r="RW241" s="53"/>
      <c r="RX241" s="53"/>
      <c r="RY241" s="53"/>
      <c r="RZ241" s="53"/>
      <c r="SA241" s="53"/>
      <c r="SB241" s="53"/>
      <c r="SC241" s="53"/>
      <c r="SD241" s="53"/>
      <c r="SE241" s="53"/>
      <c r="SF241" s="53"/>
      <c r="SG241" s="53"/>
      <c r="SH241" s="53"/>
      <c r="SI241" s="53"/>
      <c r="SJ241" s="53"/>
      <c r="SK241" s="53"/>
      <c r="SL241" s="53"/>
      <c r="SM241" s="53"/>
      <c r="SN241" s="53"/>
      <c r="SO241" s="53"/>
      <c r="SP241" s="53"/>
      <c r="SQ241" s="53"/>
      <c r="SR241" s="53"/>
      <c r="SS241" s="53"/>
      <c r="ST241" s="53"/>
      <c r="SU241" s="53"/>
      <c r="SV241" s="53"/>
      <c r="SW241" s="53"/>
      <c r="SX241" s="53"/>
      <c r="SY241" s="53"/>
      <c r="SZ241" s="53"/>
      <c r="TA241" s="53"/>
      <c r="TB241" s="53"/>
      <c r="TC241" s="53"/>
      <c r="TD241" s="53"/>
      <c r="TE241" s="53"/>
      <c r="TF241" s="53"/>
      <c r="TG241" s="53"/>
      <c r="TH241" s="53"/>
      <c r="TI241" s="53"/>
      <c r="TJ241" s="53"/>
      <c r="TK241" s="53"/>
      <c r="TL241" s="53"/>
      <c r="TM241" s="53"/>
      <c r="TN241" s="53"/>
      <c r="TO241" s="53"/>
      <c r="TP241" s="53"/>
      <c r="TQ241" s="53"/>
      <c r="TR241" s="53"/>
      <c r="TS241" s="53"/>
      <c r="TT241" s="53"/>
      <c r="TU241" s="53"/>
      <c r="TV241" s="53"/>
      <c r="TW241" s="53"/>
      <c r="TX241" s="53"/>
      <c r="TY241" s="53"/>
      <c r="TZ241" s="53"/>
      <c r="UA241" s="53"/>
      <c r="UB241" s="53"/>
      <c r="UC241" s="53"/>
      <c r="UD241" s="53"/>
      <c r="UE241" s="53"/>
      <c r="UF241" s="53"/>
      <c r="UG241" s="53"/>
      <c r="UH241" s="53"/>
      <c r="UI241" s="53"/>
      <c r="UJ241" s="53"/>
      <c r="UK241" s="53"/>
      <c r="UL241" s="53"/>
      <c r="UM241" s="53"/>
      <c r="UN241" s="53"/>
      <c r="UO241" s="53"/>
      <c r="UP241" s="53"/>
      <c r="UQ241" s="53"/>
      <c r="UR241" s="53"/>
      <c r="US241" s="53"/>
      <c r="UT241" s="53"/>
      <c r="UU241" s="53"/>
      <c r="UV241" s="53"/>
      <c r="UW241" s="53"/>
      <c r="UX241" s="53"/>
      <c r="UY241" s="53"/>
      <c r="UZ241" s="53"/>
      <c r="VA241" s="53"/>
      <c r="VB241" s="53"/>
      <c r="VC241" s="53"/>
      <c r="VD241" s="53"/>
      <c r="VE241" s="53"/>
      <c r="VF241" s="53"/>
      <c r="VG241" s="53"/>
      <c r="VH241" s="53"/>
      <c r="VI241" s="53"/>
      <c r="VJ241" s="53"/>
      <c r="VK241" s="53"/>
      <c r="VL241" s="53"/>
    </row>
    <row r="242" spans="1:584" s="64" customFormat="1" ht="33.75" customHeight="1" x14ac:dyDescent="0.25">
      <c r="A242" s="62" t="s">
        <v>45</v>
      </c>
      <c r="B242" s="97"/>
      <c r="C242" s="97"/>
      <c r="D242" s="63" t="s">
        <v>56</v>
      </c>
      <c r="E242" s="116">
        <f>E243</f>
        <v>5556200</v>
      </c>
      <c r="F242" s="116">
        <f t="shared" ref="F242:Y243" si="70">F243</f>
        <v>4303200</v>
      </c>
      <c r="G242" s="116">
        <f t="shared" si="70"/>
        <v>105490</v>
      </c>
      <c r="H242" s="116">
        <f>H243</f>
        <v>5429946.3499999996</v>
      </c>
      <c r="I242" s="116">
        <f t="shared" si="70"/>
        <v>4254755.0999999996</v>
      </c>
      <c r="J242" s="116">
        <f t="shared" si="70"/>
        <v>87139.86</v>
      </c>
      <c r="K242" s="135">
        <f t="shared" si="59"/>
        <v>97.727697887045096</v>
      </c>
      <c r="L242" s="116">
        <f t="shared" si="70"/>
        <v>100000</v>
      </c>
      <c r="M242" s="116">
        <f t="shared" si="70"/>
        <v>100000</v>
      </c>
      <c r="N242" s="116">
        <f t="shared" si="70"/>
        <v>0</v>
      </c>
      <c r="O242" s="116">
        <f t="shared" si="70"/>
        <v>0</v>
      </c>
      <c r="P242" s="116">
        <f t="shared" si="70"/>
        <v>0</v>
      </c>
      <c r="Q242" s="116">
        <f t="shared" si="70"/>
        <v>100000</v>
      </c>
      <c r="R242" s="116">
        <f t="shared" si="70"/>
        <v>99943.92</v>
      </c>
      <c r="S242" s="116">
        <f t="shared" si="70"/>
        <v>99943.92</v>
      </c>
      <c r="T242" s="116">
        <f t="shared" si="70"/>
        <v>0</v>
      </c>
      <c r="U242" s="116">
        <f t="shared" si="70"/>
        <v>0</v>
      </c>
      <c r="V242" s="116">
        <f t="shared" si="70"/>
        <v>0</v>
      </c>
      <c r="W242" s="116">
        <f t="shared" si="70"/>
        <v>99943.92</v>
      </c>
      <c r="X242" s="149">
        <f t="shared" si="60"/>
        <v>99.943919999999991</v>
      </c>
      <c r="Y242" s="116">
        <f t="shared" si="70"/>
        <v>5529890.2699999996</v>
      </c>
      <c r="Z242" s="187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9"/>
      <c r="II242" s="79"/>
      <c r="IJ242" s="79"/>
      <c r="IK242" s="79"/>
      <c r="IL242" s="79"/>
      <c r="IM242" s="79"/>
      <c r="IN242" s="79"/>
      <c r="IO242" s="79"/>
      <c r="IP242" s="79"/>
      <c r="IQ242" s="79"/>
      <c r="IR242" s="79"/>
      <c r="IS242" s="79"/>
      <c r="IT242" s="79"/>
      <c r="IU242" s="79"/>
      <c r="IV242" s="79"/>
      <c r="IW242" s="79"/>
      <c r="IX242" s="79"/>
      <c r="IY242" s="79"/>
      <c r="IZ242" s="79"/>
      <c r="JA242" s="79"/>
      <c r="JB242" s="79"/>
      <c r="JC242" s="79"/>
      <c r="JD242" s="79"/>
      <c r="JE242" s="79"/>
      <c r="JF242" s="79"/>
      <c r="JG242" s="79"/>
      <c r="JH242" s="79"/>
      <c r="JI242" s="79"/>
      <c r="JJ242" s="79"/>
      <c r="JK242" s="79"/>
      <c r="JL242" s="79"/>
      <c r="JM242" s="79"/>
      <c r="JN242" s="79"/>
      <c r="JO242" s="79"/>
      <c r="JP242" s="79"/>
      <c r="JQ242" s="79"/>
      <c r="JR242" s="79"/>
      <c r="JS242" s="79"/>
      <c r="JT242" s="79"/>
      <c r="JU242" s="79"/>
      <c r="JV242" s="79"/>
      <c r="JW242" s="79"/>
      <c r="JX242" s="79"/>
      <c r="JY242" s="79"/>
      <c r="JZ242" s="79"/>
      <c r="KA242" s="79"/>
      <c r="KB242" s="79"/>
      <c r="KC242" s="79"/>
      <c r="KD242" s="79"/>
      <c r="KE242" s="79"/>
      <c r="KF242" s="79"/>
      <c r="KG242" s="79"/>
      <c r="KH242" s="79"/>
      <c r="KI242" s="79"/>
      <c r="KJ242" s="79"/>
      <c r="KK242" s="79"/>
      <c r="KL242" s="79"/>
      <c r="KM242" s="79"/>
      <c r="KN242" s="79"/>
      <c r="KO242" s="79"/>
      <c r="KP242" s="79"/>
      <c r="KQ242" s="79"/>
      <c r="KR242" s="79"/>
      <c r="KS242" s="79"/>
      <c r="KT242" s="79"/>
      <c r="KU242" s="79"/>
      <c r="KV242" s="79"/>
      <c r="KW242" s="79"/>
      <c r="KX242" s="79"/>
      <c r="KY242" s="79"/>
      <c r="KZ242" s="79"/>
      <c r="LA242" s="79"/>
      <c r="LB242" s="79"/>
      <c r="LC242" s="79"/>
      <c r="LD242" s="79"/>
      <c r="LE242" s="79"/>
      <c r="LF242" s="79"/>
      <c r="LG242" s="79"/>
      <c r="LH242" s="79"/>
      <c r="LI242" s="79"/>
      <c r="LJ242" s="79"/>
      <c r="LK242" s="79"/>
      <c r="LL242" s="79"/>
      <c r="LM242" s="79"/>
      <c r="LN242" s="79"/>
      <c r="LO242" s="79"/>
      <c r="LP242" s="79"/>
      <c r="LQ242" s="79"/>
      <c r="LR242" s="79"/>
      <c r="LS242" s="79"/>
      <c r="LT242" s="79"/>
      <c r="LU242" s="79"/>
      <c r="LV242" s="79"/>
      <c r="LW242" s="79"/>
      <c r="LX242" s="79"/>
      <c r="LY242" s="79"/>
      <c r="LZ242" s="79"/>
      <c r="MA242" s="79"/>
      <c r="MB242" s="79"/>
      <c r="MC242" s="79"/>
      <c r="MD242" s="79"/>
      <c r="ME242" s="79"/>
      <c r="MF242" s="79"/>
      <c r="MG242" s="79"/>
      <c r="MH242" s="79"/>
      <c r="MI242" s="79"/>
      <c r="MJ242" s="79"/>
      <c r="MK242" s="79"/>
      <c r="ML242" s="79"/>
      <c r="MM242" s="79"/>
      <c r="MN242" s="79"/>
      <c r="MO242" s="79"/>
      <c r="MP242" s="79"/>
      <c r="MQ242" s="79"/>
      <c r="MR242" s="79"/>
      <c r="MS242" s="79"/>
      <c r="MT242" s="79"/>
      <c r="MU242" s="79"/>
      <c r="MV242" s="79"/>
      <c r="MW242" s="79"/>
      <c r="MX242" s="79"/>
      <c r="MY242" s="79"/>
      <c r="MZ242" s="79"/>
      <c r="NA242" s="79"/>
      <c r="NB242" s="79"/>
      <c r="NC242" s="79"/>
      <c r="ND242" s="79"/>
      <c r="NE242" s="79"/>
      <c r="NF242" s="79"/>
      <c r="NG242" s="79"/>
      <c r="NH242" s="79"/>
      <c r="NI242" s="79"/>
      <c r="NJ242" s="79"/>
      <c r="NK242" s="79"/>
      <c r="NL242" s="79"/>
      <c r="NM242" s="79"/>
      <c r="NN242" s="79"/>
      <c r="NO242" s="79"/>
      <c r="NP242" s="79"/>
      <c r="NQ242" s="79"/>
      <c r="NR242" s="79"/>
      <c r="NS242" s="79"/>
      <c r="NT242" s="79"/>
      <c r="NU242" s="79"/>
      <c r="NV242" s="79"/>
      <c r="NW242" s="79"/>
      <c r="NX242" s="79"/>
      <c r="NY242" s="79"/>
      <c r="NZ242" s="79"/>
      <c r="OA242" s="79"/>
      <c r="OB242" s="79"/>
      <c r="OC242" s="79"/>
      <c r="OD242" s="79"/>
      <c r="OE242" s="79"/>
      <c r="OF242" s="79"/>
      <c r="OG242" s="79"/>
      <c r="OH242" s="79"/>
      <c r="OI242" s="79"/>
      <c r="OJ242" s="79"/>
      <c r="OK242" s="79"/>
      <c r="OL242" s="79"/>
      <c r="OM242" s="79"/>
      <c r="ON242" s="79"/>
      <c r="OO242" s="79"/>
      <c r="OP242" s="79"/>
      <c r="OQ242" s="79"/>
      <c r="OR242" s="79"/>
      <c r="OS242" s="79"/>
      <c r="OT242" s="79"/>
      <c r="OU242" s="79"/>
      <c r="OV242" s="79"/>
      <c r="OW242" s="79"/>
      <c r="OX242" s="79"/>
      <c r="OY242" s="79"/>
      <c r="OZ242" s="79"/>
      <c r="PA242" s="79"/>
      <c r="PB242" s="79"/>
      <c r="PC242" s="79"/>
      <c r="PD242" s="79"/>
      <c r="PE242" s="79"/>
      <c r="PF242" s="79"/>
      <c r="PG242" s="79"/>
      <c r="PH242" s="79"/>
      <c r="PI242" s="79"/>
      <c r="PJ242" s="79"/>
      <c r="PK242" s="79"/>
      <c r="PL242" s="79"/>
      <c r="PM242" s="79"/>
      <c r="PN242" s="79"/>
      <c r="PO242" s="79"/>
      <c r="PP242" s="79"/>
      <c r="PQ242" s="79"/>
      <c r="PR242" s="79"/>
      <c r="PS242" s="79"/>
      <c r="PT242" s="79"/>
      <c r="PU242" s="79"/>
      <c r="PV242" s="79"/>
      <c r="PW242" s="79"/>
      <c r="PX242" s="79"/>
      <c r="PY242" s="79"/>
      <c r="PZ242" s="79"/>
      <c r="QA242" s="79"/>
      <c r="QB242" s="79"/>
      <c r="QC242" s="79"/>
      <c r="QD242" s="79"/>
      <c r="QE242" s="79"/>
      <c r="QF242" s="79"/>
      <c r="QG242" s="79"/>
      <c r="QH242" s="79"/>
      <c r="QI242" s="79"/>
      <c r="QJ242" s="79"/>
      <c r="QK242" s="79"/>
      <c r="QL242" s="79"/>
      <c r="QM242" s="79"/>
      <c r="QN242" s="79"/>
      <c r="QO242" s="79"/>
      <c r="QP242" s="79"/>
      <c r="QQ242" s="79"/>
      <c r="QR242" s="79"/>
      <c r="QS242" s="79"/>
      <c r="QT242" s="79"/>
      <c r="QU242" s="79"/>
      <c r="QV242" s="79"/>
      <c r="QW242" s="79"/>
      <c r="QX242" s="79"/>
      <c r="QY242" s="79"/>
      <c r="QZ242" s="79"/>
      <c r="RA242" s="79"/>
      <c r="RB242" s="79"/>
      <c r="RC242" s="79"/>
      <c r="RD242" s="79"/>
      <c r="RE242" s="79"/>
      <c r="RF242" s="79"/>
      <c r="RG242" s="79"/>
      <c r="RH242" s="79"/>
      <c r="RI242" s="79"/>
      <c r="RJ242" s="79"/>
      <c r="RK242" s="79"/>
      <c r="RL242" s="79"/>
      <c r="RM242" s="79"/>
      <c r="RN242" s="79"/>
      <c r="RO242" s="79"/>
      <c r="RP242" s="79"/>
      <c r="RQ242" s="79"/>
      <c r="RR242" s="79"/>
      <c r="RS242" s="79"/>
      <c r="RT242" s="79"/>
      <c r="RU242" s="79"/>
      <c r="RV242" s="79"/>
      <c r="RW242" s="79"/>
      <c r="RX242" s="79"/>
      <c r="RY242" s="79"/>
      <c r="RZ242" s="79"/>
      <c r="SA242" s="79"/>
      <c r="SB242" s="79"/>
      <c r="SC242" s="79"/>
      <c r="SD242" s="79"/>
      <c r="SE242" s="79"/>
      <c r="SF242" s="79"/>
      <c r="SG242" s="79"/>
      <c r="SH242" s="79"/>
      <c r="SI242" s="79"/>
      <c r="SJ242" s="79"/>
      <c r="SK242" s="79"/>
      <c r="SL242" s="79"/>
      <c r="SM242" s="79"/>
      <c r="SN242" s="79"/>
      <c r="SO242" s="79"/>
      <c r="SP242" s="79"/>
      <c r="SQ242" s="79"/>
      <c r="SR242" s="79"/>
      <c r="SS242" s="79"/>
      <c r="ST242" s="79"/>
      <c r="SU242" s="79"/>
      <c r="SV242" s="79"/>
      <c r="SW242" s="79"/>
      <c r="SX242" s="79"/>
      <c r="SY242" s="79"/>
      <c r="SZ242" s="79"/>
      <c r="TA242" s="79"/>
      <c r="TB242" s="79"/>
      <c r="TC242" s="79"/>
      <c r="TD242" s="79"/>
      <c r="TE242" s="79"/>
      <c r="TF242" s="79"/>
      <c r="TG242" s="79"/>
      <c r="TH242" s="79"/>
      <c r="TI242" s="79"/>
      <c r="TJ242" s="79"/>
      <c r="TK242" s="79"/>
      <c r="TL242" s="79"/>
      <c r="TM242" s="79"/>
      <c r="TN242" s="79"/>
      <c r="TO242" s="79"/>
      <c r="TP242" s="79"/>
      <c r="TQ242" s="79"/>
      <c r="TR242" s="79"/>
      <c r="TS242" s="79"/>
      <c r="TT242" s="79"/>
      <c r="TU242" s="79"/>
      <c r="TV242" s="79"/>
      <c r="TW242" s="79"/>
      <c r="TX242" s="79"/>
      <c r="TY242" s="79"/>
      <c r="TZ242" s="79"/>
      <c r="UA242" s="79"/>
      <c r="UB242" s="79"/>
      <c r="UC242" s="79"/>
      <c r="UD242" s="79"/>
      <c r="UE242" s="79"/>
      <c r="UF242" s="79"/>
      <c r="UG242" s="79"/>
      <c r="UH242" s="79"/>
      <c r="UI242" s="79"/>
      <c r="UJ242" s="79"/>
      <c r="UK242" s="79"/>
      <c r="UL242" s="79"/>
      <c r="UM242" s="79"/>
      <c r="UN242" s="79"/>
      <c r="UO242" s="79"/>
      <c r="UP242" s="79"/>
      <c r="UQ242" s="79"/>
      <c r="UR242" s="79"/>
      <c r="US242" s="79"/>
      <c r="UT242" s="79"/>
      <c r="UU242" s="79"/>
      <c r="UV242" s="79"/>
      <c r="UW242" s="79"/>
      <c r="UX242" s="79"/>
      <c r="UY242" s="79"/>
      <c r="UZ242" s="79"/>
      <c r="VA242" s="79"/>
      <c r="VB242" s="79"/>
      <c r="VC242" s="79"/>
      <c r="VD242" s="79"/>
      <c r="VE242" s="79"/>
      <c r="VF242" s="79"/>
      <c r="VG242" s="79"/>
      <c r="VH242" s="79"/>
      <c r="VI242" s="79"/>
      <c r="VJ242" s="79"/>
      <c r="VK242" s="79"/>
      <c r="VL242" s="79"/>
    </row>
    <row r="243" spans="1:584" s="81" customFormat="1" ht="41.25" customHeight="1" x14ac:dyDescent="0.25">
      <c r="A243" s="67" t="s">
        <v>151</v>
      </c>
      <c r="B243" s="98"/>
      <c r="C243" s="98"/>
      <c r="D243" s="68" t="s">
        <v>56</v>
      </c>
      <c r="E243" s="114">
        <f>E244</f>
        <v>5556200</v>
      </c>
      <c r="F243" s="114">
        <f t="shared" si="70"/>
        <v>4303200</v>
      </c>
      <c r="G243" s="114">
        <f t="shared" si="70"/>
        <v>105490</v>
      </c>
      <c r="H243" s="114">
        <f>H244</f>
        <v>5429946.3499999996</v>
      </c>
      <c r="I243" s="114">
        <f t="shared" si="70"/>
        <v>4254755.0999999996</v>
      </c>
      <c r="J243" s="114">
        <f t="shared" si="70"/>
        <v>87139.86</v>
      </c>
      <c r="K243" s="153">
        <f t="shared" si="59"/>
        <v>97.727697887045096</v>
      </c>
      <c r="L243" s="114">
        <f t="shared" si="70"/>
        <v>100000</v>
      </c>
      <c r="M243" s="114">
        <f t="shared" si="70"/>
        <v>100000</v>
      </c>
      <c r="N243" s="114">
        <f t="shared" si="70"/>
        <v>0</v>
      </c>
      <c r="O243" s="114">
        <f t="shared" si="70"/>
        <v>0</v>
      </c>
      <c r="P243" s="114">
        <f t="shared" si="70"/>
        <v>0</v>
      </c>
      <c r="Q243" s="114">
        <f t="shared" si="70"/>
        <v>100000</v>
      </c>
      <c r="R243" s="114">
        <f t="shared" si="70"/>
        <v>99943.92</v>
      </c>
      <c r="S243" s="114">
        <f t="shared" si="70"/>
        <v>99943.92</v>
      </c>
      <c r="T243" s="114">
        <f t="shared" si="70"/>
        <v>0</v>
      </c>
      <c r="U243" s="114">
        <f t="shared" si="70"/>
        <v>0</v>
      </c>
      <c r="V243" s="114">
        <f t="shared" si="70"/>
        <v>0</v>
      </c>
      <c r="W243" s="114">
        <f t="shared" si="70"/>
        <v>99943.92</v>
      </c>
      <c r="X243" s="165">
        <f t="shared" si="60"/>
        <v>99.943919999999991</v>
      </c>
      <c r="Y243" s="114">
        <f t="shared" si="70"/>
        <v>5529890.2699999996</v>
      </c>
      <c r="Z243" s="187"/>
      <c r="AA243" s="80"/>
      <c r="AB243" s="80"/>
      <c r="AC243" s="80"/>
      <c r="AD243" s="80"/>
      <c r="AE243" s="79"/>
      <c r="AF243" s="79"/>
      <c r="AG243" s="79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  <c r="EX243" s="80"/>
      <c r="EY243" s="80"/>
      <c r="EZ243" s="80"/>
      <c r="FA243" s="80"/>
      <c r="FB243" s="80"/>
      <c r="FC243" s="80"/>
      <c r="FD243" s="80"/>
      <c r="FE243" s="80"/>
      <c r="FF243" s="80"/>
      <c r="FG243" s="80"/>
      <c r="FH243" s="80"/>
      <c r="FI243" s="80"/>
      <c r="FJ243" s="80"/>
      <c r="FK243" s="80"/>
      <c r="FL243" s="80"/>
      <c r="FM243" s="80"/>
      <c r="FN243" s="80"/>
      <c r="FO243" s="80"/>
      <c r="FP243" s="80"/>
      <c r="FQ243" s="80"/>
      <c r="FR243" s="80"/>
      <c r="FS243" s="80"/>
      <c r="FT243" s="80"/>
      <c r="FU243" s="80"/>
      <c r="FV243" s="80"/>
      <c r="FW243" s="80"/>
      <c r="FX243" s="80"/>
      <c r="FY243" s="80"/>
      <c r="FZ243" s="80"/>
      <c r="GA243" s="80"/>
      <c r="GB243" s="80"/>
      <c r="GC243" s="80"/>
      <c r="GD243" s="80"/>
      <c r="GE243" s="80"/>
      <c r="GF243" s="80"/>
      <c r="GG243" s="80"/>
      <c r="GH243" s="80"/>
      <c r="GI243" s="80"/>
      <c r="GJ243" s="80"/>
      <c r="GK243" s="80"/>
      <c r="GL243" s="80"/>
      <c r="GM243" s="80"/>
      <c r="GN243" s="80"/>
      <c r="GO243" s="80"/>
      <c r="GP243" s="80"/>
      <c r="GQ243" s="80"/>
      <c r="GR243" s="80"/>
      <c r="GS243" s="80"/>
      <c r="GT243" s="80"/>
      <c r="GU243" s="80"/>
      <c r="GV243" s="80"/>
      <c r="GW243" s="80"/>
      <c r="GX243" s="80"/>
      <c r="GY243" s="80"/>
      <c r="GZ243" s="80"/>
      <c r="HA243" s="80"/>
      <c r="HB243" s="80"/>
      <c r="HC243" s="80"/>
      <c r="HD243" s="80"/>
      <c r="HE243" s="80"/>
      <c r="HF243" s="80"/>
      <c r="HG243" s="80"/>
      <c r="HH243" s="80"/>
      <c r="HI243" s="80"/>
      <c r="HJ243" s="80"/>
      <c r="HK243" s="80"/>
      <c r="HL243" s="80"/>
      <c r="HM243" s="80"/>
      <c r="HN243" s="80"/>
      <c r="HO243" s="80"/>
      <c r="HP243" s="80"/>
      <c r="HQ243" s="80"/>
      <c r="HR243" s="80"/>
      <c r="HS243" s="80"/>
      <c r="HT243" s="80"/>
      <c r="HU243" s="80"/>
      <c r="HV243" s="80"/>
      <c r="HW243" s="80"/>
      <c r="HX243" s="80"/>
      <c r="HY243" s="80"/>
      <c r="HZ243" s="80"/>
      <c r="IA243" s="80"/>
      <c r="IB243" s="80"/>
      <c r="IC243" s="80"/>
      <c r="ID243" s="80"/>
      <c r="IE243" s="80"/>
      <c r="IF243" s="80"/>
      <c r="IG243" s="80"/>
      <c r="IH243" s="80"/>
      <c r="II243" s="80"/>
      <c r="IJ243" s="80"/>
      <c r="IK243" s="80"/>
      <c r="IL243" s="80"/>
      <c r="IM243" s="80"/>
      <c r="IN243" s="80"/>
      <c r="IO243" s="80"/>
      <c r="IP243" s="80"/>
      <c r="IQ243" s="80"/>
      <c r="IR243" s="80"/>
      <c r="IS243" s="80"/>
      <c r="IT243" s="80"/>
      <c r="IU243" s="80"/>
      <c r="IV243" s="80"/>
      <c r="IW243" s="80"/>
      <c r="IX243" s="80"/>
      <c r="IY243" s="80"/>
      <c r="IZ243" s="80"/>
      <c r="JA243" s="80"/>
      <c r="JB243" s="80"/>
      <c r="JC243" s="80"/>
      <c r="JD243" s="80"/>
      <c r="JE243" s="80"/>
      <c r="JF243" s="80"/>
      <c r="JG243" s="80"/>
      <c r="JH243" s="80"/>
      <c r="JI243" s="80"/>
      <c r="JJ243" s="80"/>
      <c r="JK243" s="80"/>
      <c r="JL243" s="80"/>
      <c r="JM243" s="80"/>
      <c r="JN243" s="80"/>
      <c r="JO243" s="80"/>
      <c r="JP243" s="80"/>
      <c r="JQ243" s="80"/>
      <c r="JR243" s="80"/>
      <c r="JS243" s="80"/>
      <c r="JT243" s="80"/>
      <c r="JU243" s="80"/>
      <c r="JV243" s="80"/>
      <c r="JW243" s="80"/>
      <c r="JX243" s="80"/>
      <c r="JY243" s="80"/>
      <c r="JZ243" s="80"/>
      <c r="KA243" s="80"/>
      <c r="KB243" s="80"/>
      <c r="KC243" s="80"/>
      <c r="KD243" s="80"/>
      <c r="KE243" s="80"/>
      <c r="KF243" s="80"/>
      <c r="KG243" s="80"/>
      <c r="KH243" s="80"/>
      <c r="KI243" s="80"/>
      <c r="KJ243" s="80"/>
      <c r="KK243" s="80"/>
      <c r="KL243" s="80"/>
      <c r="KM243" s="80"/>
      <c r="KN243" s="80"/>
      <c r="KO243" s="80"/>
      <c r="KP243" s="80"/>
      <c r="KQ243" s="80"/>
      <c r="KR243" s="80"/>
      <c r="KS243" s="80"/>
      <c r="KT243" s="80"/>
      <c r="KU243" s="80"/>
      <c r="KV243" s="80"/>
      <c r="KW243" s="80"/>
      <c r="KX243" s="80"/>
      <c r="KY243" s="80"/>
      <c r="KZ243" s="80"/>
      <c r="LA243" s="80"/>
      <c r="LB243" s="80"/>
      <c r="LC243" s="80"/>
      <c r="LD243" s="80"/>
      <c r="LE243" s="80"/>
      <c r="LF243" s="80"/>
      <c r="LG243" s="80"/>
      <c r="LH243" s="80"/>
      <c r="LI243" s="80"/>
      <c r="LJ243" s="80"/>
      <c r="LK243" s="80"/>
      <c r="LL243" s="80"/>
      <c r="LM243" s="80"/>
      <c r="LN243" s="80"/>
      <c r="LO243" s="80"/>
      <c r="LP243" s="80"/>
      <c r="LQ243" s="80"/>
      <c r="LR243" s="80"/>
      <c r="LS243" s="80"/>
      <c r="LT243" s="80"/>
      <c r="LU243" s="80"/>
      <c r="LV243" s="80"/>
      <c r="LW243" s="80"/>
      <c r="LX243" s="80"/>
      <c r="LY243" s="80"/>
      <c r="LZ243" s="80"/>
      <c r="MA243" s="80"/>
      <c r="MB243" s="80"/>
      <c r="MC243" s="80"/>
      <c r="MD243" s="80"/>
      <c r="ME243" s="80"/>
      <c r="MF243" s="80"/>
      <c r="MG243" s="80"/>
      <c r="MH243" s="80"/>
      <c r="MI243" s="80"/>
      <c r="MJ243" s="80"/>
      <c r="MK243" s="80"/>
      <c r="ML243" s="80"/>
      <c r="MM243" s="80"/>
      <c r="MN243" s="80"/>
      <c r="MO243" s="80"/>
      <c r="MP243" s="80"/>
      <c r="MQ243" s="80"/>
      <c r="MR243" s="80"/>
      <c r="MS243" s="80"/>
      <c r="MT243" s="80"/>
      <c r="MU243" s="80"/>
      <c r="MV243" s="80"/>
      <c r="MW243" s="80"/>
      <c r="MX243" s="80"/>
      <c r="MY243" s="80"/>
      <c r="MZ243" s="80"/>
      <c r="NA243" s="80"/>
      <c r="NB243" s="80"/>
      <c r="NC243" s="80"/>
      <c r="ND243" s="80"/>
      <c r="NE243" s="80"/>
      <c r="NF243" s="80"/>
      <c r="NG243" s="80"/>
      <c r="NH243" s="80"/>
      <c r="NI243" s="80"/>
      <c r="NJ243" s="80"/>
      <c r="NK243" s="80"/>
      <c r="NL243" s="80"/>
      <c r="NM243" s="80"/>
      <c r="NN243" s="80"/>
      <c r="NO243" s="80"/>
      <c r="NP243" s="80"/>
      <c r="NQ243" s="80"/>
      <c r="NR243" s="80"/>
      <c r="NS243" s="80"/>
      <c r="NT243" s="80"/>
      <c r="NU243" s="80"/>
      <c r="NV243" s="80"/>
      <c r="NW243" s="80"/>
      <c r="NX243" s="80"/>
      <c r="NY243" s="80"/>
      <c r="NZ243" s="80"/>
      <c r="OA243" s="80"/>
      <c r="OB243" s="80"/>
      <c r="OC243" s="80"/>
      <c r="OD243" s="80"/>
      <c r="OE243" s="80"/>
      <c r="OF243" s="80"/>
      <c r="OG243" s="80"/>
      <c r="OH243" s="80"/>
      <c r="OI243" s="80"/>
      <c r="OJ243" s="80"/>
      <c r="OK243" s="80"/>
      <c r="OL243" s="80"/>
      <c r="OM243" s="80"/>
      <c r="ON243" s="80"/>
      <c r="OO243" s="80"/>
      <c r="OP243" s="80"/>
      <c r="OQ243" s="80"/>
      <c r="OR243" s="80"/>
      <c r="OS243" s="80"/>
      <c r="OT243" s="80"/>
      <c r="OU243" s="80"/>
      <c r="OV243" s="80"/>
      <c r="OW243" s="80"/>
      <c r="OX243" s="80"/>
      <c r="OY243" s="80"/>
      <c r="OZ243" s="80"/>
      <c r="PA243" s="80"/>
      <c r="PB243" s="80"/>
      <c r="PC243" s="80"/>
      <c r="PD243" s="80"/>
      <c r="PE243" s="80"/>
      <c r="PF243" s="80"/>
      <c r="PG243" s="80"/>
      <c r="PH243" s="80"/>
      <c r="PI243" s="80"/>
      <c r="PJ243" s="80"/>
      <c r="PK243" s="80"/>
      <c r="PL243" s="80"/>
      <c r="PM243" s="80"/>
      <c r="PN243" s="80"/>
      <c r="PO243" s="80"/>
      <c r="PP243" s="80"/>
      <c r="PQ243" s="80"/>
      <c r="PR243" s="80"/>
      <c r="PS243" s="80"/>
      <c r="PT243" s="80"/>
      <c r="PU243" s="80"/>
      <c r="PV243" s="80"/>
      <c r="PW243" s="80"/>
      <c r="PX243" s="80"/>
      <c r="PY243" s="80"/>
      <c r="PZ243" s="80"/>
      <c r="QA243" s="80"/>
      <c r="QB243" s="80"/>
      <c r="QC243" s="80"/>
      <c r="QD243" s="80"/>
      <c r="QE243" s="80"/>
      <c r="QF243" s="80"/>
      <c r="QG243" s="80"/>
      <c r="QH243" s="80"/>
      <c r="QI243" s="80"/>
      <c r="QJ243" s="80"/>
      <c r="QK243" s="80"/>
      <c r="QL243" s="80"/>
      <c r="QM243" s="80"/>
      <c r="QN243" s="80"/>
      <c r="QO243" s="80"/>
      <c r="QP243" s="80"/>
      <c r="QQ243" s="80"/>
      <c r="QR243" s="80"/>
      <c r="QS243" s="80"/>
      <c r="QT243" s="80"/>
      <c r="QU243" s="80"/>
      <c r="QV243" s="80"/>
      <c r="QW243" s="80"/>
      <c r="QX243" s="80"/>
      <c r="QY243" s="80"/>
      <c r="QZ243" s="80"/>
      <c r="RA243" s="80"/>
      <c r="RB243" s="80"/>
      <c r="RC243" s="80"/>
      <c r="RD243" s="80"/>
      <c r="RE243" s="80"/>
      <c r="RF243" s="80"/>
      <c r="RG243" s="80"/>
      <c r="RH243" s="80"/>
      <c r="RI243" s="80"/>
      <c r="RJ243" s="80"/>
      <c r="RK243" s="80"/>
      <c r="RL243" s="80"/>
      <c r="RM243" s="80"/>
      <c r="RN243" s="80"/>
      <c r="RO243" s="80"/>
      <c r="RP243" s="80"/>
      <c r="RQ243" s="80"/>
      <c r="RR243" s="80"/>
      <c r="RS243" s="80"/>
      <c r="RT243" s="80"/>
      <c r="RU243" s="80"/>
      <c r="RV243" s="80"/>
      <c r="RW243" s="80"/>
      <c r="RX243" s="80"/>
      <c r="RY243" s="80"/>
      <c r="RZ243" s="80"/>
      <c r="SA243" s="80"/>
      <c r="SB243" s="80"/>
      <c r="SC243" s="80"/>
      <c r="SD243" s="80"/>
      <c r="SE243" s="80"/>
      <c r="SF243" s="80"/>
      <c r="SG243" s="80"/>
      <c r="SH243" s="80"/>
      <c r="SI243" s="80"/>
      <c r="SJ243" s="80"/>
      <c r="SK243" s="80"/>
      <c r="SL243" s="80"/>
      <c r="SM243" s="80"/>
      <c r="SN243" s="80"/>
      <c r="SO243" s="80"/>
      <c r="SP243" s="80"/>
      <c r="SQ243" s="80"/>
      <c r="SR243" s="80"/>
      <c r="SS243" s="80"/>
      <c r="ST243" s="80"/>
      <c r="SU243" s="80"/>
      <c r="SV243" s="80"/>
      <c r="SW243" s="80"/>
      <c r="SX243" s="80"/>
      <c r="SY243" s="80"/>
      <c r="SZ243" s="80"/>
      <c r="TA243" s="80"/>
      <c r="TB243" s="80"/>
      <c r="TC243" s="80"/>
      <c r="TD243" s="80"/>
      <c r="TE243" s="80"/>
      <c r="TF243" s="80"/>
      <c r="TG243" s="80"/>
      <c r="TH243" s="80"/>
      <c r="TI243" s="80"/>
      <c r="TJ243" s="80"/>
      <c r="TK243" s="80"/>
      <c r="TL243" s="80"/>
      <c r="TM243" s="80"/>
      <c r="TN243" s="80"/>
      <c r="TO243" s="80"/>
      <c r="TP243" s="80"/>
      <c r="TQ243" s="80"/>
      <c r="TR243" s="80"/>
      <c r="TS243" s="80"/>
      <c r="TT243" s="80"/>
      <c r="TU243" s="80"/>
      <c r="TV243" s="80"/>
      <c r="TW243" s="80"/>
      <c r="TX243" s="80"/>
      <c r="TY243" s="80"/>
      <c r="TZ243" s="80"/>
      <c r="UA243" s="80"/>
      <c r="UB243" s="80"/>
      <c r="UC243" s="80"/>
      <c r="UD243" s="80"/>
      <c r="UE243" s="80"/>
      <c r="UF243" s="80"/>
      <c r="UG243" s="80"/>
      <c r="UH243" s="80"/>
      <c r="UI243" s="80"/>
      <c r="UJ243" s="80"/>
      <c r="UK243" s="80"/>
      <c r="UL243" s="80"/>
      <c r="UM243" s="80"/>
      <c r="UN243" s="80"/>
      <c r="UO243" s="80"/>
      <c r="UP243" s="80"/>
      <c r="UQ243" s="80"/>
      <c r="UR243" s="80"/>
      <c r="US243" s="80"/>
      <c r="UT243" s="80"/>
      <c r="UU243" s="80"/>
      <c r="UV243" s="80"/>
      <c r="UW243" s="80"/>
      <c r="UX243" s="80"/>
      <c r="UY243" s="80"/>
      <c r="UZ243" s="80"/>
      <c r="VA243" s="80"/>
      <c r="VB243" s="80"/>
      <c r="VC243" s="80"/>
      <c r="VD243" s="80"/>
      <c r="VE243" s="80"/>
      <c r="VF243" s="80"/>
      <c r="VG243" s="80"/>
      <c r="VH243" s="80"/>
      <c r="VI243" s="80"/>
      <c r="VJ243" s="80"/>
      <c r="VK243" s="80"/>
      <c r="VL243" s="80"/>
    </row>
    <row r="244" spans="1:584" s="47" customFormat="1" ht="36" customHeight="1" x14ac:dyDescent="0.25">
      <c r="A244" s="45" t="s">
        <v>0</v>
      </c>
      <c r="B244" s="91" t="str">
        <f>'дод 3'!A13</f>
        <v>0160</v>
      </c>
      <c r="C244" s="91" t="str">
        <f>'дод 3'!B13</f>
        <v>0111</v>
      </c>
      <c r="D244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44" s="115">
        <v>5556200</v>
      </c>
      <c r="F244" s="115">
        <f>4335700-32500</f>
        <v>4303200</v>
      </c>
      <c r="G244" s="115">
        <f>103690+1800</f>
        <v>105490</v>
      </c>
      <c r="H244" s="115">
        <v>5429946.3499999996</v>
      </c>
      <c r="I244" s="115">
        <v>4254755.0999999996</v>
      </c>
      <c r="J244" s="115">
        <v>87139.86</v>
      </c>
      <c r="K244" s="164">
        <f t="shared" si="59"/>
        <v>97.727697887045096</v>
      </c>
      <c r="L244" s="115">
        <f t="shared" ref="L244:L309" si="71">N244+Q244</f>
        <v>100000</v>
      </c>
      <c r="M244" s="115">
        <v>100000</v>
      </c>
      <c r="N244" s="115"/>
      <c r="O244" s="115"/>
      <c r="P244" s="115"/>
      <c r="Q244" s="115">
        <f>100000</f>
        <v>100000</v>
      </c>
      <c r="R244" s="115">
        <f t="shared" ref="R244:R309" si="72">T244+W244</f>
        <v>99943.92</v>
      </c>
      <c r="S244" s="115">
        <v>99943.92</v>
      </c>
      <c r="T244" s="115"/>
      <c r="U244" s="115"/>
      <c r="V244" s="115"/>
      <c r="W244" s="115">
        <v>99943.92</v>
      </c>
      <c r="X244" s="166">
        <f t="shared" si="60"/>
        <v>99.943919999999991</v>
      </c>
      <c r="Y244" s="115">
        <f t="shared" ref="Y244" si="73">H244+R244</f>
        <v>5529890.2699999996</v>
      </c>
      <c r="Z244" s="187"/>
      <c r="AA244" s="53"/>
      <c r="AB244" s="53"/>
      <c r="AC244" s="53"/>
      <c r="AD244" s="53"/>
      <c r="AE244" s="79"/>
      <c r="AF244" s="79"/>
      <c r="AG244" s="79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  <c r="IK244" s="53"/>
      <c r="IL244" s="53"/>
      <c r="IM244" s="53"/>
      <c r="IN244" s="53"/>
      <c r="IO244" s="53"/>
      <c r="IP244" s="53"/>
      <c r="IQ244" s="53"/>
      <c r="IR244" s="53"/>
      <c r="IS244" s="53"/>
      <c r="IT244" s="53"/>
      <c r="IU244" s="53"/>
      <c r="IV244" s="53"/>
      <c r="IW244" s="53"/>
      <c r="IX244" s="53"/>
      <c r="IY244" s="53"/>
      <c r="IZ244" s="53"/>
      <c r="JA244" s="53"/>
      <c r="JB244" s="53"/>
      <c r="JC244" s="53"/>
      <c r="JD244" s="53"/>
      <c r="JE244" s="53"/>
      <c r="JF244" s="53"/>
      <c r="JG244" s="53"/>
      <c r="JH244" s="53"/>
      <c r="JI244" s="53"/>
      <c r="JJ244" s="53"/>
      <c r="JK244" s="53"/>
      <c r="JL244" s="53"/>
      <c r="JM244" s="53"/>
      <c r="JN244" s="53"/>
      <c r="JO244" s="53"/>
      <c r="JP244" s="53"/>
      <c r="JQ244" s="53"/>
      <c r="JR244" s="53"/>
      <c r="JS244" s="53"/>
      <c r="JT244" s="53"/>
      <c r="JU244" s="53"/>
      <c r="JV244" s="53"/>
      <c r="JW244" s="53"/>
      <c r="JX244" s="53"/>
      <c r="JY244" s="53"/>
      <c r="JZ244" s="53"/>
      <c r="KA244" s="53"/>
      <c r="KB244" s="53"/>
      <c r="KC244" s="53"/>
      <c r="KD244" s="53"/>
      <c r="KE244" s="53"/>
      <c r="KF244" s="53"/>
      <c r="KG244" s="53"/>
      <c r="KH244" s="53"/>
      <c r="KI244" s="53"/>
      <c r="KJ244" s="53"/>
      <c r="KK244" s="53"/>
      <c r="KL244" s="53"/>
      <c r="KM244" s="53"/>
      <c r="KN244" s="53"/>
      <c r="KO244" s="53"/>
      <c r="KP244" s="53"/>
      <c r="KQ244" s="53"/>
      <c r="KR244" s="53"/>
      <c r="KS244" s="53"/>
      <c r="KT244" s="53"/>
      <c r="KU244" s="53"/>
      <c r="KV244" s="53"/>
      <c r="KW244" s="53"/>
      <c r="KX244" s="53"/>
      <c r="KY244" s="53"/>
      <c r="KZ244" s="53"/>
      <c r="LA244" s="53"/>
      <c r="LB244" s="53"/>
      <c r="LC244" s="53"/>
      <c r="LD244" s="53"/>
      <c r="LE244" s="53"/>
      <c r="LF244" s="53"/>
      <c r="LG244" s="53"/>
      <c r="LH244" s="53"/>
      <c r="LI244" s="53"/>
      <c r="LJ244" s="53"/>
      <c r="LK244" s="53"/>
      <c r="LL244" s="53"/>
      <c r="LM244" s="53"/>
      <c r="LN244" s="53"/>
      <c r="LO244" s="53"/>
      <c r="LP244" s="53"/>
      <c r="LQ244" s="53"/>
      <c r="LR244" s="53"/>
      <c r="LS244" s="53"/>
      <c r="LT244" s="53"/>
      <c r="LU244" s="53"/>
      <c r="LV244" s="53"/>
      <c r="LW244" s="53"/>
      <c r="LX244" s="53"/>
      <c r="LY244" s="53"/>
      <c r="LZ244" s="53"/>
      <c r="MA244" s="53"/>
      <c r="MB244" s="53"/>
      <c r="MC244" s="53"/>
      <c r="MD244" s="53"/>
      <c r="ME244" s="53"/>
      <c r="MF244" s="53"/>
      <c r="MG244" s="53"/>
      <c r="MH244" s="53"/>
      <c r="MI244" s="53"/>
      <c r="MJ244" s="53"/>
      <c r="MK244" s="53"/>
      <c r="ML244" s="53"/>
      <c r="MM244" s="53"/>
      <c r="MN244" s="53"/>
      <c r="MO244" s="53"/>
      <c r="MP244" s="53"/>
      <c r="MQ244" s="53"/>
      <c r="MR244" s="53"/>
      <c r="MS244" s="53"/>
      <c r="MT244" s="53"/>
      <c r="MU244" s="53"/>
      <c r="MV244" s="53"/>
      <c r="MW244" s="53"/>
      <c r="MX244" s="53"/>
      <c r="MY244" s="53"/>
      <c r="MZ244" s="53"/>
      <c r="NA244" s="53"/>
      <c r="NB244" s="53"/>
      <c r="NC244" s="53"/>
      <c r="ND244" s="53"/>
      <c r="NE244" s="53"/>
      <c r="NF244" s="53"/>
      <c r="NG244" s="53"/>
      <c r="NH244" s="53"/>
      <c r="NI244" s="53"/>
      <c r="NJ244" s="53"/>
      <c r="NK244" s="53"/>
      <c r="NL244" s="53"/>
      <c r="NM244" s="53"/>
      <c r="NN244" s="53"/>
      <c r="NO244" s="53"/>
      <c r="NP244" s="53"/>
      <c r="NQ244" s="53"/>
      <c r="NR244" s="53"/>
      <c r="NS244" s="53"/>
      <c r="NT244" s="53"/>
      <c r="NU244" s="53"/>
      <c r="NV244" s="53"/>
      <c r="NW244" s="53"/>
      <c r="NX244" s="53"/>
      <c r="NY244" s="53"/>
      <c r="NZ244" s="53"/>
      <c r="OA244" s="53"/>
      <c r="OB244" s="53"/>
      <c r="OC244" s="53"/>
      <c r="OD244" s="53"/>
      <c r="OE244" s="53"/>
      <c r="OF244" s="53"/>
      <c r="OG244" s="53"/>
      <c r="OH244" s="53"/>
      <c r="OI244" s="53"/>
      <c r="OJ244" s="53"/>
      <c r="OK244" s="53"/>
      <c r="OL244" s="53"/>
      <c r="OM244" s="53"/>
      <c r="ON244" s="53"/>
      <c r="OO244" s="53"/>
      <c r="OP244" s="53"/>
      <c r="OQ244" s="53"/>
      <c r="OR244" s="53"/>
      <c r="OS244" s="53"/>
      <c r="OT244" s="53"/>
      <c r="OU244" s="53"/>
      <c r="OV244" s="53"/>
      <c r="OW244" s="53"/>
      <c r="OX244" s="53"/>
      <c r="OY244" s="53"/>
      <c r="OZ244" s="53"/>
      <c r="PA244" s="53"/>
      <c r="PB244" s="53"/>
      <c r="PC244" s="53"/>
      <c r="PD244" s="53"/>
      <c r="PE244" s="53"/>
      <c r="PF244" s="53"/>
      <c r="PG244" s="53"/>
      <c r="PH244" s="53"/>
      <c r="PI244" s="53"/>
      <c r="PJ244" s="53"/>
      <c r="PK244" s="53"/>
      <c r="PL244" s="53"/>
      <c r="PM244" s="53"/>
      <c r="PN244" s="53"/>
      <c r="PO244" s="53"/>
      <c r="PP244" s="53"/>
      <c r="PQ244" s="53"/>
      <c r="PR244" s="53"/>
      <c r="PS244" s="53"/>
      <c r="PT244" s="53"/>
      <c r="PU244" s="53"/>
      <c r="PV244" s="53"/>
      <c r="PW244" s="53"/>
      <c r="PX244" s="53"/>
      <c r="PY244" s="53"/>
      <c r="PZ244" s="53"/>
      <c r="QA244" s="53"/>
      <c r="QB244" s="53"/>
      <c r="QC244" s="53"/>
      <c r="QD244" s="53"/>
      <c r="QE244" s="53"/>
      <c r="QF244" s="53"/>
      <c r="QG244" s="53"/>
      <c r="QH244" s="53"/>
      <c r="QI244" s="53"/>
      <c r="QJ244" s="53"/>
      <c r="QK244" s="53"/>
      <c r="QL244" s="53"/>
      <c r="QM244" s="53"/>
      <c r="QN244" s="53"/>
      <c r="QO244" s="53"/>
      <c r="QP244" s="53"/>
      <c r="QQ244" s="53"/>
      <c r="QR244" s="53"/>
      <c r="QS244" s="53"/>
      <c r="QT244" s="53"/>
      <c r="QU244" s="53"/>
      <c r="QV244" s="53"/>
      <c r="QW244" s="53"/>
      <c r="QX244" s="53"/>
      <c r="QY244" s="53"/>
      <c r="QZ244" s="53"/>
      <c r="RA244" s="53"/>
      <c r="RB244" s="53"/>
      <c r="RC244" s="53"/>
      <c r="RD244" s="53"/>
      <c r="RE244" s="53"/>
      <c r="RF244" s="53"/>
      <c r="RG244" s="53"/>
      <c r="RH244" s="53"/>
      <c r="RI244" s="53"/>
      <c r="RJ244" s="53"/>
      <c r="RK244" s="53"/>
      <c r="RL244" s="53"/>
      <c r="RM244" s="53"/>
      <c r="RN244" s="53"/>
      <c r="RO244" s="53"/>
      <c r="RP244" s="53"/>
      <c r="RQ244" s="53"/>
      <c r="RR244" s="53"/>
      <c r="RS244" s="53"/>
      <c r="RT244" s="53"/>
      <c r="RU244" s="53"/>
      <c r="RV244" s="53"/>
      <c r="RW244" s="53"/>
      <c r="RX244" s="53"/>
      <c r="RY244" s="53"/>
      <c r="RZ244" s="53"/>
      <c r="SA244" s="53"/>
      <c r="SB244" s="53"/>
      <c r="SC244" s="53"/>
      <c r="SD244" s="53"/>
      <c r="SE244" s="53"/>
      <c r="SF244" s="53"/>
      <c r="SG244" s="53"/>
      <c r="SH244" s="53"/>
      <c r="SI244" s="53"/>
      <c r="SJ244" s="53"/>
      <c r="SK244" s="53"/>
      <c r="SL244" s="53"/>
      <c r="SM244" s="53"/>
      <c r="SN244" s="53"/>
      <c r="SO244" s="53"/>
      <c r="SP244" s="53"/>
      <c r="SQ244" s="53"/>
      <c r="SR244" s="53"/>
      <c r="SS244" s="53"/>
      <c r="ST244" s="53"/>
      <c r="SU244" s="53"/>
      <c r="SV244" s="53"/>
      <c r="SW244" s="53"/>
      <c r="SX244" s="53"/>
      <c r="SY244" s="53"/>
      <c r="SZ244" s="53"/>
      <c r="TA244" s="53"/>
      <c r="TB244" s="53"/>
      <c r="TC244" s="53"/>
      <c r="TD244" s="53"/>
      <c r="TE244" s="53"/>
      <c r="TF244" s="53"/>
      <c r="TG244" s="53"/>
      <c r="TH244" s="53"/>
      <c r="TI244" s="53"/>
      <c r="TJ244" s="53"/>
      <c r="TK244" s="53"/>
      <c r="TL244" s="53"/>
      <c r="TM244" s="53"/>
      <c r="TN244" s="53"/>
      <c r="TO244" s="53"/>
      <c r="TP244" s="53"/>
      <c r="TQ244" s="53"/>
      <c r="TR244" s="53"/>
      <c r="TS244" s="53"/>
      <c r="TT244" s="53"/>
      <c r="TU244" s="53"/>
      <c r="TV244" s="53"/>
      <c r="TW244" s="53"/>
      <c r="TX244" s="53"/>
      <c r="TY244" s="53"/>
      <c r="TZ244" s="53"/>
      <c r="UA244" s="53"/>
      <c r="UB244" s="53"/>
      <c r="UC244" s="53"/>
      <c r="UD244" s="53"/>
      <c r="UE244" s="53"/>
      <c r="UF244" s="53"/>
      <c r="UG244" s="53"/>
      <c r="UH244" s="53"/>
      <c r="UI244" s="53"/>
      <c r="UJ244" s="53"/>
      <c r="UK244" s="53"/>
      <c r="UL244" s="53"/>
      <c r="UM244" s="53"/>
      <c r="UN244" s="53"/>
      <c r="UO244" s="53"/>
      <c r="UP244" s="53"/>
      <c r="UQ244" s="53"/>
      <c r="UR244" s="53"/>
      <c r="US244" s="53"/>
      <c r="UT244" s="53"/>
      <c r="UU244" s="53"/>
      <c r="UV244" s="53"/>
      <c r="UW244" s="53"/>
      <c r="UX244" s="53"/>
      <c r="UY244" s="53"/>
      <c r="UZ244" s="53"/>
      <c r="VA244" s="53"/>
      <c r="VB244" s="53"/>
      <c r="VC244" s="53"/>
      <c r="VD244" s="53"/>
      <c r="VE244" s="53"/>
      <c r="VF244" s="53"/>
      <c r="VG244" s="53"/>
      <c r="VH244" s="53"/>
      <c r="VI244" s="53"/>
      <c r="VJ244" s="53"/>
      <c r="VK244" s="53"/>
      <c r="VL244" s="53"/>
    </row>
    <row r="245" spans="1:584" s="47" customFormat="1" ht="37.5" hidden="1" customHeight="1" x14ac:dyDescent="0.25">
      <c r="A245" s="45" t="s">
        <v>332</v>
      </c>
      <c r="B245" s="91" t="str">
        <f>'дод 3'!A157</f>
        <v>6090</v>
      </c>
      <c r="C245" s="91" t="str">
        <f>'дод 3'!B157</f>
        <v>0640</v>
      </c>
      <c r="D245" s="48" t="str">
        <f>'дод 3'!C157</f>
        <v>Інша діяльність у сфері житлово-комунального господарства</v>
      </c>
      <c r="E245" s="115" t="e">
        <f>#REF!+#REF!</f>
        <v>#REF!</v>
      </c>
      <c r="F245" s="115"/>
      <c r="G245" s="115"/>
      <c r="H245" s="115"/>
      <c r="I245" s="115"/>
      <c r="J245" s="115"/>
      <c r="K245" s="135" t="e">
        <f t="shared" si="59"/>
        <v>#REF!</v>
      </c>
      <c r="L245" s="115">
        <f t="shared" si="71"/>
        <v>0</v>
      </c>
      <c r="M245" s="115"/>
      <c r="N245" s="115"/>
      <c r="O245" s="115"/>
      <c r="P245" s="115"/>
      <c r="Q245" s="115"/>
      <c r="R245" s="115">
        <f t="shared" si="72"/>
        <v>0</v>
      </c>
      <c r="S245" s="115"/>
      <c r="T245" s="115"/>
      <c r="U245" s="115"/>
      <c r="V245" s="115"/>
      <c r="W245" s="115"/>
      <c r="X245" s="149" t="e">
        <f t="shared" si="60"/>
        <v>#DIV/0!</v>
      </c>
      <c r="Y245" s="115" t="e">
        <f>E245+L245</f>
        <v>#REF!</v>
      </c>
      <c r="Z245" s="187"/>
      <c r="AA245" s="53"/>
      <c r="AB245" s="53"/>
      <c r="AC245" s="53"/>
      <c r="AD245" s="53"/>
      <c r="AE245" s="79"/>
      <c r="AF245" s="79"/>
      <c r="AG245" s="79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  <c r="IK245" s="53"/>
      <c r="IL245" s="53"/>
      <c r="IM245" s="53"/>
      <c r="IN245" s="53"/>
      <c r="IO245" s="53"/>
      <c r="IP245" s="53"/>
      <c r="IQ245" s="53"/>
      <c r="IR245" s="53"/>
      <c r="IS245" s="53"/>
      <c r="IT245" s="53"/>
      <c r="IU245" s="53"/>
      <c r="IV245" s="53"/>
      <c r="IW245" s="53"/>
      <c r="IX245" s="53"/>
      <c r="IY245" s="53"/>
      <c r="IZ245" s="53"/>
      <c r="JA245" s="53"/>
      <c r="JB245" s="53"/>
      <c r="JC245" s="53"/>
      <c r="JD245" s="53"/>
      <c r="JE245" s="53"/>
      <c r="JF245" s="53"/>
      <c r="JG245" s="53"/>
      <c r="JH245" s="53"/>
      <c r="JI245" s="53"/>
      <c r="JJ245" s="53"/>
      <c r="JK245" s="53"/>
      <c r="JL245" s="53"/>
      <c r="JM245" s="53"/>
      <c r="JN245" s="53"/>
      <c r="JO245" s="53"/>
      <c r="JP245" s="53"/>
      <c r="JQ245" s="53"/>
      <c r="JR245" s="53"/>
      <c r="JS245" s="53"/>
      <c r="JT245" s="53"/>
      <c r="JU245" s="53"/>
      <c r="JV245" s="53"/>
      <c r="JW245" s="53"/>
      <c r="JX245" s="53"/>
      <c r="JY245" s="53"/>
      <c r="JZ245" s="53"/>
      <c r="KA245" s="53"/>
      <c r="KB245" s="53"/>
      <c r="KC245" s="53"/>
      <c r="KD245" s="53"/>
      <c r="KE245" s="53"/>
      <c r="KF245" s="53"/>
      <c r="KG245" s="53"/>
      <c r="KH245" s="53"/>
      <c r="KI245" s="53"/>
      <c r="KJ245" s="53"/>
      <c r="KK245" s="53"/>
      <c r="KL245" s="53"/>
      <c r="KM245" s="53"/>
      <c r="KN245" s="53"/>
      <c r="KO245" s="53"/>
      <c r="KP245" s="53"/>
      <c r="KQ245" s="53"/>
      <c r="KR245" s="53"/>
      <c r="KS245" s="53"/>
      <c r="KT245" s="53"/>
      <c r="KU245" s="53"/>
      <c r="KV245" s="53"/>
      <c r="KW245" s="53"/>
      <c r="KX245" s="53"/>
      <c r="KY245" s="53"/>
      <c r="KZ245" s="53"/>
      <c r="LA245" s="53"/>
      <c r="LB245" s="53"/>
      <c r="LC245" s="53"/>
      <c r="LD245" s="53"/>
      <c r="LE245" s="53"/>
      <c r="LF245" s="53"/>
      <c r="LG245" s="53"/>
      <c r="LH245" s="53"/>
      <c r="LI245" s="53"/>
      <c r="LJ245" s="53"/>
      <c r="LK245" s="53"/>
      <c r="LL245" s="53"/>
      <c r="LM245" s="53"/>
      <c r="LN245" s="53"/>
      <c r="LO245" s="53"/>
      <c r="LP245" s="53"/>
      <c r="LQ245" s="53"/>
      <c r="LR245" s="53"/>
      <c r="LS245" s="53"/>
      <c r="LT245" s="53"/>
      <c r="LU245" s="53"/>
      <c r="LV245" s="53"/>
      <c r="LW245" s="53"/>
      <c r="LX245" s="53"/>
      <c r="LY245" s="53"/>
      <c r="LZ245" s="53"/>
      <c r="MA245" s="53"/>
      <c r="MB245" s="53"/>
      <c r="MC245" s="53"/>
      <c r="MD245" s="53"/>
      <c r="ME245" s="53"/>
      <c r="MF245" s="53"/>
      <c r="MG245" s="53"/>
      <c r="MH245" s="53"/>
      <c r="MI245" s="53"/>
      <c r="MJ245" s="53"/>
      <c r="MK245" s="53"/>
      <c r="ML245" s="53"/>
      <c r="MM245" s="53"/>
      <c r="MN245" s="53"/>
      <c r="MO245" s="53"/>
      <c r="MP245" s="53"/>
      <c r="MQ245" s="53"/>
      <c r="MR245" s="53"/>
      <c r="MS245" s="53"/>
      <c r="MT245" s="53"/>
      <c r="MU245" s="53"/>
      <c r="MV245" s="53"/>
      <c r="MW245" s="53"/>
      <c r="MX245" s="53"/>
      <c r="MY245" s="53"/>
      <c r="MZ245" s="53"/>
      <c r="NA245" s="53"/>
      <c r="NB245" s="53"/>
      <c r="NC245" s="53"/>
      <c r="ND245" s="53"/>
      <c r="NE245" s="53"/>
      <c r="NF245" s="53"/>
      <c r="NG245" s="53"/>
      <c r="NH245" s="53"/>
      <c r="NI245" s="53"/>
      <c r="NJ245" s="53"/>
      <c r="NK245" s="53"/>
      <c r="NL245" s="53"/>
      <c r="NM245" s="53"/>
      <c r="NN245" s="53"/>
      <c r="NO245" s="53"/>
      <c r="NP245" s="53"/>
      <c r="NQ245" s="53"/>
      <c r="NR245" s="53"/>
      <c r="NS245" s="53"/>
      <c r="NT245" s="53"/>
      <c r="NU245" s="53"/>
      <c r="NV245" s="53"/>
      <c r="NW245" s="53"/>
      <c r="NX245" s="53"/>
      <c r="NY245" s="53"/>
      <c r="NZ245" s="53"/>
      <c r="OA245" s="53"/>
      <c r="OB245" s="53"/>
      <c r="OC245" s="53"/>
      <c r="OD245" s="53"/>
      <c r="OE245" s="53"/>
      <c r="OF245" s="53"/>
      <c r="OG245" s="53"/>
      <c r="OH245" s="53"/>
      <c r="OI245" s="53"/>
      <c r="OJ245" s="53"/>
      <c r="OK245" s="53"/>
      <c r="OL245" s="53"/>
      <c r="OM245" s="53"/>
      <c r="ON245" s="53"/>
      <c r="OO245" s="53"/>
      <c r="OP245" s="53"/>
      <c r="OQ245" s="53"/>
      <c r="OR245" s="53"/>
      <c r="OS245" s="53"/>
      <c r="OT245" s="53"/>
      <c r="OU245" s="53"/>
      <c r="OV245" s="53"/>
      <c r="OW245" s="53"/>
      <c r="OX245" s="53"/>
      <c r="OY245" s="53"/>
      <c r="OZ245" s="53"/>
      <c r="PA245" s="53"/>
      <c r="PB245" s="53"/>
      <c r="PC245" s="53"/>
      <c r="PD245" s="53"/>
      <c r="PE245" s="53"/>
      <c r="PF245" s="53"/>
      <c r="PG245" s="53"/>
      <c r="PH245" s="53"/>
      <c r="PI245" s="53"/>
      <c r="PJ245" s="53"/>
      <c r="PK245" s="53"/>
      <c r="PL245" s="53"/>
      <c r="PM245" s="53"/>
      <c r="PN245" s="53"/>
      <c r="PO245" s="53"/>
      <c r="PP245" s="53"/>
      <c r="PQ245" s="53"/>
      <c r="PR245" s="53"/>
      <c r="PS245" s="53"/>
      <c r="PT245" s="53"/>
      <c r="PU245" s="53"/>
      <c r="PV245" s="53"/>
      <c r="PW245" s="53"/>
      <c r="PX245" s="53"/>
      <c r="PY245" s="53"/>
      <c r="PZ245" s="53"/>
      <c r="QA245" s="53"/>
      <c r="QB245" s="53"/>
      <c r="QC245" s="53"/>
      <c r="QD245" s="53"/>
      <c r="QE245" s="53"/>
      <c r="QF245" s="53"/>
      <c r="QG245" s="53"/>
      <c r="QH245" s="53"/>
      <c r="QI245" s="53"/>
      <c r="QJ245" s="53"/>
      <c r="QK245" s="53"/>
      <c r="QL245" s="53"/>
      <c r="QM245" s="53"/>
      <c r="QN245" s="53"/>
      <c r="QO245" s="53"/>
      <c r="QP245" s="53"/>
      <c r="QQ245" s="53"/>
      <c r="QR245" s="53"/>
      <c r="QS245" s="53"/>
      <c r="QT245" s="53"/>
      <c r="QU245" s="53"/>
      <c r="QV245" s="53"/>
      <c r="QW245" s="53"/>
      <c r="QX245" s="53"/>
      <c r="QY245" s="53"/>
      <c r="QZ245" s="53"/>
      <c r="RA245" s="53"/>
      <c r="RB245" s="53"/>
      <c r="RC245" s="53"/>
      <c r="RD245" s="53"/>
      <c r="RE245" s="53"/>
      <c r="RF245" s="53"/>
      <c r="RG245" s="53"/>
      <c r="RH245" s="53"/>
      <c r="RI245" s="53"/>
      <c r="RJ245" s="53"/>
      <c r="RK245" s="53"/>
      <c r="RL245" s="53"/>
      <c r="RM245" s="53"/>
      <c r="RN245" s="53"/>
      <c r="RO245" s="53"/>
      <c r="RP245" s="53"/>
      <c r="RQ245" s="53"/>
      <c r="RR245" s="53"/>
      <c r="RS245" s="53"/>
      <c r="RT245" s="53"/>
      <c r="RU245" s="53"/>
      <c r="RV245" s="53"/>
      <c r="RW245" s="53"/>
      <c r="RX245" s="53"/>
      <c r="RY245" s="53"/>
      <c r="RZ245" s="53"/>
      <c r="SA245" s="53"/>
      <c r="SB245" s="53"/>
      <c r="SC245" s="53"/>
      <c r="SD245" s="53"/>
      <c r="SE245" s="53"/>
      <c r="SF245" s="53"/>
      <c r="SG245" s="53"/>
      <c r="SH245" s="53"/>
      <c r="SI245" s="53"/>
      <c r="SJ245" s="53"/>
      <c r="SK245" s="53"/>
      <c r="SL245" s="53"/>
      <c r="SM245" s="53"/>
      <c r="SN245" s="53"/>
      <c r="SO245" s="53"/>
      <c r="SP245" s="53"/>
      <c r="SQ245" s="53"/>
      <c r="SR245" s="53"/>
      <c r="SS245" s="53"/>
      <c r="ST245" s="53"/>
      <c r="SU245" s="53"/>
      <c r="SV245" s="53"/>
      <c r="SW245" s="53"/>
      <c r="SX245" s="53"/>
      <c r="SY245" s="53"/>
      <c r="SZ245" s="53"/>
      <c r="TA245" s="53"/>
      <c r="TB245" s="53"/>
      <c r="TC245" s="53"/>
      <c r="TD245" s="53"/>
      <c r="TE245" s="53"/>
      <c r="TF245" s="53"/>
      <c r="TG245" s="53"/>
      <c r="TH245" s="53"/>
      <c r="TI245" s="53"/>
      <c r="TJ245" s="53"/>
      <c r="TK245" s="53"/>
      <c r="TL245" s="53"/>
      <c r="TM245" s="53"/>
      <c r="TN245" s="53"/>
      <c r="TO245" s="53"/>
      <c r="TP245" s="53"/>
      <c r="TQ245" s="53"/>
      <c r="TR245" s="53"/>
      <c r="TS245" s="53"/>
      <c r="TT245" s="53"/>
      <c r="TU245" s="53"/>
      <c r="TV245" s="53"/>
      <c r="TW245" s="53"/>
      <c r="TX245" s="53"/>
      <c r="TY245" s="53"/>
      <c r="TZ245" s="53"/>
      <c r="UA245" s="53"/>
      <c r="UB245" s="53"/>
      <c r="UC245" s="53"/>
      <c r="UD245" s="53"/>
      <c r="UE245" s="53"/>
      <c r="UF245" s="53"/>
      <c r="UG245" s="53"/>
      <c r="UH245" s="53"/>
      <c r="UI245" s="53"/>
      <c r="UJ245" s="53"/>
      <c r="UK245" s="53"/>
      <c r="UL245" s="53"/>
      <c r="UM245" s="53"/>
      <c r="UN245" s="53"/>
      <c r="UO245" s="53"/>
      <c r="UP245" s="53"/>
      <c r="UQ245" s="53"/>
      <c r="UR245" s="53"/>
      <c r="US245" s="53"/>
      <c r="UT245" s="53"/>
      <c r="UU245" s="53"/>
      <c r="UV245" s="53"/>
      <c r="UW245" s="53"/>
      <c r="UX245" s="53"/>
      <c r="UY245" s="53"/>
      <c r="UZ245" s="53"/>
      <c r="VA245" s="53"/>
      <c r="VB245" s="53"/>
      <c r="VC245" s="53"/>
      <c r="VD245" s="53"/>
      <c r="VE245" s="53"/>
      <c r="VF245" s="53"/>
      <c r="VG245" s="53"/>
      <c r="VH245" s="53"/>
      <c r="VI245" s="53"/>
      <c r="VJ245" s="53"/>
      <c r="VK245" s="53"/>
      <c r="VL245" s="53"/>
    </row>
    <row r="246" spans="1:584" s="64" customFormat="1" ht="34.5" customHeight="1" x14ac:dyDescent="0.25">
      <c r="A246" s="62" t="s">
        <v>47</v>
      </c>
      <c r="B246" s="97"/>
      <c r="C246" s="97"/>
      <c r="D246" s="63" t="s">
        <v>55</v>
      </c>
      <c r="E246" s="116">
        <f>E247</f>
        <v>1140940.2</v>
      </c>
      <c r="F246" s="116">
        <f t="shared" ref="F246:Y246" si="74">F247</f>
        <v>0</v>
      </c>
      <c r="G246" s="116">
        <f t="shared" si="74"/>
        <v>0</v>
      </c>
      <c r="H246" s="116">
        <f>H247</f>
        <v>855709.84</v>
      </c>
      <c r="I246" s="116">
        <f t="shared" si="74"/>
        <v>0</v>
      </c>
      <c r="J246" s="116">
        <f t="shared" si="74"/>
        <v>0</v>
      </c>
      <c r="K246" s="135">
        <f t="shared" si="59"/>
        <v>75.000411064488745</v>
      </c>
      <c r="L246" s="116">
        <f t="shared" si="74"/>
        <v>230084748.78000003</v>
      </c>
      <c r="M246" s="116">
        <f t="shared" si="74"/>
        <v>195257494.85000002</v>
      </c>
      <c r="N246" s="116">
        <f t="shared" si="74"/>
        <v>3000000</v>
      </c>
      <c r="O246" s="116">
        <f t="shared" si="74"/>
        <v>2217000</v>
      </c>
      <c r="P246" s="116">
        <f t="shared" si="74"/>
        <v>90900</v>
      </c>
      <c r="Q246" s="116">
        <f t="shared" si="74"/>
        <v>227084748.78000003</v>
      </c>
      <c r="R246" s="116">
        <f t="shared" si="74"/>
        <v>137159531.28999999</v>
      </c>
      <c r="S246" s="116">
        <f t="shared" si="74"/>
        <v>131001737</v>
      </c>
      <c r="T246" s="116">
        <f t="shared" si="74"/>
        <v>5753946.3300000001</v>
      </c>
      <c r="U246" s="116">
        <f t="shared" si="74"/>
        <v>4584795.8899999997</v>
      </c>
      <c r="V246" s="116">
        <f t="shared" si="74"/>
        <v>73359.59</v>
      </c>
      <c r="W246" s="116">
        <f t="shared" si="74"/>
        <v>131405584.95999999</v>
      </c>
      <c r="X246" s="149">
        <f t="shared" si="60"/>
        <v>59.612613185912522</v>
      </c>
      <c r="Y246" s="116">
        <f t="shared" si="74"/>
        <v>138015241.13</v>
      </c>
      <c r="Z246" s="187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9"/>
      <c r="FC246" s="79"/>
      <c r="FD246" s="79"/>
      <c r="FE246" s="79"/>
      <c r="FF246" s="79"/>
      <c r="FG246" s="79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  <c r="FV246" s="79"/>
      <c r="FW246" s="79"/>
      <c r="FX246" s="79"/>
      <c r="FY246" s="79"/>
      <c r="FZ246" s="79"/>
      <c r="GA246" s="79"/>
      <c r="GB246" s="79"/>
      <c r="GC246" s="79"/>
      <c r="GD246" s="79"/>
      <c r="GE246" s="79"/>
      <c r="GF246" s="79"/>
      <c r="GG246" s="79"/>
      <c r="GH246" s="79"/>
      <c r="GI246" s="79"/>
      <c r="GJ246" s="79"/>
      <c r="GK246" s="79"/>
      <c r="GL246" s="79"/>
      <c r="GM246" s="79"/>
      <c r="GN246" s="79"/>
      <c r="GO246" s="79"/>
      <c r="GP246" s="79"/>
      <c r="GQ246" s="79"/>
      <c r="GR246" s="79"/>
      <c r="GS246" s="79"/>
      <c r="GT246" s="79"/>
      <c r="GU246" s="79"/>
      <c r="GV246" s="79"/>
      <c r="GW246" s="79"/>
      <c r="GX246" s="79"/>
      <c r="GY246" s="79"/>
      <c r="GZ246" s="79"/>
      <c r="HA246" s="79"/>
      <c r="HB246" s="79"/>
      <c r="HC246" s="79"/>
      <c r="HD246" s="79"/>
      <c r="HE246" s="79"/>
      <c r="HF246" s="79"/>
      <c r="HG246" s="79"/>
      <c r="HH246" s="79"/>
      <c r="HI246" s="79"/>
      <c r="HJ246" s="79"/>
      <c r="HK246" s="79"/>
      <c r="HL246" s="79"/>
      <c r="HM246" s="79"/>
      <c r="HN246" s="79"/>
      <c r="HO246" s="79"/>
      <c r="HP246" s="79"/>
      <c r="HQ246" s="79"/>
      <c r="HR246" s="79"/>
      <c r="HS246" s="79"/>
      <c r="HT246" s="79"/>
      <c r="HU246" s="79"/>
      <c r="HV246" s="79"/>
      <c r="HW246" s="79"/>
      <c r="HX246" s="79"/>
      <c r="HY246" s="79"/>
      <c r="HZ246" s="79"/>
      <c r="IA246" s="79"/>
      <c r="IB246" s="79"/>
      <c r="IC246" s="79"/>
      <c r="ID246" s="79"/>
      <c r="IE246" s="79"/>
      <c r="IF246" s="79"/>
      <c r="IG246" s="79"/>
      <c r="IH246" s="79"/>
      <c r="II246" s="79"/>
      <c r="IJ246" s="79"/>
      <c r="IK246" s="79"/>
      <c r="IL246" s="79"/>
      <c r="IM246" s="79"/>
      <c r="IN246" s="79"/>
      <c r="IO246" s="79"/>
      <c r="IP246" s="79"/>
      <c r="IQ246" s="79"/>
      <c r="IR246" s="79"/>
      <c r="IS246" s="79"/>
      <c r="IT246" s="79"/>
      <c r="IU246" s="79"/>
      <c r="IV246" s="79"/>
      <c r="IW246" s="79"/>
      <c r="IX246" s="79"/>
      <c r="IY246" s="79"/>
      <c r="IZ246" s="79"/>
      <c r="JA246" s="79"/>
      <c r="JB246" s="79"/>
      <c r="JC246" s="79"/>
      <c r="JD246" s="79"/>
      <c r="JE246" s="79"/>
      <c r="JF246" s="79"/>
      <c r="JG246" s="79"/>
      <c r="JH246" s="79"/>
      <c r="JI246" s="79"/>
      <c r="JJ246" s="79"/>
      <c r="JK246" s="79"/>
      <c r="JL246" s="79"/>
      <c r="JM246" s="79"/>
      <c r="JN246" s="79"/>
      <c r="JO246" s="79"/>
      <c r="JP246" s="79"/>
      <c r="JQ246" s="79"/>
      <c r="JR246" s="79"/>
      <c r="JS246" s="79"/>
      <c r="JT246" s="79"/>
      <c r="JU246" s="79"/>
      <c r="JV246" s="79"/>
      <c r="JW246" s="79"/>
      <c r="JX246" s="79"/>
      <c r="JY246" s="79"/>
      <c r="JZ246" s="79"/>
      <c r="KA246" s="79"/>
      <c r="KB246" s="79"/>
      <c r="KC246" s="79"/>
      <c r="KD246" s="79"/>
      <c r="KE246" s="79"/>
      <c r="KF246" s="79"/>
      <c r="KG246" s="79"/>
      <c r="KH246" s="79"/>
      <c r="KI246" s="79"/>
      <c r="KJ246" s="79"/>
      <c r="KK246" s="79"/>
      <c r="KL246" s="79"/>
      <c r="KM246" s="79"/>
      <c r="KN246" s="79"/>
      <c r="KO246" s="79"/>
      <c r="KP246" s="79"/>
      <c r="KQ246" s="79"/>
      <c r="KR246" s="79"/>
      <c r="KS246" s="79"/>
      <c r="KT246" s="79"/>
      <c r="KU246" s="79"/>
      <c r="KV246" s="79"/>
      <c r="KW246" s="79"/>
      <c r="KX246" s="79"/>
      <c r="KY246" s="79"/>
      <c r="KZ246" s="79"/>
      <c r="LA246" s="79"/>
      <c r="LB246" s="79"/>
      <c r="LC246" s="79"/>
      <c r="LD246" s="79"/>
      <c r="LE246" s="79"/>
      <c r="LF246" s="79"/>
      <c r="LG246" s="79"/>
      <c r="LH246" s="79"/>
      <c r="LI246" s="79"/>
      <c r="LJ246" s="79"/>
      <c r="LK246" s="79"/>
      <c r="LL246" s="79"/>
      <c r="LM246" s="79"/>
      <c r="LN246" s="79"/>
      <c r="LO246" s="79"/>
      <c r="LP246" s="79"/>
      <c r="LQ246" s="79"/>
      <c r="LR246" s="79"/>
      <c r="LS246" s="79"/>
      <c r="LT246" s="79"/>
      <c r="LU246" s="79"/>
      <c r="LV246" s="79"/>
      <c r="LW246" s="79"/>
      <c r="LX246" s="79"/>
      <c r="LY246" s="79"/>
      <c r="LZ246" s="79"/>
      <c r="MA246" s="79"/>
      <c r="MB246" s="79"/>
      <c r="MC246" s="79"/>
      <c r="MD246" s="79"/>
      <c r="ME246" s="79"/>
      <c r="MF246" s="79"/>
      <c r="MG246" s="79"/>
      <c r="MH246" s="79"/>
      <c r="MI246" s="79"/>
      <c r="MJ246" s="79"/>
      <c r="MK246" s="79"/>
      <c r="ML246" s="79"/>
      <c r="MM246" s="79"/>
      <c r="MN246" s="79"/>
      <c r="MO246" s="79"/>
      <c r="MP246" s="79"/>
      <c r="MQ246" s="79"/>
      <c r="MR246" s="79"/>
      <c r="MS246" s="79"/>
      <c r="MT246" s="79"/>
      <c r="MU246" s="79"/>
      <c r="MV246" s="79"/>
      <c r="MW246" s="79"/>
      <c r="MX246" s="79"/>
      <c r="MY246" s="79"/>
      <c r="MZ246" s="79"/>
      <c r="NA246" s="79"/>
      <c r="NB246" s="79"/>
      <c r="NC246" s="79"/>
      <c r="ND246" s="79"/>
      <c r="NE246" s="79"/>
      <c r="NF246" s="79"/>
      <c r="NG246" s="79"/>
      <c r="NH246" s="79"/>
      <c r="NI246" s="79"/>
      <c r="NJ246" s="79"/>
      <c r="NK246" s="79"/>
      <c r="NL246" s="79"/>
      <c r="NM246" s="79"/>
      <c r="NN246" s="79"/>
      <c r="NO246" s="79"/>
      <c r="NP246" s="79"/>
      <c r="NQ246" s="79"/>
      <c r="NR246" s="79"/>
      <c r="NS246" s="79"/>
      <c r="NT246" s="79"/>
      <c r="NU246" s="79"/>
      <c r="NV246" s="79"/>
      <c r="NW246" s="79"/>
      <c r="NX246" s="79"/>
      <c r="NY246" s="79"/>
      <c r="NZ246" s="79"/>
      <c r="OA246" s="79"/>
      <c r="OB246" s="79"/>
      <c r="OC246" s="79"/>
      <c r="OD246" s="79"/>
      <c r="OE246" s="79"/>
      <c r="OF246" s="79"/>
      <c r="OG246" s="79"/>
      <c r="OH246" s="79"/>
      <c r="OI246" s="79"/>
      <c r="OJ246" s="79"/>
      <c r="OK246" s="79"/>
      <c r="OL246" s="79"/>
      <c r="OM246" s="79"/>
      <c r="ON246" s="79"/>
      <c r="OO246" s="79"/>
      <c r="OP246" s="79"/>
      <c r="OQ246" s="79"/>
      <c r="OR246" s="79"/>
      <c r="OS246" s="79"/>
      <c r="OT246" s="79"/>
      <c r="OU246" s="79"/>
      <c r="OV246" s="79"/>
      <c r="OW246" s="79"/>
      <c r="OX246" s="79"/>
      <c r="OY246" s="79"/>
      <c r="OZ246" s="79"/>
      <c r="PA246" s="79"/>
      <c r="PB246" s="79"/>
      <c r="PC246" s="79"/>
      <c r="PD246" s="79"/>
      <c r="PE246" s="79"/>
      <c r="PF246" s="79"/>
      <c r="PG246" s="79"/>
      <c r="PH246" s="79"/>
      <c r="PI246" s="79"/>
      <c r="PJ246" s="79"/>
      <c r="PK246" s="79"/>
      <c r="PL246" s="79"/>
      <c r="PM246" s="79"/>
      <c r="PN246" s="79"/>
      <c r="PO246" s="79"/>
      <c r="PP246" s="79"/>
      <c r="PQ246" s="79"/>
      <c r="PR246" s="79"/>
      <c r="PS246" s="79"/>
      <c r="PT246" s="79"/>
      <c r="PU246" s="79"/>
      <c r="PV246" s="79"/>
      <c r="PW246" s="79"/>
      <c r="PX246" s="79"/>
      <c r="PY246" s="79"/>
      <c r="PZ246" s="79"/>
      <c r="QA246" s="79"/>
      <c r="QB246" s="79"/>
      <c r="QC246" s="79"/>
      <c r="QD246" s="79"/>
      <c r="QE246" s="79"/>
      <c r="QF246" s="79"/>
      <c r="QG246" s="79"/>
      <c r="QH246" s="79"/>
      <c r="QI246" s="79"/>
      <c r="QJ246" s="79"/>
      <c r="QK246" s="79"/>
      <c r="QL246" s="79"/>
      <c r="QM246" s="79"/>
      <c r="QN246" s="79"/>
      <c r="QO246" s="79"/>
      <c r="QP246" s="79"/>
      <c r="QQ246" s="79"/>
      <c r="QR246" s="79"/>
      <c r="QS246" s="79"/>
      <c r="QT246" s="79"/>
      <c r="QU246" s="79"/>
      <c r="QV246" s="79"/>
      <c r="QW246" s="79"/>
      <c r="QX246" s="79"/>
      <c r="QY246" s="79"/>
      <c r="QZ246" s="79"/>
      <c r="RA246" s="79"/>
      <c r="RB246" s="79"/>
      <c r="RC246" s="79"/>
      <c r="RD246" s="79"/>
      <c r="RE246" s="79"/>
      <c r="RF246" s="79"/>
      <c r="RG246" s="79"/>
      <c r="RH246" s="79"/>
      <c r="RI246" s="79"/>
      <c r="RJ246" s="79"/>
      <c r="RK246" s="79"/>
      <c r="RL246" s="79"/>
      <c r="RM246" s="79"/>
      <c r="RN246" s="79"/>
      <c r="RO246" s="79"/>
      <c r="RP246" s="79"/>
      <c r="RQ246" s="79"/>
      <c r="RR246" s="79"/>
      <c r="RS246" s="79"/>
      <c r="RT246" s="79"/>
      <c r="RU246" s="79"/>
      <c r="RV246" s="79"/>
      <c r="RW246" s="79"/>
      <c r="RX246" s="79"/>
      <c r="RY246" s="79"/>
      <c r="RZ246" s="79"/>
      <c r="SA246" s="79"/>
      <c r="SB246" s="79"/>
      <c r="SC246" s="79"/>
      <c r="SD246" s="79"/>
      <c r="SE246" s="79"/>
      <c r="SF246" s="79"/>
      <c r="SG246" s="79"/>
      <c r="SH246" s="79"/>
      <c r="SI246" s="79"/>
      <c r="SJ246" s="79"/>
      <c r="SK246" s="79"/>
      <c r="SL246" s="79"/>
      <c r="SM246" s="79"/>
      <c r="SN246" s="79"/>
      <c r="SO246" s="79"/>
      <c r="SP246" s="79"/>
      <c r="SQ246" s="79"/>
      <c r="SR246" s="79"/>
      <c r="SS246" s="79"/>
      <c r="ST246" s="79"/>
      <c r="SU246" s="79"/>
      <c r="SV246" s="79"/>
      <c r="SW246" s="79"/>
      <c r="SX246" s="79"/>
      <c r="SY246" s="79"/>
      <c r="SZ246" s="79"/>
      <c r="TA246" s="79"/>
      <c r="TB246" s="79"/>
      <c r="TC246" s="79"/>
      <c r="TD246" s="79"/>
      <c r="TE246" s="79"/>
      <c r="TF246" s="79"/>
      <c r="TG246" s="79"/>
      <c r="TH246" s="79"/>
      <c r="TI246" s="79"/>
      <c r="TJ246" s="79"/>
      <c r="TK246" s="79"/>
      <c r="TL246" s="79"/>
      <c r="TM246" s="79"/>
      <c r="TN246" s="79"/>
      <c r="TO246" s="79"/>
      <c r="TP246" s="79"/>
      <c r="TQ246" s="79"/>
      <c r="TR246" s="79"/>
      <c r="TS246" s="79"/>
      <c r="TT246" s="79"/>
      <c r="TU246" s="79"/>
      <c r="TV246" s="79"/>
      <c r="TW246" s="79"/>
      <c r="TX246" s="79"/>
      <c r="TY246" s="79"/>
      <c r="TZ246" s="79"/>
      <c r="UA246" s="79"/>
      <c r="UB246" s="79"/>
      <c r="UC246" s="79"/>
      <c r="UD246" s="79"/>
      <c r="UE246" s="79"/>
      <c r="UF246" s="79"/>
      <c r="UG246" s="79"/>
      <c r="UH246" s="79"/>
      <c r="UI246" s="79"/>
      <c r="UJ246" s="79"/>
      <c r="UK246" s="79"/>
      <c r="UL246" s="79"/>
      <c r="UM246" s="79"/>
      <c r="UN246" s="79"/>
      <c r="UO246" s="79"/>
      <c r="UP246" s="79"/>
      <c r="UQ246" s="79"/>
      <c r="UR246" s="79"/>
      <c r="US246" s="79"/>
      <c r="UT246" s="79"/>
      <c r="UU246" s="79"/>
      <c r="UV246" s="79"/>
      <c r="UW246" s="79"/>
      <c r="UX246" s="79"/>
      <c r="UY246" s="79"/>
      <c r="UZ246" s="79"/>
      <c r="VA246" s="79"/>
      <c r="VB246" s="79"/>
      <c r="VC246" s="79"/>
      <c r="VD246" s="79"/>
      <c r="VE246" s="79"/>
      <c r="VF246" s="79"/>
      <c r="VG246" s="79"/>
      <c r="VH246" s="79"/>
      <c r="VI246" s="79"/>
      <c r="VJ246" s="79"/>
      <c r="VK246" s="79"/>
      <c r="VL246" s="79"/>
    </row>
    <row r="247" spans="1:584" s="81" customFormat="1" ht="38.25" customHeight="1" x14ac:dyDescent="0.25">
      <c r="A247" s="67" t="s">
        <v>48</v>
      </c>
      <c r="B247" s="98"/>
      <c r="C247" s="98"/>
      <c r="D247" s="68" t="s">
        <v>55</v>
      </c>
      <c r="E247" s="114">
        <f>SUM(E249+E250+E252+E253+E254+E255+E256+E257+E258+E259+E260+E265+E266+E268+E269+E270+E272+E273+E274)</f>
        <v>1140940.2</v>
      </c>
      <c r="F247" s="114">
        <f t="shared" ref="F247:Q247" si="75">SUM(F249+F250+F252+F253+F254+F255+F256+F257+F258+F259+F260+F265+F266+F268+F269+F270+F272+F273+F274)</f>
        <v>0</v>
      </c>
      <c r="G247" s="114">
        <f t="shared" si="75"/>
        <v>0</v>
      </c>
      <c r="H247" s="114">
        <f>SUM(H249+H250+H252+H253+H254+H255+H256+H257+H258+H259+H260+H265+H266+H268+H269+H270+H272+H273+H274)</f>
        <v>855709.84</v>
      </c>
      <c r="I247" s="114">
        <f t="shared" ref="I247:J247" si="76">SUM(I249+I250+I252+I253+I254+I255+I256+I257+I258+I259+I260+I265+I266+I268+I269+I270+I272+I273+I274)</f>
        <v>0</v>
      </c>
      <c r="J247" s="114">
        <f t="shared" si="76"/>
        <v>0</v>
      </c>
      <c r="K247" s="153">
        <f t="shared" si="59"/>
        <v>75.000411064488745</v>
      </c>
      <c r="L247" s="114">
        <f t="shared" si="75"/>
        <v>230084748.78000003</v>
      </c>
      <c r="M247" s="114">
        <f t="shared" si="75"/>
        <v>195257494.85000002</v>
      </c>
      <c r="N247" s="114">
        <f t="shared" si="75"/>
        <v>3000000</v>
      </c>
      <c r="O247" s="114">
        <f t="shared" si="75"/>
        <v>2217000</v>
      </c>
      <c r="P247" s="114">
        <f t="shared" si="75"/>
        <v>90900</v>
      </c>
      <c r="Q247" s="114">
        <f t="shared" si="75"/>
        <v>227084748.78000003</v>
      </c>
      <c r="R247" s="114">
        <f t="shared" ref="R247:W247" si="77">SUM(R249+R250+R252+R253+R254+R255+R256+R257+R258+R259+R260+R265+R266+R268+R269+R270+R272+R273+R274)</f>
        <v>137159531.28999999</v>
      </c>
      <c r="S247" s="114">
        <f t="shared" si="77"/>
        <v>131001737</v>
      </c>
      <c r="T247" s="114">
        <f t="shared" si="77"/>
        <v>5753946.3300000001</v>
      </c>
      <c r="U247" s="114">
        <f t="shared" si="77"/>
        <v>4584795.8899999997</v>
      </c>
      <c r="V247" s="114">
        <f t="shared" si="77"/>
        <v>73359.59</v>
      </c>
      <c r="W247" s="114">
        <f t="shared" si="77"/>
        <v>131405584.95999999</v>
      </c>
      <c r="X247" s="165">
        <f t="shared" si="60"/>
        <v>59.612613185912522</v>
      </c>
      <c r="Y247" s="114">
        <f>SUM(Y249+Y250+Y252+Y253+Y254+Y255+Y256+Y257+Y258+Y259+Y260+Y265+Y266+Y268+Y269+Y270+Y272+Y273+Y274)</f>
        <v>138015241.13</v>
      </c>
      <c r="Z247" s="187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80"/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80"/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  <c r="EX247" s="80"/>
      <c r="EY247" s="80"/>
      <c r="EZ247" s="80"/>
      <c r="FA247" s="80"/>
      <c r="FB247" s="80"/>
      <c r="FC247" s="80"/>
      <c r="FD247" s="80"/>
      <c r="FE247" s="80"/>
      <c r="FF247" s="80"/>
      <c r="FG247" s="80"/>
      <c r="FH247" s="80"/>
      <c r="FI247" s="80"/>
      <c r="FJ247" s="80"/>
      <c r="FK247" s="80"/>
      <c r="FL247" s="80"/>
      <c r="FM247" s="80"/>
      <c r="FN247" s="80"/>
      <c r="FO247" s="80"/>
      <c r="FP247" s="80"/>
      <c r="FQ247" s="80"/>
      <c r="FR247" s="80"/>
      <c r="FS247" s="80"/>
      <c r="FT247" s="80"/>
      <c r="FU247" s="80"/>
      <c r="FV247" s="80"/>
      <c r="FW247" s="80"/>
      <c r="FX247" s="80"/>
      <c r="FY247" s="80"/>
      <c r="FZ247" s="80"/>
      <c r="GA247" s="80"/>
      <c r="GB247" s="80"/>
      <c r="GC247" s="80"/>
      <c r="GD247" s="80"/>
      <c r="GE247" s="80"/>
      <c r="GF247" s="80"/>
      <c r="GG247" s="80"/>
      <c r="GH247" s="80"/>
      <c r="GI247" s="80"/>
      <c r="GJ247" s="80"/>
      <c r="GK247" s="80"/>
      <c r="GL247" s="80"/>
      <c r="GM247" s="80"/>
      <c r="GN247" s="80"/>
      <c r="GO247" s="80"/>
      <c r="GP247" s="80"/>
      <c r="GQ247" s="80"/>
      <c r="GR247" s="80"/>
      <c r="GS247" s="80"/>
      <c r="GT247" s="80"/>
      <c r="GU247" s="80"/>
      <c r="GV247" s="80"/>
      <c r="GW247" s="80"/>
      <c r="GX247" s="80"/>
      <c r="GY247" s="80"/>
      <c r="GZ247" s="80"/>
      <c r="HA247" s="80"/>
      <c r="HB247" s="80"/>
      <c r="HC247" s="80"/>
      <c r="HD247" s="80"/>
      <c r="HE247" s="80"/>
      <c r="HF247" s="80"/>
      <c r="HG247" s="80"/>
      <c r="HH247" s="80"/>
      <c r="HI247" s="80"/>
      <c r="HJ247" s="80"/>
      <c r="HK247" s="80"/>
      <c r="HL247" s="80"/>
      <c r="HM247" s="80"/>
      <c r="HN247" s="80"/>
      <c r="HO247" s="80"/>
      <c r="HP247" s="80"/>
      <c r="HQ247" s="80"/>
      <c r="HR247" s="80"/>
      <c r="HS247" s="80"/>
      <c r="HT247" s="80"/>
      <c r="HU247" s="80"/>
      <c r="HV247" s="80"/>
      <c r="HW247" s="80"/>
      <c r="HX247" s="80"/>
      <c r="HY247" s="80"/>
      <c r="HZ247" s="80"/>
      <c r="IA247" s="80"/>
      <c r="IB247" s="80"/>
      <c r="IC247" s="80"/>
      <c r="ID247" s="80"/>
      <c r="IE247" s="80"/>
      <c r="IF247" s="80"/>
      <c r="IG247" s="80"/>
      <c r="IH247" s="80"/>
      <c r="II247" s="80"/>
      <c r="IJ247" s="80"/>
      <c r="IK247" s="80"/>
      <c r="IL247" s="80"/>
      <c r="IM247" s="80"/>
      <c r="IN247" s="80"/>
      <c r="IO247" s="80"/>
      <c r="IP247" s="80"/>
      <c r="IQ247" s="80"/>
      <c r="IR247" s="80"/>
      <c r="IS247" s="80"/>
      <c r="IT247" s="80"/>
      <c r="IU247" s="80"/>
      <c r="IV247" s="80"/>
      <c r="IW247" s="80"/>
      <c r="IX247" s="80"/>
      <c r="IY247" s="80"/>
      <c r="IZ247" s="80"/>
      <c r="JA247" s="80"/>
      <c r="JB247" s="80"/>
      <c r="JC247" s="80"/>
      <c r="JD247" s="80"/>
      <c r="JE247" s="80"/>
      <c r="JF247" s="80"/>
      <c r="JG247" s="80"/>
      <c r="JH247" s="80"/>
      <c r="JI247" s="80"/>
      <c r="JJ247" s="80"/>
      <c r="JK247" s="80"/>
      <c r="JL247" s="80"/>
      <c r="JM247" s="80"/>
      <c r="JN247" s="80"/>
      <c r="JO247" s="80"/>
      <c r="JP247" s="80"/>
      <c r="JQ247" s="80"/>
      <c r="JR247" s="80"/>
      <c r="JS247" s="80"/>
      <c r="JT247" s="80"/>
      <c r="JU247" s="80"/>
      <c r="JV247" s="80"/>
      <c r="JW247" s="80"/>
      <c r="JX247" s="80"/>
      <c r="JY247" s="80"/>
      <c r="JZ247" s="80"/>
      <c r="KA247" s="80"/>
      <c r="KB247" s="80"/>
      <c r="KC247" s="80"/>
      <c r="KD247" s="80"/>
      <c r="KE247" s="80"/>
      <c r="KF247" s="80"/>
      <c r="KG247" s="80"/>
      <c r="KH247" s="80"/>
      <c r="KI247" s="80"/>
      <c r="KJ247" s="80"/>
      <c r="KK247" s="80"/>
      <c r="KL247" s="80"/>
      <c r="KM247" s="80"/>
      <c r="KN247" s="80"/>
      <c r="KO247" s="80"/>
      <c r="KP247" s="80"/>
      <c r="KQ247" s="80"/>
      <c r="KR247" s="80"/>
      <c r="KS247" s="80"/>
      <c r="KT247" s="80"/>
      <c r="KU247" s="80"/>
      <c r="KV247" s="80"/>
      <c r="KW247" s="80"/>
      <c r="KX247" s="80"/>
      <c r="KY247" s="80"/>
      <c r="KZ247" s="80"/>
      <c r="LA247" s="80"/>
      <c r="LB247" s="80"/>
      <c r="LC247" s="80"/>
      <c r="LD247" s="80"/>
      <c r="LE247" s="80"/>
      <c r="LF247" s="80"/>
      <c r="LG247" s="80"/>
      <c r="LH247" s="80"/>
      <c r="LI247" s="80"/>
      <c r="LJ247" s="80"/>
      <c r="LK247" s="80"/>
      <c r="LL247" s="80"/>
      <c r="LM247" s="80"/>
      <c r="LN247" s="80"/>
      <c r="LO247" s="80"/>
      <c r="LP247" s="80"/>
      <c r="LQ247" s="80"/>
      <c r="LR247" s="80"/>
      <c r="LS247" s="80"/>
      <c r="LT247" s="80"/>
      <c r="LU247" s="80"/>
      <c r="LV247" s="80"/>
      <c r="LW247" s="80"/>
      <c r="LX247" s="80"/>
      <c r="LY247" s="80"/>
      <c r="LZ247" s="80"/>
      <c r="MA247" s="80"/>
      <c r="MB247" s="80"/>
      <c r="MC247" s="80"/>
      <c r="MD247" s="80"/>
      <c r="ME247" s="80"/>
      <c r="MF247" s="80"/>
      <c r="MG247" s="80"/>
      <c r="MH247" s="80"/>
      <c r="MI247" s="80"/>
      <c r="MJ247" s="80"/>
      <c r="MK247" s="80"/>
      <c r="ML247" s="80"/>
      <c r="MM247" s="80"/>
      <c r="MN247" s="80"/>
      <c r="MO247" s="80"/>
      <c r="MP247" s="80"/>
      <c r="MQ247" s="80"/>
      <c r="MR247" s="80"/>
      <c r="MS247" s="80"/>
      <c r="MT247" s="80"/>
      <c r="MU247" s="80"/>
      <c r="MV247" s="80"/>
      <c r="MW247" s="80"/>
      <c r="MX247" s="80"/>
      <c r="MY247" s="80"/>
      <c r="MZ247" s="80"/>
      <c r="NA247" s="80"/>
      <c r="NB247" s="80"/>
      <c r="NC247" s="80"/>
      <c r="ND247" s="80"/>
      <c r="NE247" s="80"/>
      <c r="NF247" s="80"/>
      <c r="NG247" s="80"/>
      <c r="NH247" s="80"/>
      <c r="NI247" s="80"/>
      <c r="NJ247" s="80"/>
      <c r="NK247" s="80"/>
      <c r="NL247" s="80"/>
      <c r="NM247" s="80"/>
      <c r="NN247" s="80"/>
      <c r="NO247" s="80"/>
      <c r="NP247" s="80"/>
      <c r="NQ247" s="80"/>
      <c r="NR247" s="80"/>
      <c r="NS247" s="80"/>
      <c r="NT247" s="80"/>
      <c r="NU247" s="80"/>
      <c r="NV247" s="80"/>
      <c r="NW247" s="80"/>
      <c r="NX247" s="80"/>
      <c r="NY247" s="80"/>
      <c r="NZ247" s="80"/>
      <c r="OA247" s="80"/>
      <c r="OB247" s="80"/>
      <c r="OC247" s="80"/>
      <c r="OD247" s="80"/>
      <c r="OE247" s="80"/>
      <c r="OF247" s="80"/>
      <c r="OG247" s="80"/>
      <c r="OH247" s="80"/>
      <c r="OI247" s="80"/>
      <c r="OJ247" s="80"/>
      <c r="OK247" s="80"/>
      <c r="OL247" s="80"/>
      <c r="OM247" s="80"/>
      <c r="ON247" s="80"/>
      <c r="OO247" s="80"/>
      <c r="OP247" s="80"/>
      <c r="OQ247" s="80"/>
      <c r="OR247" s="80"/>
      <c r="OS247" s="80"/>
      <c r="OT247" s="80"/>
      <c r="OU247" s="80"/>
      <c r="OV247" s="80"/>
      <c r="OW247" s="80"/>
      <c r="OX247" s="80"/>
      <c r="OY247" s="80"/>
      <c r="OZ247" s="80"/>
      <c r="PA247" s="80"/>
      <c r="PB247" s="80"/>
      <c r="PC247" s="80"/>
      <c r="PD247" s="80"/>
      <c r="PE247" s="80"/>
      <c r="PF247" s="80"/>
      <c r="PG247" s="80"/>
      <c r="PH247" s="80"/>
      <c r="PI247" s="80"/>
      <c r="PJ247" s="80"/>
      <c r="PK247" s="80"/>
      <c r="PL247" s="80"/>
      <c r="PM247" s="80"/>
      <c r="PN247" s="80"/>
      <c r="PO247" s="80"/>
      <c r="PP247" s="80"/>
      <c r="PQ247" s="80"/>
      <c r="PR247" s="80"/>
      <c r="PS247" s="80"/>
      <c r="PT247" s="80"/>
      <c r="PU247" s="80"/>
      <c r="PV247" s="80"/>
      <c r="PW247" s="80"/>
      <c r="PX247" s="80"/>
      <c r="PY247" s="80"/>
      <c r="PZ247" s="80"/>
      <c r="QA247" s="80"/>
      <c r="QB247" s="80"/>
      <c r="QC247" s="80"/>
      <c r="QD247" s="80"/>
      <c r="QE247" s="80"/>
      <c r="QF247" s="80"/>
      <c r="QG247" s="80"/>
      <c r="QH247" s="80"/>
      <c r="QI247" s="80"/>
      <c r="QJ247" s="80"/>
      <c r="QK247" s="80"/>
      <c r="QL247" s="80"/>
      <c r="QM247" s="80"/>
      <c r="QN247" s="80"/>
      <c r="QO247" s="80"/>
      <c r="QP247" s="80"/>
      <c r="QQ247" s="80"/>
      <c r="QR247" s="80"/>
      <c r="QS247" s="80"/>
      <c r="QT247" s="80"/>
      <c r="QU247" s="80"/>
      <c r="QV247" s="80"/>
      <c r="QW247" s="80"/>
      <c r="QX247" s="80"/>
      <c r="QY247" s="80"/>
      <c r="QZ247" s="80"/>
      <c r="RA247" s="80"/>
      <c r="RB247" s="80"/>
      <c r="RC247" s="80"/>
      <c r="RD247" s="80"/>
      <c r="RE247" s="80"/>
      <c r="RF247" s="80"/>
      <c r="RG247" s="80"/>
      <c r="RH247" s="80"/>
      <c r="RI247" s="80"/>
      <c r="RJ247" s="80"/>
      <c r="RK247" s="80"/>
      <c r="RL247" s="80"/>
      <c r="RM247" s="80"/>
      <c r="RN247" s="80"/>
      <c r="RO247" s="80"/>
      <c r="RP247" s="80"/>
      <c r="RQ247" s="80"/>
      <c r="RR247" s="80"/>
      <c r="RS247" s="80"/>
      <c r="RT247" s="80"/>
      <c r="RU247" s="80"/>
      <c r="RV247" s="80"/>
      <c r="RW247" s="80"/>
      <c r="RX247" s="80"/>
      <c r="RY247" s="80"/>
      <c r="RZ247" s="80"/>
      <c r="SA247" s="80"/>
      <c r="SB247" s="80"/>
      <c r="SC247" s="80"/>
      <c r="SD247" s="80"/>
      <c r="SE247" s="80"/>
      <c r="SF247" s="80"/>
      <c r="SG247" s="80"/>
      <c r="SH247" s="80"/>
      <c r="SI247" s="80"/>
      <c r="SJ247" s="80"/>
      <c r="SK247" s="80"/>
      <c r="SL247" s="80"/>
      <c r="SM247" s="80"/>
      <c r="SN247" s="80"/>
      <c r="SO247" s="80"/>
      <c r="SP247" s="80"/>
      <c r="SQ247" s="80"/>
      <c r="SR247" s="80"/>
      <c r="SS247" s="80"/>
      <c r="ST247" s="80"/>
      <c r="SU247" s="80"/>
      <c r="SV247" s="80"/>
      <c r="SW247" s="80"/>
      <c r="SX247" s="80"/>
      <c r="SY247" s="80"/>
      <c r="SZ247" s="80"/>
      <c r="TA247" s="80"/>
      <c r="TB247" s="80"/>
      <c r="TC247" s="80"/>
      <c r="TD247" s="80"/>
      <c r="TE247" s="80"/>
      <c r="TF247" s="80"/>
      <c r="TG247" s="80"/>
      <c r="TH247" s="80"/>
      <c r="TI247" s="80"/>
      <c r="TJ247" s="80"/>
      <c r="TK247" s="80"/>
      <c r="TL247" s="80"/>
      <c r="TM247" s="80"/>
      <c r="TN247" s="80"/>
      <c r="TO247" s="80"/>
      <c r="TP247" s="80"/>
      <c r="TQ247" s="80"/>
      <c r="TR247" s="80"/>
      <c r="TS247" s="80"/>
      <c r="TT247" s="80"/>
      <c r="TU247" s="80"/>
      <c r="TV247" s="80"/>
      <c r="TW247" s="80"/>
      <c r="TX247" s="80"/>
      <c r="TY247" s="80"/>
      <c r="TZ247" s="80"/>
      <c r="UA247" s="80"/>
      <c r="UB247" s="80"/>
      <c r="UC247" s="80"/>
      <c r="UD247" s="80"/>
      <c r="UE247" s="80"/>
      <c r="UF247" s="80"/>
      <c r="UG247" s="80"/>
      <c r="UH247" s="80"/>
      <c r="UI247" s="80"/>
      <c r="UJ247" s="80"/>
      <c r="UK247" s="80"/>
      <c r="UL247" s="80"/>
      <c r="UM247" s="80"/>
      <c r="UN247" s="80"/>
      <c r="UO247" s="80"/>
      <c r="UP247" s="80"/>
      <c r="UQ247" s="80"/>
      <c r="UR247" s="80"/>
      <c r="US247" s="80"/>
      <c r="UT247" s="80"/>
      <c r="UU247" s="80"/>
      <c r="UV247" s="80"/>
      <c r="UW247" s="80"/>
      <c r="UX247" s="80"/>
      <c r="UY247" s="80"/>
      <c r="UZ247" s="80"/>
      <c r="VA247" s="80"/>
      <c r="VB247" s="80"/>
      <c r="VC247" s="80"/>
      <c r="VD247" s="80"/>
      <c r="VE247" s="80"/>
      <c r="VF247" s="80"/>
      <c r="VG247" s="80"/>
      <c r="VH247" s="80"/>
      <c r="VI247" s="80"/>
      <c r="VJ247" s="80"/>
      <c r="VK247" s="80"/>
      <c r="VL247" s="80"/>
    </row>
    <row r="248" spans="1:584" s="81" customFormat="1" ht="20.25" customHeight="1" x14ac:dyDescent="0.25">
      <c r="A248" s="62"/>
      <c r="B248" s="97"/>
      <c r="C248" s="97"/>
      <c r="D248" s="63" t="s">
        <v>342</v>
      </c>
      <c r="E248" s="116">
        <f>SUM(E267+E271)</f>
        <v>0</v>
      </c>
      <c r="F248" s="116">
        <f t="shared" ref="F248:Y248" si="78">SUM(F267+F271)</f>
        <v>0</v>
      </c>
      <c r="G248" s="116">
        <f t="shared" si="78"/>
        <v>0</v>
      </c>
      <c r="H248" s="116">
        <f>SUM(H267+H271)</f>
        <v>0</v>
      </c>
      <c r="I248" s="116">
        <f t="shared" ref="I248:J248" si="79">SUM(I267+I271)</f>
        <v>0</v>
      </c>
      <c r="J248" s="116">
        <f t="shared" si="79"/>
        <v>0</v>
      </c>
      <c r="K248" s="135"/>
      <c r="L248" s="116">
        <f t="shared" si="78"/>
        <v>60000</v>
      </c>
      <c r="M248" s="116">
        <f t="shared" si="78"/>
        <v>60000</v>
      </c>
      <c r="N248" s="116">
        <f t="shared" si="78"/>
        <v>0</v>
      </c>
      <c r="O248" s="116">
        <f t="shared" si="78"/>
        <v>0</v>
      </c>
      <c r="P248" s="116">
        <f t="shared" si="78"/>
        <v>0</v>
      </c>
      <c r="Q248" s="116">
        <f t="shared" si="78"/>
        <v>60000</v>
      </c>
      <c r="R248" s="116">
        <f t="shared" ref="R248:W248" si="80">SUM(R267+R271)</f>
        <v>60000</v>
      </c>
      <c r="S248" s="116">
        <f t="shared" si="80"/>
        <v>60000</v>
      </c>
      <c r="T248" s="116">
        <f t="shared" si="80"/>
        <v>0</v>
      </c>
      <c r="U248" s="116">
        <f t="shared" si="80"/>
        <v>0</v>
      </c>
      <c r="V248" s="116">
        <f t="shared" si="80"/>
        <v>0</v>
      </c>
      <c r="W248" s="116">
        <f t="shared" si="80"/>
        <v>60000</v>
      </c>
      <c r="X248" s="149">
        <f t="shared" si="60"/>
        <v>100</v>
      </c>
      <c r="Y248" s="116">
        <f t="shared" si="78"/>
        <v>60000</v>
      </c>
      <c r="Z248" s="187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  <c r="FH248" s="80"/>
      <c r="FI248" s="80"/>
      <c r="FJ248" s="80"/>
      <c r="FK248" s="80"/>
      <c r="FL248" s="80"/>
      <c r="FM248" s="80"/>
      <c r="FN248" s="80"/>
      <c r="FO248" s="80"/>
      <c r="FP248" s="80"/>
      <c r="FQ248" s="80"/>
      <c r="FR248" s="80"/>
      <c r="FS248" s="80"/>
      <c r="FT248" s="80"/>
      <c r="FU248" s="80"/>
      <c r="FV248" s="80"/>
      <c r="FW248" s="80"/>
      <c r="FX248" s="80"/>
      <c r="FY248" s="80"/>
      <c r="FZ248" s="80"/>
      <c r="GA248" s="80"/>
      <c r="GB248" s="80"/>
      <c r="GC248" s="80"/>
      <c r="GD248" s="80"/>
      <c r="GE248" s="80"/>
      <c r="GF248" s="80"/>
      <c r="GG248" s="80"/>
      <c r="GH248" s="80"/>
      <c r="GI248" s="80"/>
      <c r="GJ248" s="80"/>
      <c r="GK248" s="80"/>
      <c r="GL248" s="80"/>
      <c r="GM248" s="80"/>
      <c r="GN248" s="80"/>
      <c r="GO248" s="80"/>
      <c r="GP248" s="80"/>
      <c r="GQ248" s="80"/>
      <c r="GR248" s="80"/>
      <c r="GS248" s="80"/>
      <c r="GT248" s="80"/>
      <c r="GU248" s="80"/>
      <c r="GV248" s="80"/>
      <c r="GW248" s="80"/>
      <c r="GX248" s="80"/>
      <c r="GY248" s="80"/>
      <c r="GZ248" s="80"/>
      <c r="HA248" s="80"/>
      <c r="HB248" s="80"/>
      <c r="HC248" s="80"/>
      <c r="HD248" s="80"/>
      <c r="HE248" s="80"/>
      <c r="HF248" s="80"/>
      <c r="HG248" s="80"/>
      <c r="HH248" s="80"/>
      <c r="HI248" s="80"/>
      <c r="HJ248" s="80"/>
      <c r="HK248" s="80"/>
      <c r="HL248" s="80"/>
      <c r="HM248" s="80"/>
      <c r="HN248" s="80"/>
      <c r="HO248" s="80"/>
      <c r="HP248" s="80"/>
      <c r="HQ248" s="80"/>
      <c r="HR248" s="80"/>
      <c r="HS248" s="80"/>
      <c r="HT248" s="80"/>
      <c r="HU248" s="80"/>
      <c r="HV248" s="80"/>
      <c r="HW248" s="80"/>
      <c r="HX248" s="80"/>
      <c r="HY248" s="80"/>
      <c r="HZ248" s="80"/>
      <c r="IA248" s="80"/>
      <c r="IB248" s="80"/>
      <c r="IC248" s="80"/>
      <c r="ID248" s="80"/>
      <c r="IE248" s="80"/>
      <c r="IF248" s="80"/>
      <c r="IG248" s="80"/>
      <c r="IH248" s="80"/>
      <c r="II248" s="80"/>
      <c r="IJ248" s="80"/>
      <c r="IK248" s="80"/>
      <c r="IL248" s="80"/>
      <c r="IM248" s="80"/>
      <c r="IN248" s="80"/>
      <c r="IO248" s="80"/>
      <c r="IP248" s="80"/>
      <c r="IQ248" s="80"/>
      <c r="IR248" s="80"/>
      <c r="IS248" s="80"/>
      <c r="IT248" s="80"/>
      <c r="IU248" s="80"/>
      <c r="IV248" s="80"/>
      <c r="IW248" s="80"/>
      <c r="IX248" s="80"/>
      <c r="IY248" s="80"/>
      <c r="IZ248" s="80"/>
      <c r="JA248" s="80"/>
      <c r="JB248" s="80"/>
      <c r="JC248" s="80"/>
      <c r="JD248" s="80"/>
      <c r="JE248" s="80"/>
      <c r="JF248" s="80"/>
      <c r="JG248" s="80"/>
      <c r="JH248" s="80"/>
      <c r="JI248" s="80"/>
      <c r="JJ248" s="80"/>
      <c r="JK248" s="80"/>
      <c r="JL248" s="80"/>
      <c r="JM248" s="80"/>
      <c r="JN248" s="80"/>
      <c r="JO248" s="80"/>
      <c r="JP248" s="80"/>
      <c r="JQ248" s="80"/>
      <c r="JR248" s="80"/>
      <c r="JS248" s="80"/>
      <c r="JT248" s="80"/>
      <c r="JU248" s="80"/>
      <c r="JV248" s="80"/>
      <c r="JW248" s="80"/>
      <c r="JX248" s="80"/>
      <c r="JY248" s="80"/>
      <c r="JZ248" s="80"/>
      <c r="KA248" s="80"/>
      <c r="KB248" s="80"/>
      <c r="KC248" s="80"/>
      <c r="KD248" s="80"/>
      <c r="KE248" s="80"/>
      <c r="KF248" s="80"/>
      <c r="KG248" s="80"/>
      <c r="KH248" s="80"/>
      <c r="KI248" s="80"/>
      <c r="KJ248" s="80"/>
      <c r="KK248" s="80"/>
      <c r="KL248" s="80"/>
      <c r="KM248" s="80"/>
      <c r="KN248" s="80"/>
      <c r="KO248" s="80"/>
      <c r="KP248" s="80"/>
      <c r="KQ248" s="80"/>
      <c r="KR248" s="80"/>
      <c r="KS248" s="80"/>
      <c r="KT248" s="80"/>
      <c r="KU248" s="80"/>
      <c r="KV248" s="80"/>
      <c r="KW248" s="80"/>
      <c r="KX248" s="80"/>
      <c r="KY248" s="80"/>
      <c r="KZ248" s="80"/>
      <c r="LA248" s="80"/>
      <c r="LB248" s="80"/>
      <c r="LC248" s="80"/>
      <c r="LD248" s="80"/>
      <c r="LE248" s="80"/>
      <c r="LF248" s="80"/>
      <c r="LG248" s="80"/>
      <c r="LH248" s="80"/>
      <c r="LI248" s="80"/>
      <c r="LJ248" s="80"/>
      <c r="LK248" s="80"/>
      <c r="LL248" s="80"/>
      <c r="LM248" s="80"/>
      <c r="LN248" s="80"/>
      <c r="LO248" s="80"/>
      <c r="LP248" s="80"/>
      <c r="LQ248" s="80"/>
      <c r="LR248" s="80"/>
      <c r="LS248" s="80"/>
      <c r="LT248" s="80"/>
      <c r="LU248" s="80"/>
      <c r="LV248" s="80"/>
      <c r="LW248" s="80"/>
      <c r="LX248" s="80"/>
      <c r="LY248" s="80"/>
      <c r="LZ248" s="80"/>
      <c r="MA248" s="80"/>
      <c r="MB248" s="80"/>
      <c r="MC248" s="80"/>
      <c r="MD248" s="80"/>
      <c r="ME248" s="80"/>
      <c r="MF248" s="80"/>
      <c r="MG248" s="80"/>
      <c r="MH248" s="80"/>
      <c r="MI248" s="80"/>
      <c r="MJ248" s="80"/>
      <c r="MK248" s="80"/>
      <c r="ML248" s="80"/>
      <c r="MM248" s="80"/>
      <c r="MN248" s="80"/>
      <c r="MO248" s="80"/>
      <c r="MP248" s="80"/>
      <c r="MQ248" s="80"/>
      <c r="MR248" s="80"/>
      <c r="MS248" s="80"/>
      <c r="MT248" s="80"/>
      <c r="MU248" s="80"/>
      <c r="MV248" s="80"/>
      <c r="MW248" s="80"/>
      <c r="MX248" s="80"/>
      <c r="MY248" s="80"/>
      <c r="MZ248" s="80"/>
      <c r="NA248" s="80"/>
      <c r="NB248" s="80"/>
      <c r="NC248" s="80"/>
      <c r="ND248" s="80"/>
      <c r="NE248" s="80"/>
      <c r="NF248" s="80"/>
      <c r="NG248" s="80"/>
      <c r="NH248" s="80"/>
      <c r="NI248" s="80"/>
      <c r="NJ248" s="80"/>
      <c r="NK248" s="80"/>
      <c r="NL248" s="80"/>
      <c r="NM248" s="80"/>
      <c r="NN248" s="80"/>
      <c r="NO248" s="80"/>
      <c r="NP248" s="80"/>
      <c r="NQ248" s="80"/>
      <c r="NR248" s="80"/>
      <c r="NS248" s="80"/>
      <c r="NT248" s="80"/>
      <c r="NU248" s="80"/>
      <c r="NV248" s="80"/>
      <c r="NW248" s="80"/>
      <c r="NX248" s="80"/>
      <c r="NY248" s="80"/>
      <c r="NZ248" s="80"/>
      <c r="OA248" s="80"/>
      <c r="OB248" s="80"/>
      <c r="OC248" s="80"/>
      <c r="OD248" s="80"/>
      <c r="OE248" s="80"/>
      <c r="OF248" s="80"/>
      <c r="OG248" s="80"/>
      <c r="OH248" s="80"/>
      <c r="OI248" s="80"/>
      <c r="OJ248" s="80"/>
      <c r="OK248" s="80"/>
      <c r="OL248" s="80"/>
      <c r="OM248" s="80"/>
      <c r="ON248" s="80"/>
      <c r="OO248" s="80"/>
      <c r="OP248" s="80"/>
      <c r="OQ248" s="80"/>
      <c r="OR248" s="80"/>
      <c r="OS248" s="80"/>
      <c r="OT248" s="80"/>
      <c r="OU248" s="80"/>
      <c r="OV248" s="80"/>
      <c r="OW248" s="80"/>
      <c r="OX248" s="80"/>
      <c r="OY248" s="80"/>
      <c r="OZ248" s="80"/>
      <c r="PA248" s="80"/>
      <c r="PB248" s="80"/>
      <c r="PC248" s="80"/>
      <c r="PD248" s="80"/>
      <c r="PE248" s="80"/>
      <c r="PF248" s="80"/>
      <c r="PG248" s="80"/>
      <c r="PH248" s="80"/>
      <c r="PI248" s="80"/>
      <c r="PJ248" s="80"/>
      <c r="PK248" s="80"/>
      <c r="PL248" s="80"/>
      <c r="PM248" s="80"/>
      <c r="PN248" s="80"/>
      <c r="PO248" s="80"/>
      <c r="PP248" s="80"/>
      <c r="PQ248" s="80"/>
      <c r="PR248" s="80"/>
      <c r="PS248" s="80"/>
      <c r="PT248" s="80"/>
      <c r="PU248" s="80"/>
      <c r="PV248" s="80"/>
      <c r="PW248" s="80"/>
      <c r="PX248" s="80"/>
      <c r="PY248" s="80"/>
      <c r="PZ248" s="80"/>
      <c r="QA248" s="80"/>
      <c r="QB248" s="80"/>
      <c r="QC248" s="80"/>
      <c r="QD248" s="80"/>
      <c r="QE248" s="80"/>
      <c r="QF248" s="80"/>
      <c r="QG248" s="80"/>
      <c r="QH248" s="80"/>
      <c r="QI248" s="80"/>
      <c r="QJ248" s="80"/>
      <c r="QK248" s="80"/>
      <c r="QL248" s="80"/>
      <c r="QM248" s="80"/>
      <c r="QN248" s="80"/>
      <c r="QO248" s="80"/>
      <c r="QP248" s="80"/>
      <c r="QQ248" s="80"/>
      <c r="QR248" s="80"/>
      <c r="QS248" s="80"/>
      <c r="QT248" s="80"/>
      <c r="QU248" s="80"/>
      <c r="QV248" s="80"/>
      <c r="QW248" s="80"/>
      <c r="QX248" s="80"/>
      <c r="QY248" s="80"/>
      <c r="QZ248" s="80"/>
      <c r="RA248" s="80"/>
      <c r="RB248" s="80"/>
      <c r="RC248" s="80"/>
      <c r="RD248" s="80"/>
      <c r="RE248" s="80"/>
      <c r="RF248" s="80"/>
      <c r="RG248" s="80"/>
      <c r="RH248" s="80"/>
      <c r="RI248" s="80"/>
      <c r="RJ248" s="80"/>
      <c r="RK248" s="80"/>
      <c r="RL248" s="80"/>
      <c r="RM248" s="80"/>
      <c r="RN248" s="80"/>
      <c r="RO248" s="80"/>
      <c r="RP248" s="80"/>
      <c r="RQ248" s="80"/>
      <c r="RR248" s="80"/>
      <c r="RS248" s="80"/>
      <c r="RT248" s="80"/>
      <c r="RU248" s="80"/>
      <c r="RV248" s="80"/>
      <c r="RW248" s="80"/>
      <c r="RX248" s="80"/>
      <c r="RY248" s="80"/>
      <c r="RZ248" s="80"/>
      <c r="SA248" s="80"/>
      <c r="SB248" s="80"/>
      <c r="SC248" s="80"/>
      <c r="SD248" s="80"/>
      <c r="SE248" s="80"/>
      <c r="SF248" s="80"/>
      <c r="SG248" s="80"/>
      <c r="SH248" s="80"/>
      <c r="SI248" s="80"/>
      <c r="SJ248" s="80"/>
      <c r="SK248" s="80"/>
      <c r="SL248" s="80"/>
      <c r="SM248" s="80"/>
      <c r="SN248" s="80"/>
      <c r="SO248" s="80"/>
      <c r="SP248" s="80"/>
      <c r="SQ248" s="80"/>
      <c r="SR248" s="80"/>
      <c r="SS248" s="80"/>
      <c r="ST248" s="80"/>
      <c r="SU248" s="80"/>
      <c r="SV248" s="80"/>
      <c r="SW248" s="80"/>
      <c r="SX248" s="80"/>
      <c r="SY248" s="80"/>
      <c r="SZ248" s="80"/>
      <c r="TA248" s="80"/>
      <c r="TB248" s="80"/>
      <c r="TC248" s="80"/>
      <c r="TD248" s="80"/>
      <c r="TE248" s="80"/>
      <c r="TF248" s="80"/>
      <c r="TG248" s="80"/>
      <c r="TH248" s="80"/>
      <c r="TI248" s="80"/>
      <c r="TJ248" s="80"/>
      <c r="TK248" s="80"/>
      <c r="TL248" s="80"/>
      <c r="TM248" s="80"/>
      <c r="TN248" s="80"/>
      <c r="TO248" s="80"/>
      <c r="TP248" s="80"/>
      <c r="TQ248" s="80"/>
      <c r="TR248" s="80"/>
      <c r="TS248" s="80"/>
      <c r="TT248" s="80"/>
      <c r="TU248" s="80"/>
      <c r="TV248" s="80"/>
      <c r="TW248" s="80"/>
      <c r="TX248" s="80"/>
      <c r="TY248" s="80"/>
      <c r="TZ248" s="80"/>
      <c r="UA248" s="80"/>
      <c r="UB248" s="80"/>
      <c r="UC248" s="80"/>
      <c r="UD248" s="80"/>
      <c r="UE248" s="80"/>
      <c r="UF248" s="80"/>
      <c r="UG248" s="80"/>
      <c r="UH248" s="80"/>
      <c r="UI248" s="80"/>
      <c r="UJ248" s="80"/>
      <c r="UK248" s="80"/>
      <c r="UL248" s="80"/>
      <c r="UM248" s="80"/>
      <c r="UN248" s="80"/>
      <c r="UO248" s="80"/>
      <c r="UP248" s="80"/>
      <c r="UQ248" s="80"/>
      <c r="UR248" s="80"/>
      <c r="US248" s="80"/>
      <c r="UT248" s="80"/>
      <c r="UU248" s="80"/>
      <c r="UV248" s="80"/>
      <c r="UW248" s="80"/>
      <c r="UX248" s="80"/>
      <c r="UY248" s="80"/>
      <c r="UZ248" s="80"/>
      <c r="VA248" s="80"/>
      <c r="VB248" s="80"/>
      <c r="VC248" s="80"/>
      <c r="VD248" s="80"/>
      <c r="VE248" s="80"/>
      <c r="VF248" s="80"/>
      <c r="VG248" s="80"/>
      <c r="VH248" s="80"/>
      <c r="VI248" s="80"/>
      <c r="VJ248" s="80"/>
      <c r="VK248" s="80"/>
      <c r="VL248" s="80"/>
    </row>
    <row r="249" spans="1:584" s="47" customFormat="1" ht="44.25" customHeight="1" x14ac:dyDescent="0.25">
      <c r="A249" s="45" t="s">
        <v>187</v>
      </c>
      <c r="B249" s="91" t="str">
        <f>'дод 3'!A13</f>
        <v>0160</v>
      </c>
      <c r="C249" s="91" t="str">
        <f>'дод 3'!B13</f>
        <v>0111</v>
      </c>
      <c r="D249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49" s="115">
        <v>0</v>
      </c>
      <c r="F249" s="115"/>
      <c r="G249" s="115"/>
      <c r="H249" s="115"/>
      <c r="I249" s="115"/>
      <c r="J249" s="115"/>
      <c r="K249" s="135"/>
      <c r="L249" s="115">
        <f t="shared" si="71"/>
        <v>3000000</v>
      </c>
      <c r="M249" s="115"/>
      <c r="N249" s="115">
        <v>3000000</v>
      </c>
      <c r="O249" s="115">
        <v>2217000</v>
      </c>
      <c r="P249" s="115">
        <v>90900</v>
      </c>
      <c r="Q249" s="115"/>
      <c r="R249" s="115">
        <f t="shared" si="72"/>
        <v>5753946.3300000001</v>
      </c>
      <c r="S249" s="115"/>
      <c r="T249" s="115">
        <v>5753946.3300000001</v>
      </c>
      <c r="U249" s="115">
        <v>4584795.8899999997</v>
      </c>
      <c r="V249" s="115">
        <v>73359.59</v>
      </c>
      <c r="W249" s="115"/>
      <c r="X249" s="166">
        <f t="shared" si="60"/>
        <v>191.79821100000001</v>
      </c>
      <c r="Y249" s="115">
        <f t="shared" ref="Y249:Y274" si="81">H249+R249</f>
        <v>5753946.3300000001</v>
      </c>
      <c r="Z249" s="187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  <c r="GQ249" s="53"/>
      <c r="GR249" s="53"/>
      <c r="GS249" s="53"/>
      <c r="GT249" s="53"/>
      <c r="GU249" s="53"/>
      <c r="GV249" s="53"/>
      <c r="GW249" s="53"/>
      <c r="GX249" s="53"/>
      <c r="GY249" s="53"/>
      <c r="GZ249" s="53"/>
      <c r="HA249" s="53"/>
      <c r="HB249" s="53"/>
      <c r="HC249" s="53"/>
      <c r="HD249" s="53"/>
      <c r="HE249" s="53"/>
      <c r="HF249" s="53"/>
      <c r="HG249" s="53"/>
      <c r="HH249" s="53"/>
      <c r="HI249" s="53"/>
      <c r="HJ249" s="53"/>
      <c r="HK249" s="53"/>
      <c r="HL249" s="53"/>
      <c r="HM249" s="53"/>
      <c r="HN249" s="53"/>
      <c r="HO249" s="53"/>
      <c r="HP249" s="53"/>
      <c r="HQ249" s="53"/>
      <c r="HR249" s="53"/>
      <c r="HS249" s="53"/>
      <c r="HT249" s="53"/>
      <c r="HU249" s="53"/>
      <c r="HV249" s="53"/>
      <c r="HW249" s="53"/>
      <c r="HX249" s="53"/>
      <c r="HY249" s="53"/>
      <c r="HZ249" s="53"/>
      <c r="IA249" s="53"/>
      <c r="IB249" s="53"/>
      <c r="IC249" s="53"/>
      <c r="ID249" s="53"/>
      <c r="IE249" s="53"/>
      <c r="IF249" s="53"/>
      <c r="IG249" s="53"/>
      <c r="IH249" s="53"/>
      <c r="II249" s="53"/>
      <c r="IJ249" s="53"/>
      <c r="IK249" s="53"/>
      <c r="IL249" s="53"/>
      <c r="IM249" s="53"/>
      <c r="IN249" s="53"/>
      <c r="IO249" s="53"/>
      <c r="IP249" s="53"/>
      <c r="IQ249" s="53"/>
      <c r="IR249" s="53"/>
      <c r="IS249" s="53"/>
      <c r="IT249" s="53"/>
      <c r="IU249" s="53"/>
      <c r="IV249" s="53"/>
      <c r="IW249" s="53"/>
      <c r="IX249" s="53"/>
      <c r="IY249" s="53"/>
      <c r="IZ249" s="53"/>
      <c r="JA249" s="53"/>
      <c r="JB249" s="53"/>
      <c r="JC249" s="53"/>
      <c r="JD249" s="53"/>
      <c r="JE249" s="53"/>
      <c r="JF249" s="53"/>
      <c r="JG249" s="53"/>
      <c r="JH249" s="53"/>
      <c r="JI249" s="53"/>
      <c r="JJ249" s="53"/>
      <c r="JK249" s="53"/>
      <c r="JL249" s="53"/>
      <c r="JM249" s="53"/>
      <c r="JN249" s="53"/>
      <c r="JO249" s="53"/>
      <c r="JP249" s="53"/>
      <c r="JQ249" s="53"/>
      <c r="JR249" s="53"/>
      <c r="JS249" s="53"/>
      <c r="JT249" s="53"/>
      <c r="JU249" s="53"/>
      <c r="JV249" s="53"/>
      <c r="JW249" s="53"/>
      <c r="JX249" s="53"/>
      <c r="JY249" s="53"/>
      <c r="JZ249" s="53"/>
      <c r="KA249" s="53"/>
      <c r="KB249" s="53"/>
      <c r="KC249" s="53"/>
      <c r="KD249" s="53"/>
      <c r="KE249" s="53"/>
      <c r="KF249" s="53"/>
      <c r="KG249" s="53"/>
      <c r="KH249" s="53"/>
      <c r="KI249" s="53"/>
      <c r="KJ249" s="53"/>
      <c r="KK249" s="53"/>
      <c r="KL249" s="53"/>
      <c r="KM249" s="53"/>
      <c r="KN249" s="53"/>
      <c r="KO249" s="53"/>
      <c r="KP249" s="53"/>
      <c r="KQ249" s="53"/>
      <c r="KR249" s="53"/>
      <c r="KS249" s="53"/>
      <c r="KT249" s="53"/>
      <c r="KU249" s="53"/>
      <c r="KV249" s="53"/>
      <c r="KW249" s="53"/>
      <c r="KX249" s="53"/>
      <c r="KY249" s="53"/>
      <c r="KZ249" s="53"/>
      <c r="LA249" s="53"/>
      <c r="LB249" s="53"/>
      <c r="LC249" s="53"/>
      <c r="LD249" s="53"/>
      <c r="LE249" s="53"/>
      <c r="LF249" s="53"/>
      <c r="LG249" s="53"/>
      <c r="LH249" s="53"/>
      <c r="LI249" s="53"/>
      <c r="LJ249" s="53"/>
      <c r="LK249" s="53"/>
      <c r="LL249" s="53"/>
      <c r="LM249" s="53"/>
      <c r="LN249" s="53"/>
      <c r="LO249" s="53"/>
      <c r="LP249" s="53"/>
      <c r="LQ249" s="53"/>
      <c r="LR249" s="53"/>
      <c r="LS249" s="53"/>
      <c r="LT249" s="53"/>
      <c r="LU249" s="53"/>
      <c r="LV249" s="53"/>
      <c r="LW249" s="53"/>
      <c r="LX249" s="53"/>
      <c r="LY249" s="53"/>
      <c r="LZ249" s="53"/>
      <c r="MA249" s="53"/>
      <c r="MB249" s="53"/>
      <c r="MC249" s="53"/>
      <c r="MD249" s="53"/>
      <c r="ME249" s="53"/>
      <c r="MF249" s="53"/>
      <c r="MG249" s="53"/>
      <c r="MH249" s="53"/>
      <c r="MI249" s="53"/>
      <c r="MJ249" s="53"/>
      <c r="MK249" s="53"/>
      <c r="ML249" s="53"/>
      <c r="MM249" s="53"/>
      <c r="MN249" s="53"/>
      <c r="MO249" s="53"/>
      <c r="MP249" s="53"/>
      <c r="MQ249" s="53"/>
      <c r="MR249" s="53"/>
      <c r="MS249" s="53"/>
      <c r="MT249" s="53"/>
      <c r="MU249" s="53"/>
      <c r="MV249" s="53"/>
      <c r="MW249" s="53"/>
      <c r="MX249" s="53"/>
      <c r="MY249" s="53"/>
      <c r="MZ249" s="53"/>
      <c r="NA249" s="53"/>
      <c r="NB249" s="53"/>
      <c r="NC249" s="53"/>
      <c r="ND249" s="53"/>
      <c r="NE249" s="53"/>
      <c r="NF249" s="53"/>
      <c r="NG249" s="53"/>
      <c r="NH249" s="53"/>
      <c r="NI249" s="53"/>
      <c r="NJ249" s="53"/>
      <c r="NK249" s="53"/>
      <c r="NL249" s="53"/>
      <c r="NM249" s="53"/>
      <c r="NN249" s="53"/>
      <c r="NO249" s="53"/>
      <c r="NP249" s="53"/>
      <c r="NQ249" s="53"/>
      <c r="NR249" s="53"/>
      <c r="NS249" s="53"/>
      <c r="NT249" s="53"/>
      <c r="NU249" s="53"/>
      <c r="NV249" s="53"/>
      <c r="NW249" s="53"/>
      <c r="NX249" s="53"/>
      <c r="NY249" s="53"/>
      <c r="NZ249" s="53"/>
      <c r="OA249" s="53"/>
      <c r="OB249" s="53"/>
      <c r="OC249" s="53"/>
      <c r="OD249" s="53"/>
      <c r="OE249" s="53"/>
      <c r="OF249" s="53"/>
      <c r="OG249" s="53"/>
      <c r="OH249" s="53"/>
      <c r="OI249" s="53"/>
      <c r="OJ249" s="53"/>
      <c r="OK249" s="53"/>
      <c r="OL249" s="53"/>
      <c r="OM249" s="53"/>
      <c r="ON249" s="53"/>
      <c r="OO249" s="53"/>
      <c r="OP249" s="53"/>
      <c r="OQ249" s="53"/>
      <c r="OR249" s="53"/>
      <c r="OS249" s="53"/>
      <c r="OT249" s="53"/>
      <c r="OU249" s="53"/>
      <c r="OV249" s="53"/>
      <c r="OW249" s="53"/>
      <c r="OX249" s="53"/>
      <c r="OY249" s="53"/>
      <c r="OZ249" s="53"/>
      <c r="PA249" s="53"/>
      <c r="PB249" s="53"/>
      <c r="PC249" s="53"/>
      <c r="PD249" s="53"/>
      <c r="PE249" s="53"/>
      <c r="PF249" s="53"/>
      <c r="PG249" s="53"/>
      <c r="PH249" s="53"/>
      <c r="PI249" s="53"/>
      <c r="PJ249" s="53"/>
      <c r="PK249" s="53"/>
      <c r="PL249" s="53"/>
      <c r="PM249" s="53"/>
      <c r="PN249" s="53"/>
      <c r="PO249" s="53"/>
      <c r="PP249" s="53"/>
      <c r="PQ249" s="53"/>
      <c r="PR249" s="53"/>
      <c r="PS249" s="53"/>
      <c r="PT249" s="53"/>
      <c r="PU249" s="53"/>
      <c r="PV249" s="53"/>
      <c r="PW249" s="53"/>
      <c r="PX249" s="53"/>
      <c r="PY249" s="53"/>
      <c r="PZ249" s="53"/>
      <c r="QA249" s="53"/>
      <c r="QB249" s="53"/>
      <c r="QC249" s="53"/>
      <c r="QD249" s="53"/>
      <c r="QE249" s="53"/>
      <c r="QF249" s="53"/>
      <c r="QG249" s="53"/>
      <c r="QH249" s="53"/>
      <c r="QI249" s="53"/>
      <c r="QJ249" s="53"/>
      <c r="QK249" s="53"/>
      <c r="QL249" s="53"/>
      <c r="QM249" s="53"/>
      <c r="QN249" s="53"/>
      <c r="QO249" s="53"/>
      <c r="QP249" s="53"/>
      <c r="QQ249" s="53"/>
      <c r="QR249" s="53"/>
      <c r="QS249" s="53"/>
      <c r="QT249" s="53"/>
      <c r="QU249" s="53"/>
      <c r="QV249" s="53"/>
      <c r="QW249" s="53"/>
      <c r="QX249" s="53"/>
      <c r="QY249" s="53"/>
      <c r="QZ249" s="53"/>
      <c r="RA249" s="53"/>
      <c r="RB249" s="53"/>
      <c r="RC249" s="53"/>
      <c r="RD249" s="53"/>
      <c r="RE249" s="53"/>
      <c r="RF249" s="53"/>
      <c r="RG249" s="53"/>
      <c r="RH249" s="53"/>
      <c r="RI249" s="53"/>
      <c r="RJ249" s="53"/>
      <c r="RK249" s="53"/>
      <c r="RL249" s="53"/>
      <c r="RM249" s="53"/>
      <c r="RN249" s="53"/>
      <c r="RO249" s="53"/>
      <c r="RP249" s="53"/>
      <c r="RQ249" s="53"/>
      <c r="RR249" s="53"/>
      <c r="RS249" s="53"/>
      <c r="RT249" s="53"/>
      <c r="RU249" s="53"/>
      <c r="RV249" s="53"/>
      <c r="RW249" s="53"/>
      <c r="RX249" s="53"/>
      <c r="RY249" s="53"/>
      <c r="RZ249" s="53"/>
      <c r="SA249" s="53"/>
      <c r="SB249" s="53"/>
      <c r="SC249" s="53"/>
      <c r="SD249" s="53"/>
      <c r="SE249" s="53"/>
      <c r="SF249" s="53"/>
      <c r="SG249" s="53"/>
      <c r="SH249" s="53"/>
      <c r="SI249" s="53"/>
      <c r="SJ249" s="53"/>
      <c r="SK249" s="53"/>
      <c r="SL249" s="53"/>
      <c r="SM249" s="53"/>
      <c r="SN249" s="53"/>
      <c r="SO249" s="53"/>
      <c r="SP249" s="53"/>
      <c r="SQ249" s="53"/>
      <c r="SR249" s="53"/>
      <c r="SS249" s="53"/>
      <c r="ST249" s="53"/>
      <c r="SU249" s="53"/>
      <c r="SV249" s="53"/>
      <c r="SW249" s="53"/>
      <c r="SX249" s="53"/>
      <c r="SY249" s="53"/>
      <c r="SZ249" s="53"/>
      <c r="TA249" s="53"/>
      <c r="TB249" s="53"/>
      <c r="TC249" s="53"/>
      <c r="TD249" s="53"/>
      <c r="TE249" s="53"/>
      <c r="TF249" s="53"/>
      <c r="TG249" s="53"/>
      <c r="TH249" s="53"/>
      <c r="TI249" s="53"/>
      <c r="TJ249" s="53"/>
      <c r="TK249" s="53"/>
      <c r="TL249" s="53"/>
      <c r="TM249" s="53"/>
      <c r="TN249" s="53"/>
      <c r="TO249" s="53"/>
      <c r="TP249" s="53"/>
      <c r="TQ249" s="53"/>
      <c r="TR249" s="53"/>
      <c r="TS249" s="53"/>
      <c r="TT249" s="53"/>
      <c r="TU249" s="53"/>
      <c r="TV249" s="53"/>
      <c r="TW249" s="53"/>
      <c r="TX249" s="53"/>
      <c r="TY249" s="53"/>
      <c r="TZ249" s="53"/>
      <c r="UA249" s="53"/>
      <c r="UB249" s="53"/>
      <c r="UC249" s="53"/>
      <c r="UD249" s="53"/>
      <c r="UE249" s="53"/>
      <c r="UF249" s="53"/>
      <c r="UG249" s="53"/>
      <c r="UH249" s="53"/>
      <c r="UI249" s="53"/>
      <c r="UJ249" s="53"/>
      <c r="UK249" s="53"/>
      <c r="UL249" s="53"/>
      <c r="UM249" s="53"/>
      <c r="UN249" s="53"/>
      <c r="UO249" s="53"/>
      <c r="UP249" s="53"/>
      <c r="UQ249" s="53"/>
      <c r="UR249" s="53"/>
      <c r="US249" s="53"/>
      <c r="UT249" s="53"/>
      <c r="UU249" s="53"/>
      <c r="UV249" s="53"/>
      <c r="UW249" s="53"/>
      <c r="UX249" s="53"/>
      <c r="UY249" s="53"/>
      <c r="UZ249" s="53"/>
      <c r="VA249" s="53"/>
      <c r="VB249" s="53"/>
      <c r="VC249" s="53"/>
      <c r="VD249" s="53"/>
      <c r="VE249" s="53"/>
      <c r="VF249" s="53"/>
      <c r="VG249" s="53"/>
      <c r="VH249" s="53"/>
      <c r="VI249" s="53"/>
      <c r="VJ249" s="53"/>
      <c r="VK249" s="53"/>
      <c r="VL249" s="53"/>
    </row>
    <row r="250" spans="1:584" s="47" customFormat="1" ht="22.5" customHeight="1" x14ac:dyDescent="0.25">
      <c r="A250" s="45" t="s">
        <v>271</v>
      </c>
      <c r="B250" s="91" t="str">
        <f>'дод 3'!A150</f>
        <v>6030</v>
      </c>
      <c r="C250" s="91" t="str">
        <f>'дод 3'!B150</f>
        <v>0620</v>
      </c>
      <c r="D250" s="48" t="str">
        <f>'дод 3'!C150</f>
        <v>Організація благоустрою населених пунктів</v>
      </c>
      <c r="E250" s="115">
        <v>0</v>
      </c>
      <c r="F250" s="115"/>
      <c r="G250" s="115"/>
      <c r="H250" s="115"/>
      <c r="I250" s="115"/>
      <c r="J250" s="115"/>
      <c r="K250" s="135"/>
      <c r="L250" s="115">
        <f t="shared" si="71"/>
        <v>84635111</v>
      </c>
      <c r="M250" s="115">
        <f>80000000+40000+700000+1100000+635000+2160111+532923-532923</f>
        <v>84635111</v>
      </c>
      <c r="N250" s="115"/>
      <c r="O250" s="115"/>
      <c r="P250" s="115"/>
      <c r="Q250" s="115">
        <f>80000000+40000+700000+1100000+635000+2160111+532923-532923</f>
        <v>84635111</v>
      </c>
      <c r="R250" s="115">
        <f t="shared" si="72"/>
        <v>83971575</v>
      </c>
      <c r="S250" s="115">
        <v>83971575</v>
      </c>
      <c r="T250" s="115"/>
      <c r="U250" s="115"/>
      <c r="V250" s="115"/>
      <c r="W250" s="115">
        <v>83971575</v>
      </c>
      <c r="X250" s="166">
        <f t="shared" si="60"/>
        <v>99.216003863928293</v>
      </c>
      <c r="Y250" s="115">
        <f t="shared" si="81"/>
        <v>83971575</v>
      </c>
      <c r="Z250" s="187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  <c r="GQ250" s="53"/>
      <c r="GR250" s="53"/>
      <c r="GS250" s="53"/>
      <c r="GT250" s="53"/>
      <c r="GU250" s="53"/>
      <c r="GV250" s="53"/>
      <c r="GW250" s="53"/>
      <c r="GX250" s="53"/>
      <c r="GY250" s="53"/>
      <c r="GZ250" s="53"/>
      <c r="HA250" s="53"/>
      <c r="HB250" s="53"/>
      <c r="HC250" s="53"/>
      <c r="HD250" s="53"/>
      <c r="HE250" s="53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  <c r="HX250" s="53"/>
      <c r="HY250" s="53"/>
      <c r="HZ250" s="53"/>
      <c r="IA250" s="53"/>
      <c r="IB250" s="53"/>
      <c r="IC250" s="53"/>
      <c r="ID250" s="53"/>
      <c r="IE250" s="53"/>
      <c r="IF250" s="53"/>
      <c r="IG250" s="53"/>
      <c r="IH250" s="53"/>
      <c r="II250" s="53"/>
      <c r="IJ250" s="53"/>
      <c r="IK250" s="53"/>
      <c r="IL250" s="53"/>
      <c r="IM250" s="53"/>
      <c r="IN250" s="53"/>
      <c r="IO250" s="53"/>
      <c r="IP250" s="53"/>
      <c r="IQ250" s="53"/>
      <c r="IR250" s="53"/>
      <c r="IS250" s="53"/>
      <c r="IT250" s="53"/>
      <c r="IU250" s="53"/>
      <c r="IV250" s="53"/>
      <c r="IW250" s="53"/>
      <c r="IX250" s="53"/>
      <c r="IY250" s="53"/>
      <c r="IZ250" s="53"/>
      <c r="JA250" s="53"/>
      <c r="JB250" s="53"/>
      <c r="JC250" s="53"/>
      <c r="JD250" s="53"/>
      <c r="JE250" s="53"/>
      <c r="JF250" s="53"/>
      <c r="JG250" s="53"/>
      <c r="JH250" s="53"/>
      <c r="JI250" s="53"/>
      <c r="JJ250" s="53"/>
      <c r="JK250" s="53"/>
      <c r="JL250" s="53"/>
      <c r="JM250" s="53"/>
      <c r="JN250" s="53"/>
      <c r="JO250" s="53"/>
      <c r="JP250" s="53"/>
      <c r="JQ250" s="53"/>
      <c r="JR250" s="53"/>
      <c r="JS250" s="53"/>
      <c r="JT250" s="53"/>
      <c r="JU250" s="53"/>
      <c r="JV250" s="53"/>
      <c r="JW250" s="53"/>
      <c r="JX250" s="53"/>
      <c r="JY250" s="53"/>
      <c r="JZ250" s="53"/>
      <c r="KA250" s="53"/>
      <c r="KB250" s="53"/>
      <c r="KC250" s="53"/>
      <c r="KD250" s="53"/>
      <c r="KE250" s="53"/>
      <c r="KF250" s="53"/>
      <c r="KG250" s="53"/>
      <c r="KH250" s="53"/>
      <c r="KI250" s="53"/>
      <c r="KJ250" s="53"/>
      <c r="KK250" s="53"/>
      <c r="KL250" s="53"/>
      <c r="KM250" s="53"/>
      <c r="KN250" s="53"/>
      <c r="KO250" s="53"/>
      <c r="KP250" s="53"/>
      <c r="KQ250" s="53"/>
      <c r="KR250" s="53"/>
      <c r="KS250" s="53"/>
      <c r="KT250" s="53"/>
      <c r="KU250" s="53"/>
      <c r="KV250" s="53"/>
      <c r="KW250" s="53"/>
      <c r="KX250" s="53"/>
      <c r="KY250" s="53"/>
      <c r="KZ250" s="53"/>
      <c r="LA250" s="53"/>
      <c r="LB250" s="53"/>
      <c r="LC250" s="53"/>
      <c r="LD250" s="53"/>
      <c r="LE250" s="53"/>
      <c r="LF250" s="53"/>
      <c r="LG250" s="53"/>
      <c r="LH250" s="53"/>
      <c r="LI250" s="53"/>
      <c r="LJ250" s="53"/>
      <c r="LK250" s="53"/>
      <c r="LL250" s="53"/>
      <c r="LM250" s="53"/>
      <c r="LN250" s="53"/>
      <c r="LO250" s="53"/>
      <c r="LP250" s="53"/>
      <c r="LQ250" s="53"/>
      <c r="LR250" s="53"/>
      <c r="LS250" s="53"/>
      <c r="LT250" s="53"/>
      <c r="LU250" s="53"/>
      <c r="LV250" s="53"/>
      <c r="LW250" s="53"/>
      <c r="LX250" s="53"/>
      <c r="LY250" s="53"/>
      <c r="LZ250" s="53"/>
      <c r="MA250" s="53"/>
      <c r="MB250" s="53"/>
      <c r="MC250" s="53"/>
      <c r="MD250" s="53"/>
      <c r="ME250" s="53"/>
      <c r="MF250" s="53"/>
      <c r="MG250" s="53"/>
      <c r="MH250" s="53"/>
      <c r="MI250" s="53"/>
      <c r="MJ250" s="53"/>
      <c r="MK250" s="53"/>
      <c r="ML250" s="53"/>
      <c r="MM250" s="53"/>
      <c r="MN250" s="53"/>
      <c r="MO250" s="53"/>
      <c r="MP250" s="53"/>
      <c r="MQ250" s="53"/>
      <c r="MR250" s="53"/>
      <c r="MS250" s="53"/>
      <c r="MT250" s="53"/>
      <c r="MU250" s="53"/>
      <c r="MV250" s="53"/>
      <c r="MW250" s="53"/>
      <c r="MX250" s="53"/>
      <c r="MY250" s="53"/>
      <c r="MZ250" s="53"/>
      <c r="NA250" s="53"/>
      <c r="NB250" s="53"/>
      <c r="NC250" s="53"/>
      <c r="ND250" s="53"/>
      <c r="NE250" s="53"/>
      <c r="NF250" s="53"/>
      <c r="NG250" s="53"/>
      <c r="NH250" s="53"/>
      <c r="NI250" s="53"/>
      <c r="NJ250" s="53"/>
      <c r="NK250" s="53"/>
      <c r="NL250" s="53"/>
      <c r="NM250" s="53"/>
      <c r="NN250" s="53"/>
      <c r="NO250" s="53"/>
      <c r="NP250" s="53"/>
      <c r="NQ250" s="53"/>
      <c r="NR250" s="53"/>
      <c r="NS250" s="53"/>
      <c r="NT250" s="53"/>
      <c r="NU250" s="53"/>
      <c r="NV250" s="53"/>
      <c r="NW250" s="53"/>
      <c r="NX250" s="53"/>
      <c r="NY250" s="53"/>
      <c r="NZ250" s="53"/>
      <c r="OA250" s="53"/>
      <c r="OB250" s="53"/>
      <c r="OC250" s="53"/>
      <c r="OD250" s="53"/>
      <c r="OE250" s="53"/>
      <c r="OF250" s="53"/>
      <c r="OG250" s="53"/>
      <c r="OH250" s="53"/>
      <c r="OI250" s="53"/>
      <c r="OJ250" s="53"/>
      <c r="OK250" s="53"/>
      <c r="OL250" s="53"/>
      <c r="OM250" s="53"/>
      <c r="ON250" s="53"/>
      <c r="OO250" s="53"/>
      <c r="OP250" s="53"/>
      <c r="OQ250" s="53"/>
      <c r="OR250" s="53"/>
      <c r="OS250" s="53"/>
      <c r="OT250" s="53"/>
      <c r="OU250" s="53"/>
      <c r="OV250" s="53"/>
      <c r="OW250" s="53"/>
      <c r="OX250" s="53"/>
      <c r="OY250" s="53"/>
      <c r="OZ250" s="53"/>
      <c r="PA250" s="53"/>
      <c r="PB250" s="53"/>
      <c r="PC250" s="53"/>
      <c r="PD250" s="53"/>
      <c r="PE250" s="53"/>
      <c r="PF250" s="53"/>
      <c r="PG250" s="53"/>
      <c r="PH250" s="53"/>
      <c r="PI250" s="53"/>
      <c r="PJ250" s="53"/>
      <c r="PK250" s="53"/>
      <c r="PL250" s="53"/>
      <c r="PM250" s="53"/>
      <c r="PN250" s="53"/>
      <c r="PO250" s="53"/>
      <c r="PP250" s="53"/>
      <c r="PQ250" s="53"/>
      <c r="PR250" s="53"/>
      <c r="PS250" s="53"/>
      <c r="PT250" s="53"/>
      <c r="PU250" s="53"/>
      <c r="PV250" s="53"/>
      <c r="PW250" s="53"/>
      <c r="PX250" s="53"/>
      <c r="PY250" s="53"/>
      <c r="PZ250" s="53"/>
      <c r="QA250" s="53"/>
      <c r="QB250" s="53"/>
      <c r="QC250" s="53"/>
      <c r="QD250" s="53"/>
      <c r="QE250" s="53"/>
      <c r="QF250" s="53"/>
      <c r="QG250" s="53"/>
      <c r="QH250" s="53"/>
      <c r="QI250" s="53"/>
      <c r="QJ250" s="53"/>
      <c r="QK250" s="53"/>
      <c r="QL250" s="53"/>
      <c r="QM250" s="53"/>
      <c r="QN250" s="53"/>
      <c r="QO250" s="53"/>
      <c r="QP250" s="53"/>
      <c r="QQ250" s="53"/>
      <c r="QR250" s="53"/>
      <c r="QS250" s="53"/>
      <c r="QT250" s="53"/>
      <c r="QU250" s="53"/>
      <c r="QV250" s="53"/>
      <c r="QW250" s="53"/>
      <c r="QX250" s="53"/>
      <c r="QY250" s="53"/>
      <c r="QZ250" s="53"/>
      <c r="RA250" s="53"/>
      <c r="RB250" s="53"/>
      <c r="RC250" s="53"/>
      <c r="RD250" s="53"/>
      <c r="RE250" s="53"/>
      <c r="RF250" s="53"/>
      <c r="RG250" s="53"/>
      <c r="RH250" s="53"/>
      <c r="RI250" s="53"/>
      <c r="RJ250" s="53"/>
      <c r="RK250" s="53"/>
      <c r="RL250" s="53"/>
      <c r="RM250" s="53"/>
      <c r="RN250" s="53"/>
      <c r="RO250" s="53"/>
      <c r="RP250" s="53"/>
      <c r="RQ250" s="53"/>
      <c r="RR250" s="53"/>
      <c r="RS250" s="53"/>
      <c r="RT250" s="53"/>
      <c r="RU250" s="53"/>
      <c r="RV250" s="53"/>
      <c r="RW250" s="53"/>
      <c r="RX250" s="53"/>
      <c r="RY250" s="53"/>
      <c r="RZ250" s="53"/>
      <c r="SA250" s="53"/>
      <c r="SB250" s="53"/>
      <c r="SC250" s="53"/>
      <c r="SD250" s="53"/>
      <c r="SE250" s="53"/>
      <c r="SF250" s="53"/>
      <c r="SG250" s="53"/>
      <c r="SH250" s="53"/>
      <c r="SI250" s="53"/>
      <c r="SJ250" s="53"/>
      <c r="SK250" s="53"/>
      <c r="SL250" s="53"/>
      <c r="SM250" s="53"/>
      <c r="SN250" s="53"/>
      <c r="SO250" s="53"/>
      <c r="SP250" s="53"/>
      <c r="SQ250" s="53"/>
      <c r="SR250" s="53"/>
      <c r="SS250" s="53"/>
      <c r="ST250" s="53"/>
      <c r="SU250" s="53"/>
      <c r="SV250" s="53"/>
      <c r="SW250" s="53"/>
      <c r="SX250" s="53"/>
      <c r="SY250" s="53"/>
      <c r="SZ250" s="53"/>
      <c r="TA250" s="53"/>
      <c r="TB250" s="53"/>
      <c r="TC250" s="53"/>
      <c r="TD250" s="53"/>
      <c r="TE250" s="53"/>
      <c r="TF250" s="53"/>
      <c r="TG250" s="53"/>
      <c r="TH250" s="53"/>
      <c r="TI250" s="53"/>
      <c r="TJ250" s="53"/>
      <c r="TK250" s="53"/>
      <c r="TL250" s="53"/>
      <c r="TM250" s="53"/>
      <c r="TN250" s="53"/>
      <c r="TO250" s="53"/>
      <c r="TP250" s="53"/>
      <c r="TQ250" s="53"/>
      <c r="TR250" s="53"/>
      <c r="TS250" s="53"/>
      <c r="TT250" s="53"/>
      <c r="TU250" s="53"/>
      <c r="TV250" s="53"/>
      <c r="TW250" s="53"/>
      <c r="TX250" s="53"/>
      <c r="TY250" s="53"/>
      <c r="TZ250" s="53"/>
      <c r="UA250" s="53"/>
      <c r="UB250" s="53"/>
      <c r="UC250" s="53"/>
      <c r="UD250" s="53"/>
      <c r="UE250" s="53"/>
      <c r="UF250" s="53"/>
      <c r="UG250" s="53"/>
      <c r="UH250" s="53"/>
      <c r="UI250" s="53"/>
      <c r="UJ250" s="53"/>
      <c r="UK250" s="53"/>
      <c r="UL250" s="53"/>
      <c r="UM250" s="53"/>
      <c r="UN250" s="53"/>
      <c r="UO250" s="53"/>
      <c r="UP250" s="53"/>
      <c r="UQ250" s="53"/>
      <c r="UR250" s="53"/>
      <c r="US250" s="53"/>
      <c r="UT250" s="53"/>
      <c r="UU250" s="53"/>
      <c r="UV250" s="53"/>
      <c r="UW250" s="53"/>
      <c r="UX250" s="53"/>
      <c r="UY250" s="53"/>
      <c r="UZ250" s="53"/>
      <c r="VA250" s="53"/>
      <c r="VB250" s="53"/>
      <c r="VC250" s="53"/>
      <c r="VD250" s="53"/>
      <c r="VE250" s="53"/>
      <c r="VF250" s="53"/>
      <c r="VG250" s="53"/>
      <c r="VH250" s="53"/>
      <c r="VI250" s="53"/>
      <c r="VJ250" s="53"/>
      <c r="VK250" s="53"/>
      <c r="VL250" s="53"/>
    </row>
    <row r="251" spans="1:584" s="47" customFormat="1" ht="33" hidden="1" customHeight="1" x14ac:dyDescent="0.25">
      <c r="A251" s="45" t="s">
        <v>516</v>
      </c>
      <c r="B251" s="91" t="str">
        <f>'дод 3'!A153</f>
        <v>6082</v>
      </c>
      <c r="C251" s="91" t="str">
        <f>'дод 3'!B153</f>
        <v>0610</v>
      </c>
      <c r="D251" s="48" t="str">
        <f>'дод 3'!C153</f>
        <v>Придбання житла для окремих категорій населення відповідно до законодавства</v>
      </c>
      <c r="E251" s="115">
        <v>0</v>
      </c>
      <c r="F251" s="115"/>
      <c r="G251" s="115"/>
      <c r="H251" s="115"/>
      <c r="I251" s="115"/>
      <c r="J251" s="115"/>
      <c r="K251" s="135" t="e">
        <f t="shared" si="59"/>
        <v>#DIV/0!</v>
      </c>
      <c r="L251" s="115">
        <f t="shared" si="71"/>
        <v>0</v>
      </c>
      <c r="M251" s="115"/>
      <c r="N251" s="115"/>
      <c r="O251" s="115"/>
      <c r="P251" s="115"/>
      <c r="Q251" s="115"/>
      <c r="R251" s="115">
        <f t="shared" si="72"/>
        <v>0</v>
      </c>
      <c r="S251" s="115"/>
      <c r="T251" s="115"/>
      <c r="U251" s="115"/>
      <c r="V251" s="115"/>
      <c r="W251" s="115"/>
      <c r="X251" s="166" t="e">
        <f t="shared" si="60"/>
        <v>#DIV/0!</v>
      </c>
      <c r="Y251" s="115">
        <f t="shared" si="81"/>
        <v>0</v>
      </c>
      <c r="Z251" s="187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  <c r="GN251" s="53"/>
      <c r="GO251" s="53"/>
      <c r="GP251" s="53"/>
      <c r="GQ251" s="53"/>
      <c r="GR251" s="53"/>
      <c r="GS251" s="53"/>
      <c r="GT251" s="53"/>
      <c r="GU251" s="53"/>
      <c r="GV251" s="53"/>
      <c r="GW251" s="53"/>
      <c r="GX251" s="53"/>
      <c r="GY251" s="53"/>
      <c r="GZ251" s="53"/>
      <c r="HA251" s="53"/>
      <c r="HB251" s="53"/>
      <c r="HC251" s="53"/>
      <c r="HD251" s="53"/>
      <c r="HE251" s="53"/>
      <c r="HF251" s="53"/>
      <c r="HG251" s="53"/>
      <c r="HH251" s="53"/>
      <c r="HI251" s="53"/>
      <c r="HJ251" s="53"/>
      <c r="HK251" s="53"/>
      <c r="HL251" s="53"/>
      <c r="HM251" s="53"/>
      <c r="HN251" s="53"/>
      <c r="HO251" s="53"/>
      <c r="HP251" s="53"/>
      <c r="HQ251" s="53"/>
      <c r="HR251" s="53"/>
      <c r="HS251" s="53"/>
      <c r="HT251" s="53"/>
      <c r="HU251" s="53"/>
      <c r="HV251" s="53"/>
      <c r="HW251" s="53"/>
      <c r="HX251" s="53"/>
      <c r="HY251" s="53"/>
      <c r="HZ251" s="53"/>
      <c r="IA251" s="53"/>
      <c r="IB251" s="53"/>
      <c r="IC251" s="53"/>
      <c r="ID251" s="53"/>
      <c r="IE251" s="53"/>
      <c r="IF251" s="53"/>
      <c r="IG251" s="53"/>
      <c r="IH251" s="53"/>
      <c r="II251" s="53"/>
      <c r="IJ251" s="53"/>
      <c r="IK251" s="53"/>
      <c r="IL251" s="53"/>
      <c r="IM251" s="53"/>
      <c r="IN251" s="53"/>
      <c r="IO251" s="53"/>
      <c r="IP251" s="53"/>
      <c r="IQ251" s="53"/>
      <c r="IR251" s="53"/>
      <c r="IS251" s="53"/>
      <c r="IT251" s="53"/>
      <c r="IU251" s="53"/>
      <c r="IV251" s="53"/>
      <c r="IW251" s="53"/>
      <c r="IX251" s="53"/>
      <c r="IY251" s="53"/>
      <c r="IZ251" s="53"/>
      <c r="JA251" s="53"/>
      <c r="JB251" s="53"/>
      <c r="JC251" s="53"/>
      <c r="JD251" s="53"/>
      <c r="JE251" s="53"/>
      <c r="JF251" s="53"/>
      <c r="JG251" s="53"/>
      <c r="JH251" s="53"/>
      <c r="JI251" s="53"/>
      <c r="JJ251" s="53"/>
      <c r="JK251" s="53"/>
      <c r="JL251" s="53"/>
      <c r="JM251" s="53"/>
      <c r="JN251" s="53"/>
      <c r="JO251" s="53"/>
      <c r="JP251" s="53"/>
      <c r="JQ251" s="53"/>
      <c r="JR251" s="53"/>
      <c r="JS251" s="53"/>
      <c r="JT251" s="53"/>
      <c r="JU251" s="53"/>
      <c r="JV251" s="53"/>
      <c r="JW251" s="53"/>
      <c r="JX251" s="53"/>
      <c r="JY251" s="53"/>
      <c r="JZ251" s="53"/>
      <c r="KA251" s="53"/>
      <c r="KB251" s="53"/>
      <c r="KC251" s="53"/>
      <c r="KD251" s="53"/>
      <c r="KE251" s="53"/>
      <c r="KF251" s="53"/>
      <c r="KG251" s="53"/>
      <c r="KH251" s="53"/>
      <c r="KI251" s="53"/>
      <c r="KJ251" s="53"/>
      <c r="KK251" s="53"/>
      <c r="KL251" s="53"/>
      <c r="KM251" s="53"/>
      <c r="KN251" s="53"/>
      <c r="KO251" s="53"/>
      <c r="KP251" s="53"/>
      <c r="KQ251" s="53"/>
      <c r="KR251" s="53"/>
      <c r="KS251" s="53"/>
      <c r="KT251" s="53"/>
      <c r="KU251" s="53"/>
      <c r="KV251" s="53"/>
      <c r="KW251" s="53"/>
      <c r="KX251" s="53"/>
      <c r="KY251" s="53"/>
      <c r="KZ251" s="53"/>
      <c r="LA251" s="53"/>
      <c r="LB251" s="53"/>
      <c r="LC251" s="53"/>
      <c r="LD251" s="53"/>
      <c r="LE251" s="53"/>
      <c r="LF251" s="53"/>
      <c r="LG251" s="53"/>
      <c r="LH251" s="53"/>
      <c r="LI251" s="53"/>
      <c r="LJ251" s="53"/>
      <c r="LK251" s="53"/>
      <c r="LL251" s="53"/>
      <c r="LM251" s="53"/>
      <c r="LN251" s="53"/>
      <c r="LO251" s="53"/>
      <c r="LP251" s="53"/>
      <c r="LQ251" s="53"/>
      <c r="LR251" s="53"/>
      <c r="LS251" s="53"/>
      <c r="LT251" s="53"/>
      <c r="LU251" s="53"/>
      <c r="LV251" s="53"/>
      <c r="LW251" s="53"/>
      <c r="LX251" s="53"/>
      <c r="LY251" s="53"/>
      <c r="LZ251" s="53"/>
      <c r="MA251" s="53"/>
      <c r="MB251" s="53"/>
      <c r="MC251" s="53"/>
      <c r="MD251" s="53"/>
      <c r="ME251" s="53"/>
      <c r="MF251" s="53"/>
      <c r="MG251" s="53"/>
      <c r="MH251" s="53"/>
      <c r="MI251" s="53"/>
      <c r="MJ251" s="53"/>
      <c r="MK251" s="53"/>
      <c r="ML251" s="53"/>
      <c r="MM251" s="53"/>
      <c r="MN251" s="53"/>
      <c r="MO251" s="53"/>
      <c r="MP251" s="53"/>
      <c r="MQ251" s="53"/>
      <c r="MR251" s="53"/>
      <c r="MS251" s="53"/>
      <c r="MT251" s="53"/>
      <c r="MU251" s="53"/>
      <c r="MV251" s="53"/>
      <c r="MW251" s="53"/>
      <c r="MX251" s="53"/>
      <c r="MY251" s="53"/>
      <c r="MZ251" s="53"/>
      <c r="NA251" s="53"/>
      <c r="NB251" s="53"/>
      <c r="NC251" s="53"/>
      <c r="ND251" s="53"/>
      <c r="NE251" s="53"/>
      <c r="NF251" s="53"/>
      <c r="NG251" s="53"/>
      <c r="NH251" s="53"/>
      <c r="NI251" s="53"/>
      <c r="NJ251" s="53"/>
      <c r="NK251" s="53"/>
      <c r="NL251" s="53"/>
      <c r="NM251" s="53"/>
      <c r="NN251" s="53"/>
      <c r="NO251" s="53"/>
      <c r="NP251" s="53"/>
      <c r="NQ251" s="53"/>
      <c r="NR251" s="53"/>
      <c r="NS251" s="53"/>
      <c r="NT251" s="53"/>
      <c r="NU251" s="53"/>
      <c r="NV251" s="53"/>
      <c r="NW251" s="53"/>
      <c r="NX251" s="53"/>
      <c r="NY251" s="53"/>
      <c r="NZ251" s="53"/>
      <c r="OA251" s="53"/>
      <c r="OB251" s="53"/>
      <c r="OC251" s="53"/>
      <c r="OD251" s="53"/>
      <c r="OE251" s="53"/>
      <c r="OF251" s="53"/>
      <c r="OG251" s="53"/>
      <c r="OH251" s="53"/>
      <c r="OI251" s="53"/>
      <c r="OJ251" s="53"/>
      <c r="OK251" s="53"/>
      <c r="OL251" s="53"/>
      <c r="OM251" s="53"/>
      <c r="ON251" s="53"/>
      <c r="OO251" s="53"/>
      <c r="OP251" s="53"/>
      <c r="OQ251" s="53"/>
      <c r="OR251" s="53"/>
      <c r="OS251" s="53"/>
      <c r="OT251" s="53"/>
      <c r="OU251" s="53"/>
      <c r="OV251" s="53"/>
      <c r="OW251" s="53"/>
      <c r="OX251" s="53"/>
      <c r="OY251" s="53"/>
      <c r="OZ251" s="53"/>
      <c r="PA251" s="53"/>
      <c r="PB251" s="53"/>
      <c r="PC251" s="53"/>
      <c r="PD251" s="53"/>
      <c r="PE251" s="53"/>
      <c r="PF251" s="53"/>
      <c r="PG251" s="53"/>
      <c r="PH251" s="53"/>
      <c r="PI251" s="53"/>
      <c r="PJ251" s="53"/>
      <c r="PK251" s="53"/>
      <c r="PL251" s="53"/>
      <c r="PM251" s="53"/>
      <c r="PN251" s="53"/>
      <c r="PO251" s="53"/>
      <c r="PP251" s="53"/>
      <c r="PQ251" s="53"/>
      <c r="PR251" s="53"/>
      <c r="PS251" s="53"/>
      <c r="PT251" s="53"/>
      <c r="PU251" s="53"/>
      <c r="PV251" s="53"/>
      <c r="PW251" s="53"/>
      <c r="PX251" s="53"/>
      <c r="PY251" s="53"/>
      <c r="PZ251" s="53"/>
      <c r="QA251" s="53"/>
      <c r="QB251" s="53"/>
      <c r="QC251" s="53"/>
      <c r="QD251" s="53"/>
      <c r="QE251" s="53"/>
      <c r="QF251" s="53"/>
      <c r="QG251" s="53"/>
      <c r="QH251" s="53"/>
      <c r="QI251" s="53"/>
      <c r="QJ251" s="53"/>
      <c r="QK251" s="53"/>
      <c r="QL251" s="53"/>
      <c r="QM251" s="53"/>
      <c r="QN251" s="53"/>
      <c r="QO251" s="53"/>
      <c r="QP251" s="53"/>
      <c r="QQ251" s="53"/>
      <c r="QR251" s="53"/>
      <c r="QS251" s="53"/>
      <c r="QT251" s="53"/>
      <c r="QU251" s="53"/>
      <c r="QV251" s="53"/>
      <c r="QW251" s="53"/>
      <c r="QX251" s="53"/>
      <c r="QY251" s="53"/>
      <c r="QZ251" s="53"/>
      <c r="RA251" s="53"/>
      <c r="RB251" s="53"/>
      <c r="RC251" s="53"/>
      <c r="RD251" s="53"/>
      <c r="RE251" s="53"/>
      <c r="RF251" s="53"/>
      <c r="RG251" s="53"/>
      <c r="RH251" s="53"/>
      <c r="RI251" s="53"/>
      <c r="RJ251" s="53"/>
      <c r="RK251" s="53"/>
      <c r="RL251" s="53"/>
      <c r="RM251" s="53"/>
      <c r="RN251" s="53"/>
      <c r="RO251" s="53"/>
      <c r="RP251" s="53"/>
      <c r="RQ251" s="53"/>
      <c r="RR251" s="53"/>
      <c r="RS251" s="53"/>
      <c r="RT251" s="53"/>
      <c r="RU251" s="53"/>
      <c r="RV251" s="53"/>
      <c r="RW251" s="53"/>
      <c r="RX251" s="53"/>
      <c r="RY251" s="53"/>
      <c r="RZ251" s="53"/>
      <c r="SA251" s="53"/>
      <c r="SB251" s="53"/>
      <c r="SC251" s="53"/>
      <c r="SD251" s="53"/>
      <c r="SE251" s="53"/>
      <c r="SF251" s="53"/>
      <c r="SG251" s="53"/>
      <c r="SH251" s="53"/>
      <c r="SI251" s="53"/>
      <c r="SJ251" s="53"/>
      <c r="SK251" s="53"/>
      <c r="SL251" s="53"/>
      <c r="SM251" s="53"/>
      <c r="SN251" s="53"/>
      <c r="SO251" s="53"/>
      <c r="SP251" s="53"/>
      <c r="SQ251" s="53"/>
      <c r="SR251" s="53"/>
      <c r="SS251" s="53"/>
      <c r="ST251" s="53"/>
      <c r="SU251" s="53"/>
      <c r="SV251" s="53"/>
      <c r="SW251" s="53"/>
      <c r="SX251" s="53"/>
      <c r="SY251" s="53"/>
      <c r="SZ251" s="53"/>
      <c r="TA251" s="53"/>
      <c r="TB251" s="53"/>
      <c r="TC251" s="53"/>
      <c r="TD251" s="53"/>
      <c r="TE251" s="53"/>
      <c r="TF251" s="53"/>
      <c r="TG251" s="53"/>
      <c r="TH251" s="53"/>
      <c r="TI251" s="53"/>
      <c r="TJ251" s="53"/>
      <c r="TK251" s="53"/>
      <c r="TL251" s="53"/>
      <c r="TM251" s="53"/>
      <c r="TN251" s="53"/>
      <c r="TO251" s="53"/>
      <c r="TP251" s="53"/>
      <c r="TQ251" s="53"/>
      <c r="TR251" s="53"/>
      <c r="TS251" s="53"/>
      <c r="TT251" s="53"/>
      <c r="TU251" s="53"/>
      <c r="TV251" s="53"/>
      <c r="TW251" s="53"/>
      <c r="TX251" s="53"/>
      <c r="TY251" s="53"/>
      <c r="TZ251" s="53"/>
      <c r="UA251" s="53"/>
      <c r="UB251" s="53"/>
      <c r="UC251" s="53"/>
      <c r="UD251" s="53"/>
      <c r="UE251" s="53"/>
      <c r="UF251" s="53"/>
      <c r="UG251" s="53"/>
      <c r="UH251" s="53"/>
      <c r="UI251" s="53"/>
      <c r="UJ251" s="53"/>
      <c r="UK251" s="53"/>
      <c r="UL251" s="53"/>
      <c r="UM251" s="53"/>
      <c r="UN251" s="53"/>
      <c r="UO251" s="53"/>
      <c r="UP251" s="53"/>
      <c r="UQ251" s="53"/>
      <c r="UR251" s="53"/>
      <c r="US251" s="53"/>
      <c r="UT251" s="53"/>
      <c r="UU251" s="53"/>
      <c r="UV251" s="53"/>
      <c r="UW251" s="53"/>
      <c r="UX251" s="53"/>
      <c r="UY251" s="53"/>
      <c r="UZ251" s="53"/>
      <c r="VA251" s="53"/>
      <c r="VB251" s="53"/>
      <c r="VC251" s="53"/>
      <c r="VD251" s="53"/>
      <c r="VE251" s="53"/>
      <c r="VF251" s="53"/>
      <c r="VG251" s="53"/>
      <c r="VH251" s="53"/>
      <c r="VI251" s="53"/>
      <c r="VJ251" s="53"/>
      <c r="VK251" s="53"/>
      <c r="VL251" s="53"/>
    </row>
    <row r="252" spans="1:584" s="47" customFormat="1" ht="60" x14ac:dyDescent="0.25">
      <c r="A252" s="45" t="s">
        <v>549</v>
      </c>
      <c r="B252" s="91" t="s">
        <v>547</v>
      </c>
      <c r="C252" s="91" t="s">
        <v>97</v>
      </c>
      <c r="D252" s="48" t="s">
        <v>546</v>
      </c>
      <c r="E252" s="115">
        <v>0</v>
      </c>
      <c r="F252" s="115"/>
      <c r="G252" s="115"/>
      <c r="H252" s="115"/>
      <c r="I252" s="115"/>
      <c r="J252" s="115"/>
      <c r="K252" s="135"/>
      <c r="L252" s="115">
        <f t="shared" si="71"/>
        <v>291150</v>
      </c>
      <c r="M252" s="115">
        <f>300000-818-8032</f>
        <v>291150</v>
      </c>
      <c r="N252" s="115"/>
      <c r="O252" s="115"/>
      <c r="P252" s="115"/>
      <c r="Q252" s="115">
        <f>300000-818-8032</f>
        <v>291150</v>
      </c>
      <c r="R252" s="115">
        <f t="shared" si="72"/>
        <v>291150</v>
      </c>
      <c r="S252" s="115">
        <v>291150</v>
      </c>
      <c r="T252" s="115"/>
      <c r="U252" s="115"/>
      <c r="V252" s="115"/>
      <c r="W252" s="115">
        <v>291150</v>
      </c>
      <c r="X252" s="166">
        <f t="shared" si="60"/>
        <v>100</v>
      </c>
      <c r="Y252" s="115">
        <f t="shared" si="81"/>
        <v>291150</v>
      </c>
      <c r="Z252" s="187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  <c r="GN252" s="53"/>
      <c r="GO252" s="53"/>
      <c r="GP252" s="53"/>
      <c r="GQ252" s="53"/>
      <c r="GR252" s="53"/>
      <c r="GS252" s="53"/>
      <c r="GT252" s="53"/>
      <c r="GU252" s="53"/>
      <c r="GV252" s="53"/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3"/>
      <c r="HO252" s="53"/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3"/>
      <c r="IH252" s="53"/>
      <c r="II252" s="53"/>
      <c r="IJ252" s="53"/>
      <c r="IK252" s="53"/>
      <c r="IL252" s="53"/>
      <c r="IM252" s="53"/>
      <c r="IN252" s="53"/>
      <c r="IO252" s="53"/>
      <c r="IP252" s="53"/>
      <c r="IQ252" s="53"/>
      <c r="IR252" s="53"/>
      <c r="IS252" s="53"/>
      <c r="IT252" s="53"/>
      <c r="IU252" s="53"/>
      <c r="IV252" s="53"/>
      <c r="IW252" s="53"/>
      <c r="IX252" s="53"/>
      <c r="IY252" s="53"/>
      <c r="IZ252" s="53"/>
      <c r="JA252" s="53"/>
      <c r="JB252" s="53"/>
      <c r="JC252" s="53"/>
      <c r="JD252" s="53"/>
      <c r="JE252" s="53"/>
      <c r="JF252" s="53"/>
      <c r="JG252" s="53"/>
      <c r="JH252" s="53"/>
      <c r="JI252" s="53"/>
      <c r="JJ252" s="53"/>
      <c r="JK252" s="53"/>
      <c r="JL252" s="53"/>
      <c r="JM252" s="53"/>
      <c r="JN252" s="53"/>
      <c r="JO252" s="53"/>
      <c r="JP252" s="53"/>
      <c r="JQ252" s="53"/>
      <c r="JR252" s="53"/>
      <c r="JS252" s="53"/>
      <c r="JT252" s="53"/>
      <c r="JU252" s="53"/>
      <c r="JV252" s="53"/>
      <c r="JW252" s="53"/>
      <c r="JX252" s="53"/>
      <c r="JY252" s="53"/>
      <c r="JZ252" s="53"/>
      <c r="KA252" s="53"/>
      <c r="KB252" s="53"/>
      <c r="KC252" s="53"/>
      <c r="KD252" s="53"/>
      <c r="KE252" s="53"/>
      <c r="KF252" s="53"/>
      <c r="KG252" s="53"/>
      <c r="KH252" s="53"/>
      <c r="KI252" s="53"/>
      <c r="KJ252" s="53"/>
      <c r="KK252" s="53"/>
      <c r="KL252" s="53"/>
      <c r="KM252" s="53"/>
      <c r="KN252" s="53"/>
      <c r="KO252" s="53"/>
      <c r="KP252" s="53"/>
      <c r="KQ252" s="53"/>
      <c r="KR252" s="53"/>
      <c r="KS252" s="53"/>
      <c r="KT252" s="53"/>
      <c r="KU252" s="53"/>
      <c r="KV252" s="53"/>
      <c r="KW252" s="53"/>
      <c r="KX252" s="53"/>
      <c r="KY252" s="53"/>
      <c r="KZ252" s="53"/>
      <c r="LA252" s="53"/>
      <c r="LB252" s="53"/>
      <c r="LC252" s="53"/>
      <c r="LD252" s="53"/>
      <c r="LE252" s="53"/>
      <c r="LF252" s="53"/>
      <c r="LG252" s="53"/>
      <c r="LH252" s="53"/>
      <c r="LI252" s="53"/>
      <c r="LJ252" s="53"/>
      <c r="LK252" s="53"/>
      <c r="LL252" s="53"/>
      <c r="LM252" s="53"/>
      <c r="LN252" s="53"/>
      <c r="LO252" s="53"/>
      <c r="LP252" s="53"/>
      <c r="LQ252" s="53"/>
      <c r="LR252" s="53"/>
      <c r="LS252" s="53"/>
      <c r="LT252" s="53"/>
      <c r="LU252" s="53"/>
      <c r="LV252" s="53"/>
      <c r="LW252" s="53"/>
      <c r="LX252" s="53"/>
      <c r="LY252" s="53"/>
      <c r="LZ252" s="53"/>
      <c r="MA252" s="53"/>
      <c r="MB252" s="53"/>
      <c r="MC252" s="53"/>
      <c r="MD252" s="53"/>
      <c r="ME252" s="53"/>
      <c r="MF252" s="53"/>
      <c r="MG252" s="53"/>
      <c r="MH252" s="53"/>
      <c r="MI252" s="53"/>
      <c r="MJ252" s="53"/>
      <c r="MK252" s="53"/>
      <c r="ML252" s="53"/>
      <c r="MM252" s="53"/>
      <c r="MN252" s="53"/>
      <c r="MO252" s="53"/>
      <c r="MP252" s="53"/>
      <c r="MQ252" s="53"/>
      <c r="MR252" s="53"/>
      <c r="MS252" s="53"/>
      <c r="MT252" s="53"/>
      <c r="MU252" s="53"/>
      <c r="MV252" s="53"/>
      <c r="MW252" s="53"/>
      <c r="MX252" s="53"/>
      <c r="MY252" s="53"/>
      <c r="MZ252" s="53"/>
      <c r="NA252" s="53"/>
      <c r="NB252" s="53"/>
      <c r="NC252" s="53"/>
      <c r="ND252" s="53"/>
      <c r="NE252" s="53"/>
      <c r="NF252" s="53"/>
      <c r="NG252" s="53"/>
      <c r="NH252" s="53"/>
      <c r="NI252" s="53"/>
      <c r="NJ252" s="53"/>
      <c r="NK252" s="53"/>
      <c r="NL252" s="53"/>
      <c r="NM252" s="53"/>
      <c r="NN252" s="53"/>
      <c r="NO252" s="53"/>
      <c r="NP252" s="53"/>
      <c r="NQ252" s="53"/>
      <c r="NR252" s="53"/>
      <c r="NS252" s="53"/>
      <c r="NT252" s="53"/>
      <c r="NU252" s="53"/>
      <c r="NV252" s="53"/>
      <c r="NW252" s="53"/>
      <c r="NX252" s="53"/>
      <c r="NY252" s="53"/>
      <c r="NZ252" s="53"/>
      <c r="OA252" s="53"/>
      <c r="OB252" s="53"/>
      <c r="OC252" s="53"/>
      <c r="OD252" s="53"/>
      <c r="OE252" s="53"/>
      <c r="OF252" s="53"/>
      <c r="OG252" s="53"/>
      <c r="OH252" s="53"/>
      <c r="OI252" s="53"/>
      <c r="OJ252" s="53"/>
      <c r="OK252" s="53"/>
      <c r="OL252" s="53"/>
      <c r="OM252" s="53"/>
      <c r="ON252" s="53"/>
      <c r="OO252" s="53"/>
      <c r="OP252" s="53"/>
      <c r="OQ252" s="53"/>
      <c r="OR252" s="53"/>
      <c r="OS252" s="53"/>
      <c r="OT252" s="53"/>
      <c r="OU252" s="53"/>
      <c r="OV252" s="53"/>
      <c r="OW252" s="53"/>
      <c r="OX252" s="53"/>
      <c r="OY252" s="53"/>
      <c r="OZ252" s="53"/>
      <c r="PA252" s="53"/>
      <c r="PB252" s="53"/>
      <c r="PC252" s="53"/>
      <c r="PD252" s="53"/>
      <c r="PE252" s="53"/>
      <c r="PF252" s="53"/>
      <c r="PG252" s="53"/>
      <c r="PH252" s="53"/>
      <c r="PI252" s="53"/>
      <c r="PJ252" s="53"/>
      <c r="PK252" s="53"/>
      <c r="PL252" s="53"/>
      <c r="PM252" s="53"/>
      <c r="PN252" s="53"/>
      <c r="PO252" s="53"/>
      <c r="PP252" s="53"/>
      <c r="PQ252" s="53"/>
      <c r="PR252" s="53"/>
      <c r="PS252" s="53"/>
      <c r="PT252" s="53"/>
      <c r="PU252" s="53"/>
      <c r="PV252" s="53"/>
      <c r="PW252" s="53"/>
      <c r="PX252" s="53"/>
      <c r="PY252" s="53"/>
      <c r="PZ252" s="53"/>
      <c r="QA252" s="53"/>
      <c r="QB252" s="53"/>
      <c r="QC252" s="53"/>
      <c r="QD252" s="53"/>
      <c r="QE252" s="53"/>
      <c r="QF252" s="53"/>
      <c r="QG252" s="53"/>
      <c r="QH252" s="53"/>
      <c r="QI252" s="53"/>
      <c r="QJ252" s="53"/>
      <c r="QK252" s="53"/>
      <c r="QL252" s="53"/>
      <c r="QM252" s="53"/>
      <c r="QN252" s="53"/>
      <c r="QO252" s="53"/>
      <c r="QP252" s="53"/>
      <c r="QQ252" s="53"/>
      <c r="QR252" s="53"/>
      <c r="QS252" s="53"/>
      <c r="QT252" s="53"/>
      <c r="QU252" s="53"/>
      <c r="QV252" s="53"/>
      <c r="QW252" s="53"/>
      <c r="QX252" s="53"/>
      <c r="QY252" s="53"/>
      <c r="QZ252" s="53"/>
      <c r="RA252" s="53"/>
      <c r="RB252" s="53"/>
      <c r="RC252" s="53"/>
      <c r="RD252" s="53"/>
      <c r="RE252" s="53"/>
      <c r="RF252" s="53"/>
      <c r="RG252" s="53"/>
      <c r="RH252" s="53"/>
      <c r="RI252" s="53"/>
      <c r="RJ252" s="53"/>
      <c r="RK252" s="53"/>
      <c r="RL252" s="53"/>
      <c r="RM252" s="53"/>
      <c r="RN252" s="53"/>
      <c r="RO252" s="53"/>
      <c r="RP252" s="53"/>
      <c r="RQ252" s="53"/>
      <c r="RR252" s="53"/>
      <c r="RS252" s="53"/>
      <c r="RT252" s="53"/>
      <c r="RU252" s="53"/>
      <c r="RV252" s="53"/>
      <c r="RW252" s="53"/>
      <c r="RX252" s="53"/>
      <c r="RY252" s="53"/>
      <c r="RZ252" s="53"/>
      <c r="SA252" s="53"/>
      <c r="SB252" s="53"/>
      <c r="SC252" s="53"/>
      <c r="SD252" s="53"/>
      <c r="SE252" s="53"/>
      <c r="SF252" s="53"/>
      <c r="SG252" s="53"/>
      <c r="SH252" s="53"/>
      <c r="SI252" s="53"/>
      <c r="SJ252" s="53"/>
      <c r="SK252" s="53"/>
      <c r="SL252" s="53"/>
      <c r="SM252" s="53"/>
      <c r="SN252" s="53"/>
      <c r="SO252" s="53"/>
      <c r="SP252" s="53"/>
      <c r="SQ252" s="53"/>
      <c r="SR252" s="53"/>
      <c r="SS252" s="53"/>
      <c r="ST252" s="53"/>
      <c r="SU252" s="53"/>
      <c r="SV252" s="53"/>
      <c r="SW252" s="53"/>
      <c r="SX252" s="53"/>
      <c r="SY252" s="53"/>
      <c r="SZ252" s="53"/>
      <c r="TA252" s="53"/>
      <c r="TB252" s="53"/>
      <c r="TC252" s="53"/>
      <c r="TD252" s="53"/>
      <c r="TE252" s="53"/>
      <c r="TF252" s="53"/>
      <c r="TG252" s="53"/>
      <c r="TH252" s="53"/>
      <c r="TI252" s="53"/>
      <c r="TJ252" s="53"/>
      <c r="TK252" s="53"/>
      <c r="TL252" s="53"/>
      <c r="TM252" s="53"/>
      <c r="TN252" s="53"/>
      <c r="TO252" s="53"/>
      <c r="TP252" s="53"/>
      <c r="TQ252" s="53"/>
      <c r="TR252" s="53"/>
      <c r="TS252" s="53"/>
      <c r="TT252" s="53"/>
      <c r="TU252" s="53"/>
      <c r="TV252" s="53"/>
      <c r="TW252" s="53"/>
      <c r="TX252" s="53"/>
      <c r="TY252" s="53"/>
      <c r="TZ252" s="53"/>
      <c r="UA252" s="53"/>
      <c r="UB252" s="53"/>
      <c r="UC252" s="53"/>
      <c r="UD252" s="53"/>
      <c r="UE252" s="53"/>
      <c r="UF252" s="53"/>
      <c r="UG252" s="53"/>
      <c r="UH252" s="53"/>
      <c r="UI252" s="53"/>
      <c r="UJ252" s="53"/>
      <c r="UK252" s="53"/>
      <c r="UL252" s="53"/>
      <c r="UM252" s="53"/>
      <c r="UN252" s="53"/>
      <c r="UO252" s="53"/>
      <c r="UP252" s="53"/>
      <c r="UQ252" s="53"/>
      <c r="UR252" s="53"/>
      <c r="US252" s="53"/>
      <c r="UT252" s="53"/>
      <c r="UU252" s="53"/>
      <c r="UV252" s="53"/>
      <c r="UW252" s="53"/>
      <c r="UX252" s="53"/>
      <c r="UY252" s="53"/>
      <c r="UZ252" s="53"/>
      <c r="VA252" s="53"/>
      <c r="VB252" s="53"/>
      <c r="VC252" s="53"/>
      <c r="VD252" s="53"/>
      <c r="VE252" s="53"/>
      <c r="VF252" s="53"/>
      <c r="VG252" s="53"/>
      <c r="VH252" s="53"/>
      <c r="VI252" s="53"/>
      <c r="VJ252" s="53"/>
      <c r="VK252" s="53"/>
      <c r="VL252" s="53"/>
    </row>
    <row r="253" spans="1:584" s="47" customFormat="1" ht="45" x14ac:dyDescent="0.25">
      <c r="A253" s="45" t="s">
        <v>272</v>
      </c>
      <c r="B253" s="91" t="str">
        <f>'дод 3'!A156</f>
        <v>6084</v>
      </c>
      <c r="C253" s="91" t="str">
        <f>'дод 3'!B156</f>
        <v>0610</v>
      </c>
      <c r="D253" s="48" t="str">
        <f>'дод 3'!C156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53" s="115">
        <v>84906</v>
      </c>
      <c r="F253" s="115"/>
      <c r="G253" s="115"/>
      <c r="H253" s="115"/>
      <c r="I253" s="115"/>
      <c r="J253" s="115"/>
      <c r="K253" s="135">
        <f t="shared" si="59"/>
        <v>0</v>
      </c>
      <c r="L253" s="115">
        <f t="shared" si="71"/>
        <v>50683.81</v>
      </c>
      <c r="M253" s="115"/>
      <c r="N253" s="115">
        <f>42126-42126</f>
        <v>0</v>
      </c>
      <c r="O253" s="115"/>
      <c r="P253" s="115"/>
      <c r="Q253" s="115">
        <f>8557.81+42126</f>
        <v>50683.81</v>
      </c>
      <c r="R253" s="115">
        <f t="shared" si="72"/>
        <v>44136.959999999999</v>
      </c>
      <c r="S253" s="115"/>
      <c r="T253" s="115"/>
      <c r="U253" s="115"/>
      <c r="V253" s="115"/>
      <c r="W253" s="115">
        <v>44136.959999999999</v>
      </c>
      <c r="X253" s="166">
        <f t="shared" si="60"/>
        <v>87.082956076111884</v>
      </c>
      <c r="Y253" s="115">
        <f t="shared" si="81"/>
        <v>44136.959999999999</v>
      </c>
      <c r="Z253" s="187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  <c r="GN253" s="53"/>
      <c r="GO253" s="53"/>
      <c r="GP253" s="53"/>
      <c r="GQ253" s="53"/>
      <c r="GR253" s="53"/>
      <c r="GS253" s="53"/>
      <c r="GT253" s="53"/>
      <c r="GU253" s="53"/>
      <c r="GV253" s="53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3"/>
      <c r="HO253" s="53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3"/>
      <c r="IH253" s="53"/>
      <c r="II253" s="53"/>
      <c r="IJ253" s="53"/>
      <c r="IK253" s="53"/>
      <c r="IL253" s="53"/>
      <c r="IM253" s="53"/>
      <c r="IN253" s="53"/>
      <c r="IO253" s="53"/>
      <c r="IP253" s="53"/>
      <c r="IQ253" s="53"/>
      <c r="IR253" s="53"/>
      <c r="IS253" s="53"/>
      <c r="IT253" s="53"/>
      <c r="IU253" s="53"/>
      <c r="IV253" s="53"/>
      <c r="IW253" s="53"/>
      <c r="IX253" s="53"/>
      <c r="IY253" s="53"/>
      <c r="IZ253" s="53"/>
      <c r="JA253" s="53"/>
      <c r="JB253" s="53"/>
      <c r="JC253" s="53"/>
      <c r="JD253" s="53"/>
      <c r="JE253" s="53"/>
      <c r="JF253" s="53"/>
      <c r="JG253" s="53"/>
      <c r="JH253" s="53"/>
      <c r="JI253" s="53"/>
      <c r="JJ253" s="53"/>
      <c r="JK253" s="53"/>
      <c r="JL253" s="53"/>
      <c r="JM253" s="53"/>
      <c r="JN253" s="53"/>
      <c r="JO253" s="53"/>
      <c r="JP253" s="53"/>
      <c r="JQ253" s="53"/>
      <c r="JR253" s="53"/>
      <c r="JS253" s="53"/>
      <c r="JT253" s="53"/>
      <c r="JU253" s="53"/>
      <c r="JV253" s="53"/>
      <c r="JW253" s="53"/>
      <c r="JX253" s="53"/>
      <c r="JY253" s="53"/>
      <c r="JZ253" s="53"/>
      <c r="KA253" s="53"/>
      <c r="KB253" s="53"/>
      <c r="KC253" s="53"/>
      <c r="KD253" s="53"/>
      <c r="KE253" s="53"/>
      <c r="KF253" s="53"/>
      <c r="KG253" s="53"/>
      <c r="KH253" s="53"/>
      <c r="KI253" s="53"/>
      <c r="KJ253" s="53"/>
      <c r="KK253" s="53"/>
      <c r="KL253" s="53"/>
      <c r="KM253" s="53"/>
      <c r="KN253" s="53"/>
      <c r="KO253" s="53"/>
      <c r="KP253" s="53"/>
      <c r="KQ253" s="53"/>
      <c r="KR253" s="53"/>
      <c r="KS253" s="53"/>
      <c r="KT253" s="53"/>
      <c r="KU253" s="53"/>
      <c r="KV253" s="53"/>
      <c r="KW253" s="53"/>
      <c r="KX253" s="53"/>
      <c r="KY253" s="53"/>
      <c r="KZ253" s="53"/>
      <c r="LA253" s="53"/>
      <c r="LB253" s="53"/>
      <c r="LC253" s="53"/>
      <c r="LD253" s="53"/>
      <c r="LE253" s="53"/>
      <c r="LF253" s="53"/>
      <c r="LG253" s="53"/>
      <c r="LH253" s="53"/>
      <c r="LI253" s="53"/>
      <c r="LJ253" s="53"/>
      <c r="LK253" s="53"/>
      <c r="LL253" s="53"/>
      <c r="LM253" s="53"/>
      <c r="LN253" s="53"/>
      <c r="LO253" s="53"/>
      <c r="LP253" s="53"/>
      <c r="LQ253" s="53"/>
      <c r="LR253" s="53"/>
      <c r="LS253" s="53"/>
      <c r="LT253" s="53"/>
      <c r="LU253" s="53"/>
      <c r="LV253" s="53"/>
      <c r="LW253" s="53"/>
      <c r="LX253" s="53"/>
      <c r="LY253" s="53"/>
      <c r="LZ253" s="53"/>
      <c r="MA253" s="53"/>
      <c r="MB253" s="53"/>
      <c r="MC253" s="53"/>
      <c r="MD253" s="53"/>
      <c r="ME253" s="53"/>
      <c r="MF253" s="53"/>
      <c r="MG253" s="53"/>
      <c r="MH253" s="53"/>
      <c r="MI253" s="53"/>
      <c r="MJ253" s="53"/>
      <c r="MK253" s="53"/>
      <c r="ML253" s="53"/>
      <c r="MM253" s="53"/>
      <c r="MN253" s="53"/>
      <c r="MO253" s="53"/>
      <c r="MP253" s="53"/>
      <c r="MQ253" s="53"/>
      <c r="MR253" s="53"/>
      <c r="MS253" s="53"/>
      <c r="MT253" s="53"/>
      <c r="MU253" s="53"/>
      <c r="MV253" s="53"/>
      <c r="MW253" s="53"/>
      <c r="MX253" s="53"/>
      <c r="MY253" s="53"/>
      <c r="MZ253" s="53"/>
      <c r="NA253" s="53"/>
      <c r="NB253" s="53"/>
      <c r="NC253" s="53"/>
      <c r="ND253" s="53"/>
      <c r="NE253" s="53"/>
      <c r="NF253" s="53"/>
      <c r="NG253" s="53"/>
      <c r="NH253" s="53"/>
      <c r="NI253" s="53"/>
      <c r="NJ253" s="53"/>
      <c r="NK253" s="53"/>
      <c r="NL253" s="53"/>
      <c r="NM253" s="53"/>
      <c r="NN253" s="53"/>
      <c r="NO253" s="53"/>
      <c r="NP253" s="53"/>
      <c r="NQ253" s="53"/>
      <c r="NR253" s="53"/>
      <c r="NS253" s="53"/>
      <c r="NT253" s="53"/>
      <c r="NU253" s="53"/>
      <c r="NV253" s="53"/>
      <c r="NW253" s="53"/>
      <c r="NX253" s="53"/>
      <c r="NY253" s="53"/>
      <c r="NZ253" s="53"/>
      <c r="OA253" s="53"/>
      <c r="OB253" s="53"/>
      <c r="OC253" s="53"/>
      <c r="OD253" s="53"/>
      <c r="OE253" s="53"/>
      <c r="OF253" s="53"/>
      <c r="OG253" s="53"/>
      <c r="OH253" s="53"/>
      <c r="OI253" s="53"/>
      <c r="OJ253" s="53"/>
      <c r="OK253" s="53"/>
      <c r="OL253" s="53"/>
      <c r="OM253" s="53"/>
      <c r="ON253" s="53"/>
      <c r="OO253" s="53"/>
      <c r="OP253" s="53"/>
      <c r="OQ253" s="53"/>
      <c r="OR253" s="53"/>
      <c r="OS253" s="53"/>
      <c r="OT253" s="53"/>
      <c r="OU253" s="53"/>
      <c r="OV253" s="53"/>
      <c r="OW253" s="53"/>
      <c r="OX253" s="53"/>
      <c r="OY253" s="53"/>
      <c r="OZ253" s="53"/>
      <c r="PA253" s="53"/>
      <c r="PB253" s="53"/>
      <c r="PC253" s="53"/>
      <c r="PD253" s="53"/>
      <c r="PE253" s="53"/>
      <c r="PF253" s="53"/>
      <c r="PG253" s="53"/>
      <c r="PH253" s="53"/>
      <c r="PI253" s="53"/>
      <c r="PJ253" s="53"/>
      <c r="PK253" s="53"/>
      <c r="PL253" s="53"/>
      <c r="PM253" s="53"/>
      <c r="PN253" s="53"/>
      <c r="PO253" s="53"/>
      <c r="PP253" s="53"/>
      <c r="PQ253" s="53"/>
      <c r="PR253" s="53"/>
      <c r="PS253" s="53"/>
      <c r="PT253" s="53"/>
      <c r="PU253" s="53"/>
      <c r="PV253" s="53"/>
      <c r="PW253" s="53"/>
      <c r="PX253" s="53"/>
      <c r="PY253" s="53"/>
      <c r="PZ253" s="53"/>
      <c r="QA253" s="53"/>
      <c r="QB253" s="53"/>
      <c r="QC253" s="53"/>
      <c r="QD253" s="53"/>
      <c r="QE253" s="53"/>
      <c r="QF253" s="53"/>
      <c r="QG253" s="53"/>
      <c r="QH253" s="53"/>
      <c r="QI253" s="53"/>
      <c r="QJ253" s="53"/>
      <c r="QK253" s="53"/>
      <c r="QL253" s="53"/>
      <c r="QM253" s="53"/>
      <c r="QN253" s="53"/>
      <c r="QO253" s="53"/>
      <c r="QP253" s="53"/>
      <c r="QQ253" s="53"/>
      <c r="QR253" s="53"/>
      <c r="QS253" s="53"/>
      <c r="QT253" s="53"/>
      <c r="QU253" s="53"/>
      <c r="QV253" s="53"/>
      <c r="QW253" s="53"/>
      <c r="QX253" s="53"/>
      <c r="QY253" s="53"/>
      <c r="QZ253" s="53"/>
      <c r="RA253" s="53"/>
      <c r="RB253" s="53"/>
      <c r="RC253" s="53"/>
      <c r="RD253" s="53"/>
      <c r="RE253" s="53"/>
      <c r="RF253" s="53"/>
      <c r="RG253" s="53"/>
      <c r="RH253" s="53"/>
      <c r="RI253" s="53"/>
      <c r="RJ253" s="53"/>
      <c r="RK253" s="53"/>
      <c r="RL253" s="53"/>
      <c r="RM253" s="53"/>
      <c r="RN253" s="53"/>
      <c r="RO253" s="53"/>
      <c r="RP253" s="53"/>
      <c r="RQ253" s="53"/>
      <c r="RR253" s="53"/>
      <c r="RS253" s="53"/>
      <c r="RT253" s="53"/>
      <c r="RU253" s="53"/>
      <c r="RV253" s="53"/>
      <c r="RW253" s="53"/>
      <c r="RX253" s="53"/>
      <c r="RY253" s="53"/>
      <c r="RZ253" s="53"/>
      <c r="SA253" s="53"/>
      <c r="SB253" s="53"/>
      <c r="SC253" s="53"/>
      <c r="SD253" s="53"/>
      <c r="SE253" s="53"/>
      <c r="SF253" s="53"/>
      <c r="SG253" s="53"/>
      <c r="SH253" s="53"/>
      <c r="SI253" s="53"/>
      <c r="SJ253" s="53"/>
      <c r="SK253" s="53"/>
      <c r="SL253" s="53"/>
      <c r="SM253" s="53"/>
      <c r="SN253" s="53"/>
      <c r="SO253" s="53"/>
      <c r="SP253" s="53"/>
      <c r="SQ253" s="53"/>
      <c r="SR253" s="53"/>
      <c r="SS253" s="53"/>
      <c r="ST253" s="53"/>
      <c r="SU253" s="53"/>
      <c r="SV253" s="53"/>
      <c r="SW253" s="53"/>
      <c r="SX253" s="53"/>
      <c r="SY253" s="53"/>
      <c r="SZ253" s="53"/>
      <c r="TA253" s="53"/>
      <c r="TB253" s="53"/>
      <c r="TC253" s="53"/>
      <c r="TD253" s="53"/>
      <c r="TE253" s="53"/>
      <c r="TF253" s="53"/>
      <c r="TG253" s="53"/>
      <c r="TH253" s="53"/>
      <c r="TI253" s="53"/>
      <c r="TJ253" s="53"/>
      <c r="TK253" s="53"/>
      <c r="TL253" s="53"/>
      <c r="TM253" s="53"/>
      <c r="TN253" s="53"/>
      <c r="TO253" s="53"/>
      <c r="TP253" s="53"/>
      <c r="TQ253" s="53"/>
      <c r="TR253" s="53"/>
      <c r="TS253" s="53"/>
      <c r="TT253" s="53"/>
      <c r="TU253" s="53"/>
      <c r="TV253" s="53"/>
      <c r="TW253" s="53"/>
      <c r="TX253" s="53"/>
      <c r="TY253" s="53"/>
      <c r="TZ253" s="53"/>
      <c r="UA253" s="53"/>
      <c r="UB253" s="53"/>
      <c r="UC253" s="53"/>
      <c r="UD253" s="53"/>
      <c r="UE253" s="53"/>
      <c r="UF253" s="53"/>
      <c r="UG253" s="53"/>
      <c r="UH253" s="53"/>
      <c r="UI253" s="53"/>
      <c r="UJ253" s="53"/>
      <c r="UK253" s="53"/>
      <c r="UL253" s="53"/>
      <c r="UM253" s="53"/>
      <c r="UN253" s="53"/>
      <c r="UO253" s="53"/>
      <c r="UP253" s="53"/>
      <c r="UQ253" s="53"/>
      <c r="UR253" s="53"/>
      <c r="US253" s="53"/>
      <c r="UT253" s="53"/>
      <c r="UU253" s="53"/>
      <c r="UV253" s="53"/>
      <c r="UW253" s="53"/>
      <c r="UX253" s="53"/>
      <c r="UY253" s="53"/>
      <c r="UZ253" s="53"/>
      <c r="VA253" s="53"/>
      <c r="VB253" s="53"/>
      <c r="VC253" s="53"/>
      <c r="VD253" s="53"/>
      <c r="VE253" s="53"/>
      <c r="VF253" s="53"/>
      <c r="VG253" s="53"/>
      <c r="VH253" s="53"/>
      <c r="VI253" s="53"/>
      <c r="VJ253" s="53"/>
      <c r="VK253" s="53"/>
      <c r="VL253" s="53"/>
    </row>
    <row r="254" spans="1:584" s="47" customFormat="1" ht="23.25" customHeight="1" x14ac:dyDescent="0.25">
      <c r="A254" s="91">
        <v>1516090</v>
      </c>
      <c r="B254" s="91">
        <v>6090</v>
      </c>
      <c r="C254" s="91" t="s">
        <v>405</v>
      </c>
      <c r="D254" s="48" t="s">
        <v>586</v>
      </c>
      <c r="E254" s="115">
        <v>404689.6</v>
      </c>
      <c r="F254" s="115"/>
      <c r="G254" s="115"/>
      <c r="H254" s="115">
        <v>287398.8</v>
      </c>
      <c r="I254" s="115"/>
      <c r="J254" s="115"/>
      <c r="K254" s="164">
        <f t="shared" si="59"/>
        <v>71.017095571519505</v>
      </c>
      <c r="L254" s="115">
        <f t="shared" si="71"/>
        <v>0</v>
      </c>
      <c r="M254" s="115"/>
      <c r="N254" s="115"/>
      <c r="O254" s="115"/>
      <c r="P254" s="115"/>
      <c r="Q254" s="115"/>
      <c r="R254" s="115">
        <f t="shared" si="72"/>
        <v>0</v>
      </c>
      <c r="S254" s="115"/>
      <c r="T254" s="115"/>
      <c r="U254" s="115"/>
      <c r="V254" s="115"/>
      <c r="W254" s="115"/>
      <c r="X254" s="166"/>
      <c r="Y254" s="115">
        <f t="shared" si="81"/>
        <v>287398.8</v>
      </c>
      <c r="Z254" s="187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  <c r="GQ254" s="53"/>
      <c r="GR254" s="53"/>
      <c r="GS254" s="53"/>
      <c r="GT254" s="53"/>
      <c r="GU254" s="53"/>
      <c r="GV254" s="53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3"/>
      <c r="IH254" s="53"/>
      <c r="II254" s="53"/>
      <c r="IJ254" s="53"/>
      <c r="IK254" s="53"/>
      <c r="IL254" s="53"/>
      <c r="IM254" s="53"/>
      <c r="IN254" s="53"/>
      <c r="IO254" s="53"/>
      <c r="IP254" s="53"/>
      <c r="IQ254" s="53"/>
      <c r="IR254" s="53"/>
      <c r="IS254" s="53"/>
      <c r="IT254" s="53"/>
      <c r="IU254" s="53"/>
      <c r="IV254" s="53"/>
      <c r="IW254" s="53"/>
      <c r="IX254" s="53"/>
      <c r="IY254" s="53"/>
      <c r="IZ254" s="53"/>
      <c r="JA254" s="53"/>
      <c r="JB254" s="53"/>
      <c r="JC254" s="53"/>
      <c r="JD254" s="53"/>
      <c r="JE254" s="53"/>
      <c r="JF254" s="53"/>
      <c r="JG254" s="53"/>
      <c r="JH254" s="53"/>
      <c r="JI254" s="53"/>
      <c r="JJ254" s="53"/>
      <c r="JK254" s="53"/>
      <c r="JL254" s="53"/>
      <c r="JM254" s="53"/>
      <c r="JN254" s="53"/>
      <c r="JO254" s="53"/>
      <c r="JP254" s="53"/>
      <c r="JQ254" s="53"/>
      <c r="JR254" s="53"/>
      <c r="JS254" s="53"/>
      <c r="JT254" s="53"/>
      <c r="JU254" s="53"/>
      <c r="JV254" s="53"/>
      <c r="JW254" s="53"/>
      <c r="JX254" s="53"/>
      <c r="JY254" s="53"/>
      <c r="JZ254" s="53"/>
      <c r="KA254" s="53"/>
      <c r="KB254" s="53"/>
      <c r="KC254" s="53"/>
      <c r="KD254" s="53"/>
      <c r="KE254" s="53"/>
      <c r="KF254" s="53"/>
      <c r="KG254" s="53"/>
      <c r="KH254" s="53"/>
      <c r="KI254" s="53"/>
      <c r="KJ254" s="53"/>
      <c r="KK254" s="53"/>
      <c r="KL254" s="53"/>
      <c r="KM254" s="53"/>
      <c r="KN254" s="53"/>
      <c r="KO254" s="53"/>
      <c r="KP254" s="53"/>
      <c r="KQ254" s="53"/>
      <c r="KR254" s="53"/>
      <c r="KS254" s="53"/>
      <c r="KT254" s="53"/>
      <c r="KU254" s="53"/>
      <c r="KV254" s="53"/>
      <c r="KW254" s="53"/>
      <c r="KX254" s="53"/>
      <c r="KY254" s="53"/>
      <c r="KZ254" s="53"/>
      <c r="LA254" s="53"/>
      <c r="LB254" s="53"/>
      <c r="LC254" s="53"/>
      <c r="LD254" s="53"/>
      <c r="LE254" s="53"/>
      <c r="LF254" s="53"/>
      <c r="LG254" s="53"/>
      <c r="LH254" s="53"/>
      <c r="LI254" s="53"/>
      <c r="LJ254" s="53"/>
      <c r="LK254" s="53"/>
      <c r="LL254" s="53"/>
      <c r="LM254" s="53"/>
      <c r="LN254" s="53"/>
      <c r="LO254" s="53"/>
      <c r="LP254" s="53"/>
      <c r="LQ254" s="53"/>
      <c r="LR254" s="53"/>
      <c r="LS254" s="53"/>
      <c r="LT254" s="53"/>
      <c r="LU254" s="53"/>
      <c r="LV254" s="53"/>
      <c r="LW254" s="53"/>
      <c r="LX254" s="53"/>
      <c r="LY254" s="53"/>
      <c r="LZ254" s="53"/>
      <c r="MA254" s="53"/>
      <c r="MB254" s="53"/>
      <c r="MC254" s="53"/>
      <c r="MD254" s="53"/>
      <c r="ME254" s="53"/>
      <c r="MF254" s="53"/>
      <c r="MG254" s="53"/>
      <c r="MH254" s="53"/>
      <c r="MI254" s="53"/>
      <c r="MJ254" s="53"/>
      <c r="MK254" s="53"/>
      <c r="ML254" s="53"/>
      <c r="MM254" s="53"/>
      <c r="MN254" s="53"/>
      <c r="MO254" s="53"/>
      <c r="MP254" s="53"/>
      <c r="MQ254" s="53"/>
      <c r="MR254" s="53"/>
      <c r="MS254" s="53"/>
      <c r="MT254" s="53"/>
      <c r="MU254" s="53"/>
      <c r="MV254" s="53"/>
      <c r="MW254" s="53"/>
      <c r="MX254" s="53"/>
      <c r="MY254" s="53"/>
      <c r="MZ254" s="53"/>
      <c r="NA254" s="53"/>
      <c r="NB254" s="53"/>
      <c r="NC254" s="53"/>
      <c r="ND254" s="53"/>
      <c r="NE254" s="53"/>
      <c r="NF254" s="53"/>
      <c r="NG254" s="53"/>
      <c r="NH254" s="53"/>
      <c r="NI254" s="53"/>
      <c r="NJ254" s="53"/>
      <c r="NK254" s="53"/>
      <c r="NL254" s="53"/>
      <c r="NM254" s="53"/>
      <c r="NN254" s="53"/>
      <c r="NO254" s="53"/>
      <c r="NP254" s="53"/>
      <c r="NQ254" s="53"/>
      <c r="NR254" s="53"/>
      <c r="NS254" s="53"/>
      <c r="NT254" s="53"/>
      <c r="NU254" s="53"/>
      <c r="NV254" s="53"/>
      <c r="NW254" s="53"/>
      <c r="NX254" s="53"/>
      <c r="NY254" s="53"/>
      <c r="NZ254" s="53"/>
      <c r="OA254" s="53"/>
      <c r="OB254" s="53"/>
      <c r="OC254" s="53"/>
      <c r="OD254" s="53"/>
      <c r="OE254" s="53"/>
      <c r="OF254" s="53"/>
      <c r="OG254" s="53"/>
      <c r="OH254" s="53"/>
      <c r="OI254" s="53"/>
      <c r="OJ254" s="53"/>
      <c r="OK254" s="53"/>
      <c r="OL254" s="53"/>
      <c r="OM254" s="53"/>
      <c r="ON254" s="53"/>
      <c r="OO254" s="53"/>
      <c r="OP254" s="53"/>
      <c r="OQ254" s="53"/>
      <c r="OR254" s="53"/>
      <c r="OS254" s="53"/>
      <c r="OT254" s="53"/>
      <c r="OU254" s="53"/>
      <c r="OV254" s="53"/>
      <c r="OW254" s="53"/>
      <c r="OX254" s="53"/>
      <c r="OY254" s="53"/>
      <c r="OZ254" s="53"/>
      <c r="PA254" s="53"/>
      <c r="PB254" s="53"/>
      <c r="PC254" s="53"/>
      <c r="PD254" s="53"/>
      <c r="PE254" s="53"/>
      <c r="PF254" s="53"/>
      <c r="PG254" s="53"/>
      <c r="PH254" s="53"/>
      <c r="PI254" s="53"/>
      <c r="PJ254" s="53"/>
      <c r="PK254" s="53"/>
      <c r="PL254" s="53"/>
      <c r="PM254" s="53"/>
      <c r="PN254" s="53"/>
      <c r="PO254" s="53"/>
      <c r="PP254" s="53"/>
      <c r="PQ254" s="53"/>
      <c r="PR254" s="53"/>
      <c r="PS254" s="53"/>
      <c r="PT254" s="53"/>
      <c r="PU254" s="53"/>
      <c r="PV254" s="53"/>
      <c r="PW254" s="53"/>
      <c r="PX254" s="53"/>
      <c r="PY254" s="53"/>
      <c r="PZ254" s="53"/>
      <c r="QA254" s="53"/>
      <c r="QB254" s="53"/>
      <c r="QC254" s="53"/>
      <c r="QD254" s="53"/>
      <c r="QE254" s="53"/>
      <c r="QF254" s="53"/>
      <c r="QG254" s="53"/>
      <c r="QH254" s="53"/>
      <c r="QI254" s="53"/>
      <c r="QJ254" s="53"/>
      <c r="QK254" s="53"/>
      <c r="QL254" s="53"/>
      <c r="QM254" s="53"/>
      <c r="QN254" s="53"/>
      <c r="QO254" s="53"/>
      <c r="QP254" s="53"/>
      <c r="QQ254" s="53"/>
      <c r="QR254" s="53"/>
      <c r="QS254" s="53"/>
      <c r="QT254" s="53"/>
      <c r="QU254" s="53"/>
      <c r="QV254" s="53"/>
      <c r="QW254" s="53"/>
      <c r="QX254" s="53"/>
      <c r="QY254" s="53"/>
      <c r="QZ254" s="53"/>
      <c r="RA254" s="53"/>
      <c r="RB254" s="53"/>
      <c r="RC254" s="53"/>
      <c r="RD254" s="53"/>
      <c r="RE254" s="53"/>
      <c r="RF254" s="53"/>
      <c r="RG254" s="53"/>
      <c r="RH254" s="53"/>
      <c r="RI254" s="53"/>
      <c r="RJ254" s="53"/>
      <c r="RK254" s="53"/>
      <c r="RL254" s="53"/>
      <c r="RM254" s="53"/>
      <c r="RN254" s="53"/>
      <c r="RO254" s="53"/>
      <c r="RP254" s="53"/>
      <c r="RQ254" s="53"/>
      <c r="RR254" s="53"/>
      <c r="RS254" s="53"/>
      <c r="RT254" s="53"/>
      <c r="RU254" s="53"/>
      <c r="RV254" s="53"/>
      <c r="RW254" s="53"/>
      <c r="RX254" s="53"/>
      <c r="RY254" s="53"/>
      <c r="RZ254" s="53"/>
      <c r="SA254" s="53"/>
      <c r="SB254" s="53"/>
      <c r="SC254" s="53"/>
      <c r="SD254" s="53"/>
      <c r="SE254" s="53"/>
      <c r="SF254" s="53"/>
      <c r="SG254" s="53"/>
      <c r="SH254" s="53"/>
      <c r="SI254" s="53"/>
      <c r="SJ254" s="53"/>
      <c r="SK254" s="53"/>
      <c r="SL254" s="53"/>
      <c r="SM254" s="53"/>
      <c r="SN254" s="53"/>
      <c r="SO254" s="53"/>
      <c r="SP254" s="53"/>
      <c r="SQ254" s="53"/>
      <c r="SR254" s="53"/>
      <c r="SS254" s="53"/>
      <c r="ST254" s="53"/>
      <c r="SU254" s="53"/>
      <c r="SV254" s="53"/>
      <c r="SW254" s="53"/>
      <c r="SX254" s="53"/>
      <c r="SY254" s="53"/>
      <c r="SZ254" s="53"/>
      <c r="TA254" s="53"/>
      <c r="TB254" s="53"/>
      <c r="TC254" s="53"/>
      <c r="TD254" s="53"/>
      <c r="TE254" s="53"/>
      <c r="TF254" s="53"/>
      <c r="TG254" s="53"/>
      <c r="TH254" s="53"/>
      <c r="TI254" s="53"/>
      <c r="TJ254" s="53"/>
      <c r="TK254" s="53"/>
      <c r="TL254" s="53"/>
      <c r="TM254" s="53"/>
      <c r="TN254" s="53"/>
      <c r="TO254" s="53"/>
      <c r="TP254" s="53"/>
      <c r="TQ254" s="53"/>
      <c r="TR254" s="53"/>
      <c r="TS254" s="53"/>
      <c r="TT254" s="53"/>
      <c r="TU254" s="53"/>
      <c r="TV254" s="53"/>
      <c r="TW254" s="53"/>
      <c r="TX254" s="53"/>
      <c r="TY254" s="53"/>
      <c r="TZ254" s="53"/>
      <c r="UA254" s="53"/>
      <c r="UB254" s="53"/>
      <c r="UC254" s="53"/>
      <c r="UD254" s="53"/>
      <c r="UE254" s="53"/>
      <c r="UF254" s="53"/>
      <c r="UG254" s="53"/>
      <c r="UH254" s="53"/>
      <c r="UI254" s="53"/>
      <c r="UJ254" s="53"/>
      <c r="UK254" s="53"/>
      <c r="UL254" s="53"/>
      <c r="UM254" s="53"/>
      <c r="UN254" s="53"/>
      <c r="UO254" s="53"/>
      <c r="UP254" s="53"/>
      <c r="UQ254" s="53"/>
      <c r="UR254" s="53"/>
      <c r="US254" s="53"/>
      <c r="UT254" s="53"/>
      <c r="UU254" s="53"/>
      <c r="UV254" s="53"/>
      <c r="UW254" s="53"/>
      <c r="UX254" s="53"/>
      <c r="UY254" s="53"/>
      <c r="UZ254" s="53"/>
      <c r="VA254" s="53"/>
      <c r="VB254" s="53"/>
      <c r="VC254" s="53"/>
      <c r="VD254" s="53"/>
      <c r="VE254" s="53"/>
      <c r="VF254" s="53"/>
      <c r="VG254" s="53"/>
      <c r="VH254" s="53"/>
      <c r="VI254" s="53"/>
      <c r="VJ254" s="53"/>
      <c r="VK254" s="53"/>
      <c r="VL254" s="53"/>
    </row>
    <row r="255" spans="1:584" s="47" customFormat="1" ht="24" customHeight="1" x14ac:dyDescent="0.25">
      <c r="A255" s="45" t="s">
        <v>354</v>
      </c>
      <c r="B255" s="91" t="str">
        <f>'дод 3'!A164</f>
        <v>7310</v>
      </c>
      <c r="C255" s="91" t="str">
        <f>'дод 3'!B164</f>
        <v>0443</v>
      </c>
      <c r="D255" s="48" t="str">
        <f>'дод 3'!C164</f>
        <v>Будівництво об'єктів житлово-комунального господарства</v>
      </c>
      <c r="E255" s="115">
        <v>0</v>
      </c>
      <c r="F255" s="115"/>
      <c r="G255" s="115"/>
      <c r="H255" s="115"/>
      <c r="I255" s="115"/>
      <c r="J255" s="115"/>
      <c r="K255" s="164"/>
      <c r="L255" s="115">
        <f t="shared" si="71"/>
        <v>5958955.7999999998</v>
      </c>
      <c r="M255" s="115">
        <f>7800000-489034.2+1000000-2507000-180000-1000000+1464000-200000+200000-369-128641</f>
        <v>5958955.7999999998</v>
      </c>
      <c r="N255" s="115"/>
      <c r="O255" s="115"/>
      <c r="P255" s="115"/>
      <c r="Q255" s="115">
        <f>7800000-489034.2+1000000-2507000-180000-1000000+1464000-200000+200000-369-128641</f>
        <v>5958955.7999999998</v>
      </c>
      <c r="R255" s="115">
        <f t="shared" si="72"/>
        <v>4262979</v>
      </c>
      <c r="S255" s="115">
        <v>4262979</v>
      </c>
      <c r="T255" s="115"/>
      <c r="U255" s="115"/>
      <c r="V255" s="115"/>
      <c r="W255" s="115">
        <v>4262979</v>
      </c>
      <c r="X255" s="166">
        <f t="shared" si="60"/>
        <v>71.539027022150421</v>
      </c>
      <c r="Y255" s="115">
        <f t="shared" si="81"/>
        <v>4262979</v>
      </c>
      <c r="Z255" s="187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3"/>
      <c r="IH255" s="53"/>
      <c r="II255" s="53"/>
      <c r="IJ255" s="53"/>
      <c r="IK255" s="53"/>
      <c r="IL255" s="53"/>
      <c r="IM255" s="53"/>
      <c r="IN255" s="53"/>
      <c r="IO255" s="53"/>
      <c r="IP255" s="53"/>
      <c r="IQ255" s="53"/>
      <c r="IR255" s="53"/>
      <c r="IS255" s="53"/>
      <c r="IT255" s="53"/>
      <c r="IU255" s="53"/>
      <c r="IV255" s="53"/>
      <c r="IW255" s="53"/>
      <c r="IX255" s="53"/>
      <c r="IY255" s="53"/>
      <c r="IZ255" s="53"/>
      <c r="JA255" s="53"/>
      <c r="JB255" s="53"/>
      <c r="JC255" s="53"/>
      <c r="JD255" s="53"/>
      <c r="JE255" s="53"/>
      <c r="JF255" s="53"/>
      <c r="JG255" s="53"/>
      <c r="JH255" s="53"/>
      <c r="JI255" s="53"/>
      <c r="JJ255" s="53"/>
      <c r="JK255" s="53"/>
      <c r="JL255" s="53"/>
      <c r="JM255" s="53"/>
      <c r="JN255" s="53"/>
      <c r="JO255" s="53"/>
      <c r="JP255" s="53"/>
      <c r="JQ255" s="53"/>
      <c r="JR255" s="53"/>
      <c r="JS255" s="53"/>
      <c r="JT255" s="53"/>
      <c r="JU255" s="53"/>
      <c r="JV255" s="53"/>
      <c r="JW255" s="53"/>
      <c r="JX255" s="53"/>
      <c r="JY255" s="53"/>
      <c r="JZ255" s="53"/>
      <c r="KA255" s="53"/>
      <c r="KB255" s="53"/>
      <c r="KC255" s="53"/>
      <c r="KD255" s="53"/>
      <c r="KE255" s="53"/>
      <c r="KF255" s="53"/>
      <c r="KG255" s="53"/>
      <c r="KH255" s="53"/>
      <c r="KI255" s="53"/>
      <c r="KJ255" s="53"/>
      <c r="KK255" s="53"/>
      <c r="KL255" s="53"/>
      <c r="KM255" s="53"/>
      <c r="KN255" s="53"/>
      <c r="KO255" s="53"/>
      <c r="KP255" s="53"/>
      <c r="KQ255" s="53"/>
      <c r="KR255" s="53"/>
      <c r="KS255" s="53"/>
      <c r="KT255" s="53"/>
      <c r="KU255" s="53"/>
      <c r="KV255" s="53"/>
      <c r="KW255" s="53"/>
      <c r="KX255" s="53"/>
      <c r="KY255" s="53"/>
      <c r="KZ255" s="53"/>
      <c r="LA255" s="53"/>
      <c r="LB255" s="53"/>
      <c r="LC255" s="53"/>
      <c r="LD255" s="53"/>
      <c r="LE255" s="53"/>
      <c r="LF255" s="53"/>
      <c r="LG255" s="53"/>
      <c r="LH255" s="53"/>
      <c r="LI255" s="53"/>
      <c r="LJ255" s="53"/>
      <c r="LK255" s="53"/>
      <c r="LL255" s="53"/>
      <c r="LM255" s="53"/>
      <c r="LN255" s="53"/>
      <c r="LO255" s="53"/>
      <c r="LP255" s="53"/>
      <c r="LQ255" s="53"/>
      <c r="LR255" s="53"/>
      <c r="LS255" s="53"/>
      <c r="LT255" s="53"/>
      <c r="LU255" s="53"/>
      <c r="LV255" s="53"/>
      <c r="LW255" s="53"/>
      <c r="LX255" s="53"/>
      <c r="LY255" s="53"/>
      <c r="LZ255" s="53"/>
      <c r="MA255" s="53"/>
      <c r="MB255" s="53"/>
      <c r="MC255" s="53"/>
      <c r="MD255" s="53"/>
      <c r="ME255" s="53"/>
      <c r="MF255" s="53"/>
      <c r="MG255" s="53"/>
      <c r="MH255" s="53"/>
      <c r="MI255" s="53"/>
      <c r="MJ255" s="53"/>
      <c r="MK255" s="53"/>
      <c r="ML255" s="53"/>
      <c r="MM255" s="53"/>
      <c r="MN255" s="53"/>
      <c r="MO255" s="53"/>
      <c r="MP255" s="53"/>
      <c r="MQ255" s="53"/>
      <c r="MR255" s="53"/>
      <c r="MS255" s="53"/>
      <c r="MT255" s="53"/>
      <c r="MU255" s="53"/>
      <c r="MV255" s="53"/>
      <c r="MW255" s="53"/>
      <c r="MX255" s="53"/>
      <c r="MY255" s="53"/>
      <c r="MZ255" s="53"/>
      <c r="NA255" s="53"/>
      <c r="NB255" s="53"/>
      <c r="NC255" s="53"/>
      <c r="ND255" s="53"/>
      <c r="NE255" s="53"/>
      <c r="NF255" s="53"/>
      <c r="NG255" s="53"/>
      <c r="NH255" s="53"/>
      <c r="NI255" s="53"/>
      <c r="NJ255" s="53"/>
      <c r="NK255" s="53"/>
      <c r="NL255" s="53"/>
      <c r="NM255" s="53"/>
      <c r="NN255" s="53"/>
      <c r="NO255" s="53"/>
      <c r="NP255" s="53"/>
      <c r="NQ255" s="53"/>
      <c r="NR255" s="53"/>
      <c r="NS255" s="53"/>
      <c r="NT255" s="53"/>
      <c r="NU255" s="53"/>
      <c r="NV255" s="53"/>
      <c r="NW255" s="53"/>
      <c r="NX255" s="53"/>
      <c r="NY255" s="53"/>
      <c r="NZ255" s="53"/>
      <c r="OA255" s="53"/>
      <c r="OB255" s="53"/>
      <c r="OC255" s="53"/>
      <c r="OD255" s="53"/>
      <c r="OE255" s="53"/>
      <c r="OF255" s="53"/>
      <c r="OG255" s="53"/>
      <c r="OH255" s="53"/>
      <c r="OI255" s="53"/>
      <c r="OJ255" s="53"/>
      <c r="OK255" s="53"/>
      <c r="OL255" s="53"/>
      <c r="OM255" s="53"/>
      <c r="ON255" s="53"/>
      <c r="OO255" s="53"/>
      <c r="OP255" s="53"/>
      <c r="OQ255" s="53"/>
      <c r="OR255" s="53"/>
      <c r="OS255" s="53"/>
      <c r="OT255" s="53"/>
      <c r="OU255" s="53"/>
      <c r="OV255" s="53"/>
      <c r="OW255" s="53"/>
      <c r="OX255" s="53"/>
      <c r="OY255" s="53"/>
      <c r="OZ255" s="53"/>
      <c r="PA255" s="53"/>
      <c r="PB255" s="53"/>
      <c r="PC255" s="53"/>
      <c r="PD255" s="53"/>
      <c r="PE255" s="53"/>
      <c r="PF255" s="53"/>
      <c r="PG255" s="53"/>
      <c r="PH255" s="53"/>
      <c r="PI255" s="53"/>
      <c r="PJ255" s="53"/>
      <c r="PK255" s="53"/>
      <c r="PL255" s="53"/>
      <c r="PM255" s="53"/>
      <c r="PN255" s="53"/>
      <c r="PO255" s="53"/>
      <c r="PP255" s="53"/>
      <c r="PQ255" s="53"/>
      <c r="PR255" s="53"/>
      <c r="PS255" s="53"/>
      <c r="PT255" s="53"/>
      <c r="PU255" s="53"/>
      <c r="PV255" s="53"/>
      <c r="PW255" s="53"/>
      <c r="PX255" s="53"/>
      <c r="PY255" s="53"/>
      <c r="PZ255" s="53"/>
      <c r="QA255" s="53"/>
      <c r="QB255" s="53"/>
      <c r="QC255" s="53"/>
      <c r="QD255" s="53"/>
      <c r="QE255" s="53"/>
      <c r="QF255" s="53"/>
      <c r="QG255" s="53"/>
      <c r="QH255" s="53"/>
      <c r="QI255" s="53"/>
      <c r="QJ255" s="53"/>
      <c r="QK255" s="53"/>
      <c r="QL255" s="53"/>
      <c r="QM255" s="53"/>
      <c r="QN255" s="53"/>
      <c r="QO255" s="53"/>
      <c r="QP255" s="53"/>
      <c r="QQ255" s="53"/>
      <c r="QR255" s="53"/>
      <c r="QS255" s="53"/>
      <c r="QT255" s="53"/>
      <c r="QU255" s="53"/>
      <c r="QV255" s="53"/>
      <c r="QW255" s="53"/>
      <c r="QX255" s="53"/>
      <c r="QY255" s="53"/>
      <c r="QZ255" s="53"/>
      <c r="RA255" s="53"/>
      <c r="RB255" s="53"/>
      <c r="RC255" s="53"/>
      <c r="RD255" s="53"/>
      <c r="RE255" s="53"/>
      <c r="RF255" s="53"/>
      <c r="RG255" s="53"/>
      <c r="RH255" s="53"/>
      <c r="RI255" s="53"/>
      <c r="RJ255" s="53"/>
      <c r="RK255" s="53"/>
      <c r="RL255" s="53"/>
      <c r="RM255" s="53"/>
      <c r="RN255" s="53"/>
      <c r="RO255" s="53"/>
      <c r="RP255" s="53"/>
      <c r="RQ255" s="53"/>
      <c r="RR255" s="53"/>
      <c r="RS255" s="53"/>
      <c r="RT255" s="53"/>
      <c r="RU255" s="53"/>
      <c r="RV255" s="53"/>
      <c r="RW255" s="53"/>
      <c r="RX255" s="53"/>
      <c r="RY255" s="53"/>
      <c r="RZ255" s="53"/>
      <c r="SA255" s="53"/>
      <c r="SB255" s="53"/>
      <c r="SC255" s="53"/>
      <c r="SD255" s="53"/>
      <c r="SE255" s="53"/>
      <c r="SF255" s="53"/>
      <c r="SG255" s="53"/>
      <c r="SH255" s="53"/>
      <c r="SI255" s="53"/>
      <c r="SJ255" s="53"/>
      <c r="SK255" s="53"/>
      <c r="SL255" s="53"/>
      <c r="SM255" s="53"/>
      <c r="SN255" s="53"/>
      <c r="SO255" s="53"/>
      <c r="SP255" s="53"/>
      <c r="SQ255" s="53"/>
      <c r="SR255" s="53"/>
      <c r="SS255" s="53"/>
      <c r="ST255" s="53"/>
      <c r="SU255" s="53"/>
      <c r="SV255" s="53"/>
      <c r="SW255" s="53"/>
      <c r="SX255" s="53"/>
      <c r="SY255" s="53"/>
      <c r="SZ255" s="53"/>
      <c r="TA255" s="53"/>
      <c r="TB255" s="53"/>
      <c r="TC255" s="53"/>
      <c r="TD255" s="53"/>
      <c r="TE255" s="53"/>
      <c r="TF255" s="53"/>
      <c r="TG255" s="53"/>
      <c r="TH255" s="53"/>
      <c r="TI255" s="53"/>
      <c r="TJ255" s="53"/>
      <c r="TK255" s="53"/>
      <c r="TL255" s="53"/>
      <c r="TM255" s="53"/>
      <c r="TN255" s="53"/>
      <c r="TO255" s="53"/>
      <c r="TP255" s="53"/>
      <c r="TQ255" s="53"/>
      <c r="TR255" s="53"/>
      <c r="TS255" s="53"/>
      <c r="TT255" s="53"/>
      <c r="TU255" s="53"/>
      <c r="TV255" s="53"/>
      <c r="TW255" s="53"/>
      <c r="TX255" s="53"/>
      <c r="TY255" s="53"/>
      <c r="TZ255" s="53"/>
      <c r="UA255" s="53"/>
      <c r="UB255" s="53"/>
      <c r="UC255" s="53"/>
      <c r="UD255" s="53"/>
      <c r="UE255" s="53"/>
      <c r="UF255" s="53"/>
      <c r="UG255" s="53"/>
      <c r="UH255" s="53"/>
      <c r="UI255" s="53"/>
      <c r="UJ255" s="53"/>
      <c r="UK255" s="53"/>
      <c r="UL255" s="53"/>
      <c r="UM255" s="53"/>
      <c r="UN255" s="53"/>
      <c r="UO255" s="53"/>
      <c r="UP255" s="53"/>
      <c r="UQ255" s="53"/>
      <c r="UR255" s="53"/>
      <c r="US255" s="53"/>
      <c r="UT255" s="53"/>
      <c r="UU255" s="53"/>
      <c r="UV255" s="53"/>
      <c r="UW255" s="53"/>
      <c r="UX255" s="53"/>
      <c r="UY255" s="53"/>
      <c r="UZ255" s="53"/>
      <c r="VA255" s="53"/>
      <c r="VB255" s="53"/>
      <c r="VC255" s="53"/>
      <c r="VD255" s="53"/>
      <c r="VE255" s="53"/>
      <c r="VF255" s="53"/>
      <c r="VG255" s="53"/>
      <c r="VH255" s="53"/>
      <c r="VI255" s="53"/>
      <c r="VJ255" s="53"/>
      <c r="VK255" s="53"/>
      <c r="VL255" s="53"/>
    </row>
    <row r="256" spans="1:584" s="47" customFormat="1" ht="21.75" customHeight="1" x14ac:dyDescent="0.25">
      <c r="A256" s="45" t="s">
        <v>355</v>
      </c>
      <c r="B256" s="91" t="str">
        <f>'дод 3'!A165</f>
        <v>7321</v>
      </c>
      <c r="C256" s="91" t="str">
        <f>'дод 3'!B165</f>
        <v>0443</v>
      </c>
      <c r="D256" s="48" t="str">
        <f>'дод 3'!C165</f>
        <v>Будівництво освітніх установ та закладів</v>
      </c>
      <c r="E256" s="115">
        <v>0</v>
      </c>
      <c r="F256" s="115"/>
      <c r="G256" s="115"/>
      <c r="H256" s="115"/>
      <c r="I256" s="115"/>
      <c r="J256" s="115"/>
      <c r="K256" s="164"/>
      <c r="L256" s="115">
        <f t="shared" si="71"/>
        <v>4649908</v>
      </c>
      <c r="M256" s="115">
        <f>10600000+100000+1500000+100000-390-599610-864060+150000+500000-44680-3457-1000000-100000-4500000-1100000-50000-37895</f>
        <v>4649908</v>
      </c>
      <c r="N256" s="115"/>
      <c r="O256" s="115"/>
      <c r="P256" s="115"/>
      <c r="Q256" s="115">
        <f>10600000+100000+1500000+100000-390-599610-864060+150000+500000-44680-3457-1000000-100000-4500000-1100000-50000-37895</f>
        <v>4649908</v>
      </c>
      <c r="R256" s="115">
        <f t="shared" si="72"/>
        <v>3145341</v>
      </c>
      <c r="S256" s="115">
        <v>3145341</v>
      </c>
      <c r="T256" s="115"/>
      <c r="U256" s="115"/>
      <c r="V256" s="115"/>
      <c r="W256" s="115">
        <v>3145341</v>
      </c>
      <c r="X256" s="166">
        <f t="shared" si="60"/>
        <v>67.643080250189897</v>
      </c>
      <c r="Y256" s="115">
        <f t="shared" si="81"/>
        <v>3145341</v>
      </c>
      <c r="Z256" s="187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  <c r="GN256" s="53"/>
      <c r="GO256" s="53"/>
      <c r="GP256" s="53"/>
      <c r="GQ256" s="53"/>
      <c r="GR256" s="53"/>
      <c r="GS256" s="53"/>
      <c r="GT256" s="53"/>
      <c r="GU256" s="53"/>
      <c r="GV256" s="53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3"/>
      <c r="HO256" s="53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  <c r="HZ256" s="53"/>
      <c r="IA256" s="53"/>
      <c r="IB256" s="53"/>
      <c r="IC256" s="53"/>
      <c r="ID256" s="53"/>
      <c r="IE256" s="53"/>
      <c r="IF256" s="53"/>
      <c r="IG256" s="53"/>
      <c r="IH256" s="53"/>
      <c r="II256" s="53"/>
      <c r="IJ256" s="53"/>
      <c r="IK256" s="53"/>
      <c r="IL256" s="53"/>
      <c r="IM256" s="53"/>
      <c r="IN256" s="53"/>
      <c r="IO256" s="53"/>
      <c r="IP256" s="53"/>
      <c r="IQ256" s="53"/>
      <c r="IR256" s="53"/>
      <c r="IS256" s="53"/>
      <c r="IT256" s="53"/>
      <c r="IU256" s="53"/>
      <c r="IV256" s="53"/>
      <c r="IW256" s="53"/>
      <c r="IX256" s="53"/>
      <c r="IY256" s="53"/>
      <c r="IZ256" s="53"/>
      <c r="JA256" s="53"/>
      <c r="JB256" s="53"/>
      <c r="JC256" s="53"/>
      <c r="JD256" s="53"/>
      <c r="JE256" s="53"/>
      <c r="JF256" s="53"/>
      <c r="JG256" s="53"/>
      <c r="JH256" s="53"/>
      <c r="JI256" s="53"/>
      <c r="JJ256" s="53"/>
      <c r="JK256" s="53"/>
      <c r="JL256" s="53"/>
      <c r="JM256" s="53"/>
      <c r="JN256" s="53"/>
      <c r="JO256" s="53"/>
      <c r="JP256" s="53"/>
      <c r="JQ256" s="53"/>
      <c r="JR256" s="53"/>
      <c r="JS256" s="53"/>
      <c r="JT256" s="53"/>
      <c r="JU256" s="53"/>
      <c r="JV256" s="53"/>
      <c r="JW256" s="53"/>
      <c r="JX256" s="53"/>
      <c r="JY256" s="53"/>
      <c r="JZ256" s="53"/>
      <c r="KA256" s="53"/>
      <c r="KB256" s="53"/>
      <c r="KC256" s="53"/>
      <c r="KD256" s="53"/>
      <c r="KE256" s="53"/>
      <c r="KF256" s="53"/>
      <c r="KG256" s="53"/>
      <c r="KH256" s="53"/>
      <c r="KI256" s="53"/>
      <c r="KJ256" s="53"/>
      <c r="KK256" s="53"/>
      <c r="KL256" s="53"/>
      <c r="KM256" s="53"/>
      <c r="KN256" s="53"/>
      <c r="KO256" s="53"/>
      <c r="KP256" s="53"/>
      <c r="KQ256" s="53"/>
      <c r="KR256" s="53"/>
      <c r="KS256" s="53"/>
      <c r="KT256" s="53"/>
      <c r="KU256" s="53"/>
      <c r="KV256" s="53"/>
      <c r="KW256" s="53"/>
      <c r="KX256" s="53"/>
      <c r="KY256" s="53"/>
      <c r="KZ256" s="53"/>
      <c r="LA256" s="53"/>
      <c r="LB256" s="53"/>
      <c r="LC256" s="53"/>
      <c r="LD256" s="53"/>
      <c r="LE256" s="53"/>
      <c r="LF256" s="53"/>
      <c r="LG256" s="53"/>
      <c r="LH256" s="53"/>
      <c r="LI256" s="53"/>
      <c r="LJ256" s="53"/>
      <c r="LK256" s="53"/>
      <c r="LL256" s="53"/>
      <c r="LM256" s="53"/>
      <c r="LN256" s="53"/>
      <c r="LO256" s="53"/>
      <c r="LP256" s="53"/>
      <c r="LQ256" s="53"/>
      <c r="LR256" s="53"/>
      <c r="LS256" s="53"/>
      <c r="LT256" s="53"/>
      <c r="LU256" s="53"/>
      <c r="LV256" s="53"/>
      <c r="LW256" s="53"/>
      <c r="LX256" s="53"/>
      <c r="LY256" s="53"/>
      <c r="LZ256" s="53"/>
      <c r="MA256" s="53"/>
      <c r="MB256" s="53"/>
      <c r="MC256" s="53"/>
      <c r="MD256" s="53"/>
      <c r="ME256" s="53"/>
      <c r="MF256" s="53"/>
      <c r="MG256" s="53"/>
      <c r="MH256" s="53"/>
      <c r="MI256" s="53"/>
      <c r="MJ256" s="53"/>
      <c r="MK256" s="53"/>
      <c r="ML256" s="53"/>
      <c r="MM256" s="53"/>
      <c r="MN256" s="53"/>
      <c r="MO256" s="53"/>
      <c r="MP256" s="53"/>
      <c r="MQ256" s="53"/>
      <c r="MR256" s="53"/>
      <c r="MS256" s="53"/>
      <c r="MT256" s="53"/>
      <c r="MU256" s="53"/>
      <c r="MV256" s="53"/>
      <c r="MW256" s="53"/>
      <c r="MX256" s="53"/>
      <c r="MY256" s="53"/>
      <c r="MZ256" s="53"/>
      <c r="NA256" s="53"/>
      <c r="NB256" s="53"/>
      <c r="NC256" s="53"/>
      <c r="ND256" s="53"/>
      <c r="NE256" s="53"/>
      <c r="NF256" s="53"/>
      <c r="NG256" s="53"/>
      <c r="NH256" s="53"/>
      <c r="NI256" s="53"/>
      <c r="NJ256" s="53"/>
      <c r="NK256" s="53"/>
      <c r="NL256" s="53"/>
      <c r="NM256" s="53"/>
      <c r="NN256" s="53"/>
      <c r="NO256" s="53"/>
      <c r="NP256" s="53"/>
      <c r="NQ256" s="53"/>
      <c r="NR256" s="53"/>
      <c r="NS256" s="53"/>
      <c r="NT256" s="53"/>
      <c r="NU256" s="53"/>
      <c r="NV256" s="53"/>
      <c r="NW256" s="53"/>
      <c r="NX256" s="53"/>
      <c r="NY256" s="53"/>
      <c r="NZ256" s="53"/>
      <c r="OA256" s="53"/>
      <c r="OB256" s="53"/>
      <c r="OC256" s="53"/>
      <c r="OD256" s="53"/>
      <c r="OE256" s="53"/>
      <c r="OF256" s="53"/>
      <c r="OG256" s="53"/>
      <c r="OH256" s="53"/>
      <c r="OI256" s="53"/>
      <c r="OJ256" s="53"/>
      <c r="OK256" s="53"/>
      <c r="OL256" s="53"/>
      <c r="OM256" s="53"/>
      <c r="ON256" s="53"/>
      <c r="OO256" s="53"/>
      <c r="OP256" s="53"/>
      <c r="OQ256" s="53"/>
      <c r="OR256" s="53"/>
      <c r="OS256" s="53"/>
      <c r="OT256" s="53"/>
      <c r="OU256" s="53"/>
      <c r="OV256" s="53"/>
      <c r="OW256" s="53"/>
      <c r="OX256" s="53"/>
      <c r="OY256" s="53"/>
      <c r="OZ256" s="53"/>
      <c r="PA256" s="53"/>
      <c r="PB256" s="53"/>
      <c r="PC256" s="53"/>
      <c r="PD256" s="53"/>
      <c r="PE256" s="53"/>
      <c r="PF256" s="53"/>
      <c r="PG256" s="53"/>
      <c r="PH256" s="53"/>
      <c r="PI256" s="53"/>
      <c r="PJ256" s="53"/>
      <c r="PK256" s="53"/>
      <c r="PL256" s="53"/>
      <c r="PM256" s="53"/>
      <c r="PN256" s="53"/>
      <c r="PO256" s="53"/>
      <c r="PP256" s="53"/>
      <c r="PQ256" s="53"/>
      <c r="PR256" s="53"/>
      <c r="PS256" s="53"/>
      <c r="PT256" s="53"/>
      <c r="PU256" s="53"/>
      <c r="PV256" s="53"/>
      <c r="PW256" s="53"/>
      <c r="PX256" s="53"/>
      <c r="PY256" s="53"/>
      <c r="PZ256" s="53"/>
      <c r="QA256" s="53"/>
      <c r="QB256" s="53"/>
      <c r="QC256" s="53"/>
      <c r="QD256" s="53"/>
      <c r="QE256" s="53"/>
      <c r="QF256" s="53"/>
      <c r="QG256" s="53"/>
      <c r="QH256" s="53"/>
      <c r="QI256" s="53"/>
      <c r="QJ256" s="53"/>
      <c r="QK256" s="53"/>
      <c r="QL256" s="53"/>
      <c r="QM256" s="53"/>
      <c r="QN256" s="53"/>
      <c r="QO256" s="53"/>
      <c r="QP256" s="53"/>
      <c r="QQ256" s="53"/>
      <c r="QR256" s="53"/>
      <c r="QS256" s="53"/>
      <c r="QT256" s="53"/>
      <c r="QU256" s="53"/>
      <c r="QV256" s="53"/>
      <c r="QW256" s="53"/>
      <c r="QX256" s="53"/>
      <c r="QY256" s="53"/>
      <c r="QZ256" s="53"/>
      <c r="RA256" s="53"/>
      <c r="RB256" s="53"/>
      <c r="RC256" s="53"/>
      <c r="RD256" s="53"/>
      <c r="RE256" s="53"/>
      <c r="RF256" s="53"/>
      <c r="RG256" s="53"/>
      <c r="RH256" s="53"/>
      <c r="RI256" s="53"/>
      <c r="RJ256" s="53"/>
      <c r="RK256" s="53"/>
      <c r="RL256" s="53"/>
      <c r="RM256" s="53"/>
      <c r="RN256" s="53"/>
      <c r="RO256" s="53"/>
      <c r="RP256" s="53"/>
      <c r="RQ256" s="53"/>
      <c r="RR256" s="53"/>
      <c r="RS256" s="53"/>
      <c r="RT256" s="53"/>
      <c r="RU256" s="53"/>
      <c r="RV256" s="53"/>
      <c r="RW256" s="53"/>
      <c r="RX256" s="53"/>
      <c r="RY256" s="53"/>
      <c r="RZ256" s="53"/>
      <c r="SA256" s="53"/>
      <c r="SB256" s="53"/>
      <c r="SC256" s="53"/>
      <c r="SD256" s="53"/>
      <c r="SE256" s="53"/>
      <c r="SF256" s="53"/>
      <c r="SG256" s="53"/>
      <c r="SH256" s="53"/>
      <c r="SI256" s="53"/>
      <c r="SJ256" s="53"/>
      <c r="SK256" s="53"/>
      <c r="SL256" s="53"/>
      <c r="SM256" s="53"/>
      <c r="SN256" s="53"/>
      <c r="SO256" s="53"/>
      <c r="SP256" s="53"/>
      <c r="SQ256" s="53"/>
      <c r="SR256" s="53"/>
      <c r="SS256" s="53"/>
      <c r="ST256" s="53"/>
      <c r="SU256" s="53"/>
      <c r="SV256" s="53"/>
      <c r="SW256" s="53"/>
      <c r="SX256" s="53"/>
      <c r="SY256" s="53"/>
      <c r="SZ256" s="53"/>
      <c r="TA256" s="53"/>
      <c r="TB256" s="53"/>
      <c r="TC256" s="53"/>
      <c r="TD256" s="53"/>
      <c r="TE256" s="53"/>
      <c r="TF256" s="53"/>
      <c r="TG256" s="53"/>
      <c r="TH256" s="53"/>
      <c r="TI256" s="53"/>
      <c r="TJ256" s="53"/>
      <c r="TK256" s="53"/>
      <c r="TL256" s="53"/>
      <c r="TM256" s="53"/>
      <c r="TN256" s="53"/>
      <c r="TO256" s="53"/>
      <c r="TP256" s="53"/>
      <c r="TQ256" s="53"/>
      <c r="TR256" s="53"/>
      <c r="TS256" s="53"/>
      <c r="TT256" s="53"/>
      <c r="TU256" s="53"/>
      <c r="TV256" s="53"/>
      <c r="TW256" s="53"/>
      <c r="TX256" s="53"/>
      <c r="TY256" s="53"/>
      <c r="TZ256" s="53"/>
      <c r="UA256" s="53"/>
      <c r="UB256" s="53"/>
      <c r="UC256" s="53"/>
      <c r="UD256" s="53"/>
      <c r="UE256" s="53"/>
      <c r="UF256" s="53"/>
      <c r="UG256" s="53"/>
      <c r="UH256" s="53"/>
      <c r="UI256" s="53"/>
      <c r="UJ256" s="53"/>
      <c r="UK256" s="53"/>
      <c r="UL256" s="53"/>
      <c r="UM256" s="53"/>
      <c r="UN256" s="53"/>
      <c r="UO256" s="53"/>
      <c r="UP256" s="53"/>
      <c r="UQ256" s="53"/>
      <c r="UR256" s="53"/>
      <c r="US256" s="53"/>
      <c r="UT256" s="53"/>
      <c r="UU256" s="53"/>
      <c r="UV256" s="53"/>
      <c r="UW256" s="53"/>
      <c r="UX256" s="53"/>
      <c r="UY256" s="53"/>
      <c r="UZ256" s="53"/>
      <c r="VA256" s="53"/>
      <c r="VB256" s="53"/>
      <c r="VC256" s="53"/>
      <c r="VD256" s="53"/>
      <c r="VE256" s="53"/>
      <c r="VF256" s="53"/>
      <c r="VG256" s="53"/>
      <c r="VH256" s="53"/>
      <c r="VI256" s="53"/>
      <c r="VJ256" s="53"/>
      <c r="VK256" s="53"/>
      <c r="VL256" s="53"/>
    </row>
    <row r="257" spans="1:584" s="47" customFormat="1" ht="18" customHeight="1" x14ac:dyDescent="0.25">
      <c r="A257" s="45" t="s">
        <v>357</v>
      </c>
      <c r="B257" s="91" t="str">
        <f>'дод 3'!A166</f>
        <v>7322</v>
      </c>
      <c r="C257" s="91" t="str">
        <f>'дод 3'!B166</f>
        <v>0443</v>
      </c>
      <c r="D257" s="48" t="str">
        <f>'дод 3'!C166</f>
        <v>Будівництво медичних установ та закладів</v>
      </c>
      <c r="E257" s="115">
        <v>0</v>
      </c>
      <c r="F257" s="115"/>
      <c r="G257" s="115"/>
      <c r="H257" s="115"/>
      <c r="I257" s="115"/>
      <c r="J257" s="115"/>
      <c r="K257" s="164"/>
      <c r="L257" s="115">
        <f t="shared" si="71"/>
        <v>7316671</v>
      </c>
      <c r="M257" s="115">
        <f>4000000+100000+100000+3300000+900000+764000+700000-700000+400000-1464000-500000-215000+35000-103329</f>
        <v>7316671</v>
      </c>
      <c r="N257" s="115"/>
      <c r="O257" s="115"/>
      <c r="P257" s="115"/>
      <c r="Q257" s="115">
        <f>4000000+100000+100000+3300000+900000+764000+700000-700000+400000-1464000-500000-215000+35000-103329</f>
        <v>7316671</v>
      </c>
      <c r="R257" s="115">
        <f t="shared" si="72"/>
        <v>5304014</v>
      </c>
      <c r="S257" s="115">
        <v>5304014</v>
      </c>
      <c r="T257" s="115"/>
      <c r="U257" s="115"/>
      <c r="V257" s="115"/>
      <c r="W257" s="115">
        <v>5304014</v>
      </c>
      <c r="X257" s="166">
        <f t="shared" si="60"/>
        <v>72.49217574495286</v>
      </c>
      <c r="Y257" s="115">
        <f t="shared" si="81"/>
        <v>5304014</v>
      </c>
      <c r="Z257" s="187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  <c r="GN257" s="53"/>
      <c r="GO257" s="53"/>
      <c r="GP257" s="53"/>
      <c r="GQ257" s="53"/>
      <c r="GR257" s="53"/>
      <c r="GS257" s="53"/>
      <c r="GT257" s="53"/>
      <c r="GU257" s="53"/>
      <c r="GV257" s="53"/>
      <c r="GW257" s="53"/>
      <c r="GX257" s="53"/>
      <c r="GY257" s="53"/>
      <c r="GZ257" s="53"/>
      <c r="HA257" s="53"/>
      <c r="HB257" s="53"/>
      <c r="HC257" s="53"/>
      <c r="HD257" s="53"/>
      <c r="HE257" s="53"/>
      <c r="HF257" s="53"/>
      <c r="HG257" s="53"/>
      <c r="HH257" s="53"/>
      <c r="HI257" s="53"/>
      <c r="HJ257" s="53"/>
      <c r="HK257" s="53"/>
      <c r="HL257" s="53"/>
      <c r="HM257" s="53"/>
      <c r="HN257" s="53"/>
      <c r="HO257" s="53"/>
      <c r="HP257" s="53"/>
      <c r="HQ257" s="53"/>
      <c r="HR257" s="53"/>
      <c r="HS257" s="53"/>
      <c r="HT257" s="53"/>
      <c r="HU257" s="53"/>
      <c r="HV257" s="53"/>
      <c r="HW257" s="53"/>
      <c r="HX257" s="53"/>
      <c r="HY257" s="53"/>
      <c r="HZ257" s="53"/>
      <c r="IA257" s="53"/>
      <c r="IB257" s="53"/>
      <c r="IC257" s="53"/>
      <c r="ID257" s="53"/>
      <c r="IE257" s="53"/>
      <c r="IF257" s="53"/>
      <c r="IG257" s="53"/>
      <c r="IH257" s="53"/>
      <c r="II257" s="53"/>
      <c r="IJ257" s="53"/>
      <c r="IK257" s="53"/>
      <c r="IL257" s="53"/>
      <c r="IM257" s="53"/>
      <c r="IN257" s="53"/>
      <c r="IO257" s="53"/>
      <c r="IP257" s="53"/>
      <c r="IQ257" s="53"/>
      <c r="IR257" s="53"/>
      <c r="IS257" s="53"/>
      <c r="IT257" s="53"/>
      <c r="IU257" s="53"/>
      <c r="IV257" s="53"/>
      <c r="IW257" s="53"/>
      <c r="IX257" s="53"/>
      <c r="IY257" s="53"/>
      <c r="IZ257" s="53"/>
      <c r="JA257" s="53"/>
      <c r="JB257" s="53"/>
      <c r="JC257" s="53"/>
      <c r="JD257" s="53"/>
      <c r="JE257" s="53"/>
      <c r="JF257" s="53"/>
      <c r="JG257" s="53"/>
      <c r="JH257" s="53"/>
      <c r="JI257" s="53"/>
      <c r="JJ257" s="53"/>
      <c r="JK257" s="53"/>
      <c r="JL257" s="53"/>
      <c r="JM257" s="53"/>
      <c r="JN257" s="53"/>
      <c r="JO257" s="53"/>
      <c r="JP257" s="53"/>
      <c r="JQ257" s="53"/>
      <c r="JR257" s="53"/>
      <c r="JS257" s="53"/>
      <c r="JT257" s="53"/>
      <c r="JU257" s="53"/>
      <c r="JV257" s="53"/>
      <c r="JW257" s="53"/>
      <c r="JX257" s="53"/>
      <c r="JY257" s="53"/>
      <c r="JZ257" s="53"/>
      <c r="KA257" s="53"/>
      <c r="KB257" s="53"/>
      <c r="KC257" s="53"/>
      <c r="KD257" s="53"/>
      <c r="KE257" s="53"/>
      <c r="KF257" s="53"/>
      <c r="KG257" s="53"/>
      <c r="KH257" s="53"/>
      <c r="KI257" s="53"/>
      <c r="KJ257" s="53"/>
      <c r="KK257" s="53"/>
      <c r="KL257" s="53"/>
      <c r="KM257" s="53"/>
      <c r="KN257" s="53"/>
      <c r="KO257" s="53"/>
      <c r="KP257" s="53"/>
      <c r="KQ257" s="53"/>
      <c r="KR257" s="53"/>
      <c r="KS257" s="53"/>
      <c r="KT257" s="53"/>
      <c r="KU257" s="53"/>
      <c r="KV257" s="53"/>
      <c r="KW257" s="53"/>
      <c r="KX257" s="53"/>
      <c r="KY257" s="53"/>
      <c r="KZ257" s="53"/>
      <c r="LA257" s="53"/>
      <c r="LB257" s="53"/>
      <c r="LC257" s="53"/>
      <c r="LD257" s="53"/>
      <c r="LE257" s="53"/>
      <c r="LF257" s="53"/>
      <c r="LG257" s="53"/>
      <c r="LH257" s="53"/>
      <c r="LI257" s="53"/>
      <c r="LJ257" s="53"/>
      <c r="LK257" s="53"/>
      <c r="LL257" s="53"/>
      <c r="LM257" s="53"/>
      <c r="LN257" s="53"/>
      <c r="LO257" s="53"/>
      <c r="LP257" s="53"/>
      <c r="LQ257" s="53"/>
      <c r="LR257" s="53"/>
      <c r="LS257" s="53"/>
      <c r="LT257" s="53"/>
      <c r="LU257" s="53"/>
      <c r="LV257" s="53"/>
      <c r="LW257" s="53"/>
      <c r="LX257" s="53"/>
      <c r="LY257" s="53"/>
      <c r="LZ257" s="53"/>
      <c r="MA257" s="53"/>
      <c r="MB257" s="53"/>
      <c r="MC257" s="53"/>
      <c r="MD257" s="53"/>
      <c r="ME257" s="53"/>
      <c r="MF257" s="53"/>
      <c r="MG257" s="53"/>
      <c r="MH257" s="53"/>
      <c r="MI257" s="53"/>
      <c r="MJ257" s="53"/>
      <c r="MK257" s="53"/>
      <c r="ML257" s="53"/>
      <c r="MM257" s="53"/>
      <c r="MN257" s="53"/>
      <c r="MO257" s="53"/>
      <c r="MP257" s="53"/>
      <c r="MQ257" s="53"/>
      <c r="MR257" s="53"/>
      <c r="MS257" s="53"/>
      <c r="MT257" s="53"/>
      <c r="MU257" s="53"/>
      <c r="MV257" s="53"/>
      <c r="MW257" s="53"/>
      <c r="MX257" s="53"/>
      <c r="MY257" s="53"/>
      <c r="MZ257" s="53"/>
      <c r="NA257" s="53"/>
      <c r="NB257" s="53"/>
      <c r="NC257" s="53"/>
      <c r="ND257" s="53"/>
      <c r="NE257" s="53"/>
      <c r="NF257" s="53"/>
      <c r="NG257" s="53"/>
      <c r="NH257" s="53"/>
      <c r="NI257" s="53"/>
      <c r="NJ257" s="53"/>
      <c r="NK257" s="53"/>
      <c r="NL257" s="53"/>
      <c r="NM257" s="53"/>
      <c r="NN257" s="53"/>
      <c r="NO257" s="53"/>
      <c r="NP257" s="53"/>
      <c r="NQ257" s="53"/>
      <c r="NR257" s="53"/>
      <c r="NS257" s="53"/>
      <c r="NT257" s="53"/>
      <c r="NU257" s="53"/>
      <c r="NV257" s="53"/>
      <c r="NW257" s="53"/>
      <c r="NX257" s="53"/>
      <c r="NY257" s="53"/>
      <c r="NZ257" s="53"/>
      <c r="OA257" s="53"/>
      <c r="OB257" s="53"/>
      <c r="OC257" s="53"/>
      <c r="OD257" s="53"/>
      <c r="OE257" s="53"/>
      <c r="OF257" s="53"/>
      <c r="OG257" s="53"/>
      <c r="OH257" s="53"/>
      <c r="OI257" s="53"/>
      <c r="OJ257" s="53"/>
      <c r="OK257" s="53"/>
      <c r="OL257" s="53"/>
      <c r="OM257" s="53"/>
      <c r="ON257" s="53"/>
      <c r="OO257" s="53"/>
      <c r="OP257" s="53"/>
      <c r="OQ257" s="53"/>
      <c r="OR257" s="53"/>
      <c r="OS257" s="53"/>
      <c r="OT257" s="53"/>
      <c r="OU257" s="53"/>
      <c r="OV257" s="53"/>
      <c r="OW257" s="53"/>
      <c r="OX257" s="53"/>
      <c r="OY257" s="53"/>
      <c r="OZ257" s="53"/>
      <c r="PA257" s="53"/>
      <c r="PB257" s="53"/>
      <c r="PC257" s="53"/>
      <c r="PD257" s="53"/>
      <c r="PE257" s="53"/>
      <c r="PF257" s="53"/>
      <c r="PG257" s="53"/>
      <c r="PH257" s="53"/>
      <c r="PI257" s="53"/>
      <c r="PJ257" s="53"/>
      <c r="PK257" s="53"/>
      <c r="PL257" s="53"/>
      <c r="PM257" s="53"/>
      <c r="PN257" s="53"/>
      <c r="PO257" s="53"/>
      <c r="PP257" s="53"/>
      <c r="PQ257" s="53"/>
      <c r="PR257" s="53"/>
      <c r="PS257" s="53"/>
      <c r="PT257" s="53"/>
      <c r="PU257" s="53"/>
      <c r="PV257" s="53"/>
      <c r="PW257" s="53"/>
      <c r="PX257" s="53"/>
      <c r="PY257" s="53"/>
      <c r="PZ257" s="53"/>
      <c r="QA257" s="53"/>
      <c r="QB257" s="53"/>
      <c r="QC257" s="53"/>
      <c r="QD257" s="53"/>
      <c r="QE257" s="53"/>
      <c r="QF257" s="53"/>
      <c r="QG257" s="53"/>
      <c r="QH257" s="53"/>
      <c r="QI257" s="53"/>
      <c r="QJ257" s="53"/>
      <c r="QK257" s="53"/>
      <c r="QL257" s="53"/>
      <c r="QM257" s="53"/>
      <c r="QN257" s="53"/>
      <c r="QO257" s="53"/>
      <c r="QP257" s="53"/>
      <c r="QQ257" s="53"/>
      <c r="QR257" s="53"/>
      <c r="QS257" s="53"/>
      <c r="QT257" s="53"/>
      <c r="QU257" s="53"/>
      <c r="QV257" s="53"/>
      <c r="QW257" s="53"/>
      <c r="QX257" s="53"/>
      <c r="QY257" s="53"/>
      <c r="QZ257" s="53"/>
      <c r="RA257" s="53"/>
      <c r="RB257" s="53"/>
      <c r="RC257" s="53"/>
      <c r="RD257" s="53"/>
      <c r="RE257" s="53"/>
      <c r="RF257" s="53"/>
      <c r="RG257" s="53"/>
      <c r="RH257" s="53"/>
      <c r="RI257" s="53"/>
      <c r="RJ257" s="53"/>
      <c r="RK257" s="53"/>
      <c r="RL257" s="53"/>
      <c r="RM257" s="53"/>
      <c r="RN257" s="53"/>
      <c r="RO257" s="53"/>
      <c r="RP257" s="53"/>
      <c r="RQ257" s="53"/>
      <c r="RR257" s="53"/>
      <c r="RS257" s="53"/>
      <c r="RT257" s="53"/>
      <c r="RU257" s="53"/>
      <c r="RV257" s="53"/>
      <c r="RW257" s="53"/>
      <c r="RX257" s="53"/>
      <c r="RY257" s="53"/>
      <c r="RZ257" s="53"/>
      <c r="SA257" s="53"/>
      <c r="SB257" s="53"/>
      <c r="SC257" s="53"/>
      <c r="SD257" s="53"/>
      <c r="SE257" s="53"/>
      <c r="SF257" s="53"/>
      <c r="SG257" s="53"/>
      <c r="SH257" s="53"/>
      <c r="SI257" s="53"/>
      <c r="SJ257" s="53"/>
      <c r="SK257" s="53"/>
      <c r="SL257" s="53"/>
      <c r="SM257" s="53"/>
      <c r="SN257" s="53"/>
      <c r="SO257" s="53"/>
      <c r="SP257" s="53"/>
      <c r="SQ257" s="53"/>
      <c r="SR257" s="53"/>
      <c r="SS257" s="53"/>
      <c r="ST257" s="53"/>
      <c r="SU257" s="53"/>
      <c r="SV257" s="53"/>
      <c r="SW257" s="53"/>
      <c r="SX257" s="53"/>
      <c r="SY257" s="53"/>
      <c r="SZ257" s="53"/>
      <c r="TA257" s="53"/>
      <c r="TB257" s="53"/>
      <c r="TC257" s="53"/>
      <c r="TD257" s="53"/>
      <c r="TE257" s="53"/>
      <c r="TF257" s="53"/>
      <c r="TG257" s="53"/>
      <c r="TH257" s="53"/>
      <c r="TI257" s="53"/>
      <c r="TJ257" s="53"/>
      <c r="TK257" s="53"/>
      <c r="TL257" s="53"/>
      <c r="TM257" s="53"/>
      <c r="TN257" s="53"/>
      <c r="TO257" s="53"/>
      <c r="TP257" s="53"/>
      <c r="TQ257" s="53"/>
      <c r="TR257" s="53"/>
      <c r="TS257" s="53"/>
      <c r="TT257" s="53"/>
      <c r="TU257" s="53"/>
      <c r="TV257" s="53"/>
      <c r="TW257" s="53"/>
      <c r="TX257" s="53"/>
      <c r="TY257" s="53"/>
      <c r="TZ257" s="53"/>
      <c r="UA257" s="53"/>
      <c r="UB257" s="53"/>
      <c r="UC257" s="53"/>
      <c r="UD257" s="53"/>
      <c r="UE257" s="53"/>
      <c r="UF257" s="53"/>
      <c r="UG257" s="53"/>
      <c r="UH257" s="53"/>
      <c r="UI257" s="53"/>
      <c r="UJ257" s="53"/>
      <c r="UK257" s="53"/>
      <c r="UL257" s="53"/>
      <c r="UM257" s="53"/>
      <c r="UN257" s="53"/>
      <c r="UO257" s="53"/>
      <c r="UP257" s="53"/>
      <c r="UQ257" s="53"/>
      <c r="UR257" s="53"/>
      <c r="US257" s="53"/>
      <c r="UT257" s="53"/>
      <c r="UU257" s="53"/>
      <c r="UV257" s="53"/>
      <c r="UW257" s="53"/>
      <c r="UX257" s="53"/>
      <c r="UY257" s="53"/>
      <c r="UZ257" s="53"/>
      <c r="VA257" s="53"/>
      <c r="VB257" s="53"/>
      <c r="VC257" s="53"/>
      <c r="VD257" s="53"/>
      <c r="VE257" s="53"/>
      <c r="VF257" s="53"/>
      <c r="VG257" s="53"/>
      <c r="VH257" s="53"/>
      <c r="VI257" s="53"/>
      <c r="VJ257" s="53"/>
      <c r="VK257" s="53"/>
      <c r="VL257" s="53"/>
    </row>
    <row r="258" spans="1:584" s="47" customFormat="1" ht="36" hidden="1" customHeight="1" x14ac:dyDescent="0.25">
      <c r="A258" s="45" t="s">
        <v>359</v>
      </c>
      <c r="B258" s="91" t="str">
        <f>'дод 3'!A167</f>
        <v>7325</v>
      </c>
      <c r="C258" s="91" t="str">
        <f>'дод 3'!B167</f>
        <v>0443</v>
      </c>
      <c r="D258" s="48" t="str">
        <f>'дод 3'!C167</f>
        <v>Будівництво споруд, установ та закладів фізичної культури і спорту</v>
      </c>
      <c r="E258" s="115">
        <v>0</v>
      </c>
      <c r="F258" s="115"/>
      <c r="G258" s="115"/>
      <c r="H258" s="115"/>
      <c r="I258" s="115"/>
      <c r="J258" s="115"/>
      <c r="K258" s="164" t="e">
        <f t="shared" si="59"/>
        <v>#DIV/0!</v>
      </c>
      <c r="L258" s="115">
        <f t="shared" si="71"/>
        <v>0</v>
      </c>
      <c r="M258" s="115">
        <f>10000000-2000000+1181651-1000-150000-7000000-2000000-30651</f>
        <v>0</v>
      </c>
      <c r="N258" s="115"/>
      <c r="O258" s="115"/>
      <c r="P258" s="115"/>
      <c r="Q258" s="115">
        <f>10000000-2000000+1181651-1000-150000-7000000-2000000-30651</f>
        <v>0</v>
      </c>
      <c r="R258" s="115">
        <f t="shared" si="72"/>
        <v>0</v>
      </c>
      <c r="S258" s="115"/>
      <c r="T258" s="115"/>
      <c r="U258" s="115"/>
      <c r="V258" s="115"/>
      <c r="W258" s="115"/>
      <c r="X258" s="166" t="e">
        <f t="shared" si="60"/>
        <v>#DIV/0!</v>
      </c>
      <c r="Y258" s="115">
        <f t="shared" si="81"/>
        <v>0</v>
      </c>
      <c r="Z258" s="187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  <c r="GN258" s="53"/>
      <c r="GO258" s="53"/>
      <c r="GP258" s="53"/>
      <c r="GQ258" s="53"/>
      <c r="GR258" s="53"/>
      <c r="GS258" s="53"/>
      <c r="GT258" s="53"/>
      <c r="GU258" s="53"/>
      <c r="GV258" s="53"/>
      <c r="GW258" s="53"/>
      <c r="GX258" s="53"/>
      <c r="GY258" s="53"/>
      <c r="GZ258" s="53"/>
      <c r="HA258" s="53"/>
      <c r="HB258" s="53"/>
      <c r="HC258" s="53"/>
      <c r="HD258" s="53"/>
      <c r="HE258" s="53"/>
      <c r="HF258" s="53"/>
      <c r="HG258" s="53"/>
      <c r="HH258" s="53"/>
      <c r="HI258" s="53"/>
      <c r="HJ258" s="53"/>
      <c r="HK258" s="53"/>
      <c r="HL258" s="53"/>
      <c r="HM258" s="53"/>
      <c r="HN258" s="53"/>
      <c r="HO258" s="53"/>
      <c r="HP258" s="53"/>
      <c r="HQ258" s="53"/>
      <c r="HR258" s="53"/>
      <c r="HS258" s="53"/>
      <c r="HT258" s="53"/>
      <c r="HU258" s="53"/>
      <c r="HV258" s="53"/>
      <c r="HW258" s="53"/>
      <c r="HX258" s="53"/>
      <c r="HY258" s="53"/>
      <c r="HZ258" s="53"/>
      <c r="IA258" s="53"/>
      <c r="IB258" s="53"/>
      <c r="IC258" s="53"/>
      <c r="ID258" s="53"/>
      <c r="IE258" s="53"/>
      <c r="IF258" s="53"/>
      <c r="IG258" s="53"/>
      <c r="IH258" s="53"/>
      <c r="II258" s="53"/>
      <c r="IJ258" s="53"/>
      <c r="IK258" s="53"/>
      <c r="IL258" s="53"/>
      <c r="IM258" s="53"/>
      <c r="IN258" s="53"/>
      <c r="IO258" s="53"/>
      <c r="IP258" s="53"/>
      <c r="IQ258" s="53"/>
      <c r="IR258" s="53"/>
      <c r="IS258" s="53"/>
      <c r="IT258" s="53"/>
      <c r="IU258" s="53"/>
      <c r="IV258" s="53"/>
      <c r="IW258" s="53"/>
      <c r="IX258" s="53"/>
      <c r="IY258" s="53"/>
      <c r="IZ258" s="53"/>
      <c r="JA258" s="53"/>
      <c r="JB258" s="53"/>
      <c r="JC258" s="53"/>
      <c r="JD258" s="53"/>
      <c r="JE258" s="53"/>
      <c r="JF258" s="53"/>
      <c r="JG258" s="53"/>
      <c r="JH258" s="53"/>
      <c r="JI258" s="53"/>
      <c r="JJ258" s="53"/>
      <c r="JK258" s="53"/>
      <c r="JL258" s="53"/>
      <c r="JM258" s="53"/>
      <c r="JN258" s="53"/>
      <c r="JO258" s="53"/>
      <c r="JP258" s="53"/>
      <c r="JQ258" s="53"/>
      <c r="JR258" s="53"/>
      <c r="JS258" s="53"/>
      <c r="JT258" s="53"/>
      <c r="JU258" s="53"/>
      <c r="JV258" s="53"/>
      <c r="JW258" s="53"/>
      <c r="JX258" s="53"/>
      <c r="JY258" s="53"/>
      <c r="JZ258" s="53"/>
      <c r="KA258" s="53"/>
      <c r="KB258" s="53"/>
      <c r="KC258" s="53"/>
      <c r="KD258" s="53"/>
      <c r="KE258" s="53"/>
      <c r="KF258" s="53"/>
      <c r="KG258" s="53"/>
      <c r="KH258" s="53"/>
      <c r="KI258" s="53"/>
      <c r="KJ258" s="53"/>
      <c r="KK258" s="53"/>
      <c r="KL258" s="53"/>
      <c r="KM258" s="53"/>
      <c r="KN258" s="53"/>
      <c r="KO258" s="53"/>
      <c r="KP258" s="53"/>
      <c r="KQ258" s="53"/>
      <c r="KR258" s="53"/>
      <c r="KS258" s="53"/>
      <c r="KT258" s="53"/>
      <c r="KU258" s="53"/>
      <c r="KV258" s="53"/>
      <c r="KW258" s="53"/>
      <c r="KX258" s="53"/>
      <c r="KY258" s="53"/>
      <c r="KZ258" s="53"/>
      <c r="LA258" s="53"/>
      <c r="LB258" s="53"/>
      <c r="LC258" s="53"/>
      <c r="LD258" s="53"/>
      <c r="LE258" s="53"/>
      <c r="LF258" s="53"/>
      <c r="LG258" s="53"/>
      <c r="LH258" s="53"/>
      <c r="LI258" s="53"/>
      <c r="LJ258" s="53"/>
      <c r="LK258" s="53"/>
      <c r="LL258" s="53"/>
      <c r="LM258" s="53"/>
      <c r="LN258" s="53"/>
      <c r="LO258" s="53"/>
      <c r="LP258" s="53"/>
      <c r="LQ258" s="53"/>
      <c r="LR258" s="53"/>
      <c r="LS258" s="53"/>
      <c r="LT258" s="53"/>
      <c r="LU258" s="53"/>
      <c r="LV258" s="53"/>
      <c r="LW258" s="53"/>
      <c r="LX258" s="53"/>
      <c r="LY258" s="53"/>
      <c r="LZ258" s="53"/>
      <c r="MA258" s="53"/>
      <c r="MB258" s="53"/>
      <c r="MC258" s="53"/>
      <c r="MD258" s="53"/>
      <c r="ME258" s="53"/>
      <c r="MF258" s="53"/>
      <c r="MG258" s="53"/>
      <c r="MH258" s="53"/>
      <c r="MI258" s="53"/>
      <c r="MJ258" s="53"/>
      <c r="MK258" s="53"/>
      <c r="ML258" s="53"/>
      <c r="MM258" s="53"/>
      <c r="MN258" s="53"/>
      <c r="MO258" s="53"/>
      <c r="MP258" s="53"/>
      <c r="MQ258" s="53"/>
      <c r="MR258" s="53"/>
      <c r="MS258" s="53"/>
      <c r="MT258" s="53"/>
      <c r="MU258" s="53"/>
      <c r="MV258" s="53"/>
      <c r="MW258" s="53"/>
      <c r="MX258" s="53"/>
      <c r="MY258" s="53"/>
      <c r="MZ258" s="53"/>
      <c r="NA258" s="53"/>
      <c r="NB258" s="53"/>
      <c r="NC258" s="53"/>
      <c r="ND258" s="53"/>
      <c r="NE258" s="53"/>
      <c r="NF258" s="53"/>
      <c r="NG258" s="53"/>
      <c r="NH258" s="53"/>
      <c r="NI258" s="53"/>
      <c r="NJ258" s="53"/>
      <c r="NK258" s="53"/>
      <c r="NL258" s="53"/>
      <c r="NM258" s="53"/>
      <c r="NN258" s="53"/>
      <c r="NO258" s="53"/>
      <c r="NP258" s="53"/>
      <c r="NQ258" s="53"/>
      <c r="NR258" s="53"/>
      <c r="NS258" s="53"/>
      <c r="NT258" s="53"/>
      <c r="NU258" s="53"/>
      <c r="NV258" s="53"/>
      <c r="NW258" s="53"/>
      <c r="NX258" s="53"/>
      <c r="NY258" s="53"/>
      <c r="NZ258" s="53"/>
      <c r="OA258" s="53"/>
      <c r="OB258" s="53"/>
      <c r="OC258" s="53"/>
      <c r="OD258" s="53"/>
      <c r="OE258" s="53"/>
      <c r="OF258" s="53"/>
      <c r="OG258" s="53"/>
      <c r="OH258" s="53"/>
      <c r="OI258" s="53"/>
      <c r="OJ258" s="53"/>
      <c r="OK258" s="53"/>
      <c r="OL258" s="53"/>
      <c r="OM258" s="53"/>
      <c r="ON258" s="53"/>
      <c r="OO258" s="53"/>
      <c r="OP258" s="53"/>
      <c r="OQ258" s="53"/>
      <c r="OR258" s="53"/>
      <c r="OS258" s="53"/>
      <c r="OT258" s="53"/>
      <c r="OU258" s="53"/>
      <c r="OV258" s="53"/>
      <c r="OW258" s="53"/>
      <c r="OX258" s="53"/>
      <c r="OY258" s="53"/>
      <c r="OZ258" s="53"/>
      <c r="PA258" s="53"/>
      <c r="PB258" s="53"/>
      <c r="PC258" s="53"/>
      <c r="PD258" s="53"/>
      <c r="PE258" s="53"/>
      <c r="PF258" s="53"/>
      <c r="PG258" s="53"/>
      <c r="PH258" s="53"/>
      <c r="PI258" s="53"/>
      <c r="PJ258" s="53"/>
      <c r="PK258" s="53"/>
      <c r="PL258" s="53"/>
      <c r="PM258" s="53"/>
      <c r="PN258" s="53"/>
      <c r="PO258" s="53"/>
      <c r="PP258" s="53"/>
      <c r="PQ258" s="53"/>
      <c r="PR258" s="53"/>
      <c r="PS258" s="53"/>
      <c r="PT258" s="53"/>
      <c r="PU258" s="53"/>
      <c r="PV258" s="53"/>
      <c r="PW258" s="53"/>
      <c r="PX258" s="53"/>
      <c r="PY258" s="53"/>
      <c r="PZ258" s="53"/>
      <c r="QA258" s="53"/>
      <c r="QB258" s="53"/>
      <c r="QC258" s="53"/>
      <c r="QD258" s="53"/>
      <c r="QE258" s="53"/>
      <c r="QF258" s="53"/>
      <c r="QG258" s="53"/>
      <c r="QH258" s="53"/>
      <c r="QI258" s="53"/>
      <c r="QJ258" s="53"/>
      <c r="QK258" s="53"/>
      <c r="QL258" s="53"/>
      <c r="QM258" s="53"/>
      <c r="QN258" s="53"/>
      <c r="QO258" s="53"/>
      <c r="QP258" s="53"/>
      <c r="QQ258" s="53"/>
      <c r="QR258" s="53"/>
      <c r="QS258" s="53"/>
      <c r="QT258" s="53"/>
      <c r="QU258" s="53"/>
      <c r="QV258" s="53"/>
      <c r="QW258" s="53"/>
      <c r="QX258" s="53"/>
      <c r="QY258" s="53"/>
      <c r="QZ258" s="53"/>
      <c r="RA258" s="53"/>
      <c r="RB258" s="53"/>
      <c r="RC258" s="53"/>
      <c r="RD258" s="53"/>
      <c r="RE258" s="53"/>
      <c r="RF258" s="53"/>
      <c r="RG258" s="53"/>
      <c r="RH258" s="53"/>
      <c r="RI258" s="53"/>
      <c r="RJ258" s="53"/>
      <c r="RK258" s="53"/>
      <c r="RL258" s="53"/>
      <c r="RM258" s="53"/>
      <c r="RN258" s="53"/>
      <c r="RO258" s="53"/>
      <c r="RP258" s="53"/>
      <c r="RQ258" s="53"/>
      <c r="RR258" s="53"/>
      <c r="RS258" s="53"/>
      <c r="RT258" s="53"/>
      <c r="RU258" s="53"/>
      <c r="RV258" s="53"/>
      <c r="RW258" s="53"/>
      <c r="RX258" s="53"/>
      <c r="RY258" s="53"/>
      <c r="RZ258" s="53"/>
      <c r="SA258" s="53"/>
      <c r="SB258" s="53"/>
      <c r="SC258" s="53"/>
      <c r="SD258" s="53"/>
      <c r="SE258" s="53"/>
      <c r="SF258" s="53"/>
      <c r="SG258" s="53"/>
      <c r="SH258" s="53"/>
      <c r="SI258" s="53"/>
      <c r="SJ258" s="53"/>
      <c r="SK258" s="53"/>
      <c r="SL258" s="53"/>
      <c r="SM258" s="53"/>
      <c r="SN258" s="53"/>
      <c r="SO258" s="53"/>
      <c r="SP258" s="53"/>
      <c r="SQ258" s="53"/>
      <c r="SR258" s="53"/>
      <c r="SS258" s="53"/>
      <c r="ST258" s="53"/>
      <c r="SU258" s="53"/>
      <c r="SV258" s="53"/>
      <c r="SW258" s="53"/>
      <c r="SX258" s="53"/>
      <c r="SY258" s="53"/>
      <c r="SZ258" s="53"/>
      <c r="TA258" s="53"/>
      <c r="TB258" s="53"/>
      <c r="TC258" s="53"/>
      <c r="TD258" s="53"/>
      <c r="TE258" s="53"/>
      <c r="TF258" s="53"/>
      <c r="TG258" s="53"/>
      <c r="TH258" s="53"/>
      <c r="TI258" s="53"/>
      <c r="TJ258" s="53"/>
      <c r="TK258" s="53"/>
      <c r="TL258" s="53"/>
      <c r="TM258" s="53"/>
      <c r="TN258" s="53"/>
      <c r="TO258" s="53"/>
      <c r="TP258" s="53"/>
      <c r="TQ258" s="53"/>
      <c r="TR258" s="53"/>
      <c r="TS258" s="53"/>
      <c r="TT258" s="53"/>
      <c r="TU258" s="53"/>
      <c r="TV258" s="53"/>
      <c r="TW258" s="53"/>
      <c r="TX258" s="53"/>
      <c r="TY258" s="53"/>
      <c r="TZ258" s="53"/>
      <c r="UA258" s="53"/>
      <c r="UB258" s="53"/>
      <c r="UC258" s="53"/>
      <c r="UD258" s="53"/>
      <c r="UE258" s="53"/>
      <c r="UF258" s="53"/>
      <c r="UG258" s="53"/>
      <c r="UH258" s="53"/>
      <c r="UI258" s="53"/>
      <c r="UJ258" s="53"/>
      <c r="UK258" s="53"/>
      <c r="UL258" s="53"/>
      <c r="UM258" s="53"/>
      <c r="UN258" s="53"/>
      <c r="UO258" s="53"/>
      <c r="UP258" s="53"/>
      <c r="UQ258" s="53"/>
      <c r="UR258" s="53"/>
      <c r="US258" s="53"/>
      <c r="UT258" s="53"/>
      <c r="UU258" s="53"/>
      <c r="UV258" s="53"/>
      <c r="UW258" s="53"/>
      <c r="UX258" s="53"/>
      <c r="UY258" s="53"/>
      <c r="UZ258" s="53"/>
      <c r="VA258" s="53"/>
      <c r="VB258" s="53"/>
      <c r="VC258" s="53"/>
      <c r="VD258" s="53"/>
      <c r="VE258" s="53"/>
      <c r="VF258" s="53"/>
      <c r="VG258" s="53"/>
      <c r="VH258" s="53"/>
      <c r="VI258" s="53"/>
      <c r="VJ258" s="53"/>
      <c r="VK258" s="53"/>
      <c r="VL258" s="53"/>
    </row>
    <row r="259" spans="1:584" s="47" customFormat="1" ht="23.25" customHeight="1" x14ac:dyDescent="0.25">
      <c r="A259" s="45" t="s">
        <v>361</v>
      </c>
      <c r="B259" s="91" t="str">
        <f>'дод 3'!A168</f>
        <v>7330</v>
      </c>
      <c r="C259" s="91" t="str">
        <f>'дод 3'!B168</f>
        <v>0443</v>
      </c>
      <c r="D259" s="48" t="str">
        <f>'дод 3'!C168</f>
        <v>Будівництво інших об'єктів комунальної власності</v>
      </c>
      <c r="E259" s="115">
        <v>0</v>
      </c>
      <c r="F259" s="115"/>
      <c r="G259" s="115"/>
      <c r="H259" s="115"/>
      <c r="I259" s="115"/>
      <c r="J259" s="115"/>
      <c r="K259" s="164"/>
      <c r="L259" s="115">
        <f t="shared" si="71"/>
        <v>36319262</v>
      </c>
      <c r="M259" s="115">
        <f>44100000-6900000-3000000+180000-8562214+3761733-1000000-2000000+175500+1058000-50000-896543+80000+30000-2300000+1000000+1100000-1850000+7000000+1850000+500000+4680000-300000-35000-300000+50000-170000-1882214</f>
        <v>36319262</v>
      </c>
      <c r="N259" s="115"/>
      <c r="O259" s="115"/>
      <c r="P259" s="115"/>
      <c r="Q259" s="115">
        <f>44100000-6900000-3000000-8562214+3761733-1000000-2000000+175500+1058000-50000-896543+80000+30000-2300000+1000000+1100000-1850000+7000000+1850000+180000+500000+4680000-300000-35000-300000+50000-170000-1882214</f>
        <v>36319262</v>
      </c>
      <c r="R259" s="115">
        <f t="shared" si="72"/>
        <v>26646800</v>
      </c>
      <c r="S259" s="115">
        <v>26646800</v>
      </c>
      <c r="T259" s="115"/>
      <c r="U259" s="115"/>
      <c r="V259" s="115"/>
      <c r="W259" s="115">
        <v>26646800</v>
      </c>
      <c r="X259" s="166">
        <f t="shared" si="60"/>
        <v>73.368230885308179</v>
      </c>
      <c r="Y259" s="115">
        <f t="shared" si="81"/>
        <v>26646800</v>
      </c>
      <c r="Z259" s="187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  <c r="GN259" s="53"/>
      <c r="GO259" s="53"/>
      <c r="GP259" s="53"/>
      <c r="GQ259" s="53"/>
      <c r="GR259" s="53"/>
      <c r="GS259" s="53"/>
      <c r="GT259" s="53"/>
      <c r="GU259" s="53"/>
      <c r="GV259" s="53"/>
      <c r="GW259" s="53"/>
      <c r="GX259" s="53"/>
      <c r="GY259" s="53"/>
      <c r="GZ259" s="53"/>
      <c r="HA259" s="53"/>
      <c r="HB259" s="53"/>
      <c r="HC259" s="53"/>
      <c r="HD259" s="53"/>
      <c r="HE259" s="53"/>
      <c r="HF259" s="53"/>
      <c r="HG259" s="53"/>
      <c r="HH259" s="53"/>
      <c r="HI259" s="53"/>
      <c r="HJ259" s="53"/>
      <c r="HK259" s="53"/>
      <c r="HL259" s="53"/>
      <c r="HM259" s="53"/>
      <c r="HN259" s="53"/>
      <c r="HO259" s="53"/>
      <c r="HP259" s="53"/>
      <c r="HQ259" s="53"/>
      <c r="HR259" s="53"/>
      <c r="HS259" s="53"/>
      <c r="HT259" s="53"/>
      <c r="HU259" s="53"/>
      <c r="HV259" s="53"/>
      <c r="HW259" s="53"/>
      <c r="HX259" s="53"/>
      <c r="HY259" s="53"/>
      <c r="HZ259" s="53"/>
      <c r="IA259" s="53"/>
      <c r="IB259" s="53"/>
      <c r="IC259" s="53"/>
      <c r="ID259" s="53"/>
      <c r="IE259" s="53"/>
      <c r="IF259" s="53"/>
      <c r="IG259" s="53"/>
      <c r="IH259" s="53"/>
      <c r="II259" s="53"/>
      <c r="IJ259" s="53"/>
      <c r="IK259" s="53"/>
      <c r="IL259" s="53"/>
      <c r="IM259" s="53"/>
      <c r="IN259" s="53"/>
      <c r="IO259" s="53"/>
      <c r="IP259" s="53"/>
      <c r="IQ259" s="53"/>
      <c r="IR259" s="53"/>
      <c r="IS259" s="53"/>
      <c r="IT259" s="53"/>
      <c r="IU259" s="53"/>
      <c r="IV259" s="53"/>
      <c r="IW259" s="53"/>
      <c r="IX259" s="53"/>
      <c r="IY259" s="53"/>
      <c r="IZ259" s="53"/>
      <c r="JA259" s="53"/>
      <c r="JB259" s="53"/>
      <c r="JC259" s="53"/>
      <c r="JD259" s="53"/>
      <c r="JE259" s="53"/>
      <c r="JF259" s="53"/>
      <c r="JG259" s="53"/>
      <c r="JH259" s="53"/>
      <c r="JI259" s="53"/>
      <c r="JJ259" s="53"/>
      <c r="JK259" s="53"/>
      <c r="JL259" s="53"/>
      <c r="JM259" s="53"/>
      <c r="JN259" s="53"/>
      <c r="JO259" s="53"/>
      <c r="JP259" s="53"/>
      <c r="JQ259" s="53"/>
      <c r="JR259" s="53"/>
      <c r="JS259" s="53"/>
      <c r="JT259" s="53"/>
      <c r="JU259" s="53"/>
      <c r="JV259" s="53"/>
      <c r="JW259" s="53"/>
      <c r="JX259" s="53"/>
      <c r="JY259" s="53"/>
      <c r="JZ259" s="53"/>
      <c r="KA259" s="53"/>
      <c r="KB259" s="53"/>
      <c r="KC259" s="53"/>
      <c r="KD259" s="53"/>
      <c r="KE259" s="53"/>
      <c r="KF259" s="53"/>
      <c r="KG259" s="53"/>
      <c r="KH259" s="53"/>
      <c r="KI259" s="53"/>
      <c r="KJ259" s="53"/>
      <c r="KK259" s="53"/>
      <c r="KL259" s="53"/>
      <c r="KM259" s="53"/>
      <c r="KN259" s="53"/>
      <c r="KO259" s="53"/>
      <c r="KP259" s="53"/>
      <c r="KQ259" s="53"/>
      <c r="KR259" s="53"/>
      <c r="KS259" s="53"/>
      <c r="KT259" s="53"/>
      <c r="KU259" s="53"/>
      <c r="KV259" s="53"/>
      <c r="KW259" s="53"/>
      <c r="KX259" s="53"/>
      <c r="KY259" s="53"/>
      <c r="KZ259" s="53"/>
      <c r="LA259" s="53"/>
      <c r="LB259" s="53"/>
      <c r="LC259" s="53"/>
      <c r="LD259" s="53"/>
      <c r="LE259" s="53"/>
      <c r="LF259" s="53"/>
      <c r="LG259" s="53"/>
      <c r="LH259" s="53"/>
      <c r="LI259" s="53"/>
      <c r="LJ259" s="53"/>
      <c r="LK259" s="53"/>
      <c r="LL259" s="53"/>
      <c r="LM259" s="53"/>
      <c r="LN259" s="53"/>
      <c r="LO259" s="53"/>
      <c r="LP259" s="53"/>
      <c r="LQ259" s="53"/>
      <c r="LR259" s="53"/>
      <c r="LS259" s="53"/>
      <c r="LT259" s="53"/>
      <c r="LU259" s="53"/>
      <c r="LV259" s="53"/>
      <c r="LW259" s="53"/>
      <c r="LX259" s="53"/>
      <c r="LY259" s="53"/>
      <c r="LZ259" s="53"/>
      <c r="MA259" s="53"/>
      <c r="MB259" s="53"/>
      <c r="MC259" s="53"/>
      <c r="MD259" s="53"/>
      <c r="ME259" s="53"/>
      <c r="MF259" s="53"/>
      <c r="MG259" s="53"/>
      <c r="MH259" s="53"/>
      <c r="MI259" s="53"/>
      <c r="MJ259" s="53"/>
      <c r="MK259" s="53"/>
      <c r="ML259" s="53"/>
      <c r="MM259" s="53"/>
      <c r="MN259" s="53"/>
      <c r="MO259" s="53"/>
      <c r="MP259" s="53"/>
      <c r="MQ259" s="53"/>
      <c r="MR259" s="53"/>
      <c r="MS259" s="53"/>
      <c r="MT259" s="53"/>
      <c r="MU259" s="53"/>
      <c r="MV259" s="53"/>
      <c r="MW259" s="53"/>
      <c r="MX259" s="53"/>
      <c r="MY259" s="53"/>
      <c r="MZ259" s="53"/>
      <c r="NA259" s="53"/>
      <c r="NB259" s="53"/>
      <c r="NC259" s="53"/>
      <c r="ND259" s="53"/>
      <c r="NE259" s="53"/>
      <c r="NF259" s="53"/>
      <c r="NG259" s="53"/>
      <c r="NH259" s="53"/>
      <c r="NI259" s="53"/>
      <c r="NJ259" s="53"/>
      <c r="NK259" s="53"/>
      <c r="NL259" s="53"/>
      <c r="NM259" s="53"/>
      <c r="NN259" s="53"/>
      <c r="NO259" s="53"/>
      <c r="NP259" s="53"/>
      <c r="NQ259" s="53"/>
      <c r="NR259" s="53"/>
      <c r="NS259" s="53"/>
      <c r="NT259" s="53"/>
      <c r="NU259" s="53"/>
      <c r="NV259" s="53"/>
      <c r="NW259" s="53"/>
      <c r="NX259" s="53"/>
      <c r="NY259" s="53"/>
      <c r="NZ259" s="53"/>
      <c r="OA259" s="53"/>
      <c r="OB259" s="53"/>
      <c r="OC259" s="53"/>
      <c r="OD259" s="53"/>
      <c r="OE259" s="53"/>
      <c r="OF259" s="53"/>
      <c r="OG259" s="53"/>
      <c r="OH259" s="53"/>
      <c r="OI259" s="53"/>
      <c r="OJ259" s="53"/>
      <c r="OK259" s="53"/>
      <c r="OL259" s="53"/>
      <c r="OM259" s="53"/>
      <c r="ON259" s="53"/>
      <c r="OO259" s="53"/>
      <c r="OP259" s="53"/>
      <c r="OQ259" s="53"/>
      <c r="OR259" s="53"/>
      <c r="OS259" s="53"/>
      <c r="OT259" s="53"/>
      <c r="OU259" s="53"/>
      <c r="OV259" s="53"/>
      <c r="OW259" s="53"/>
      <c r="OX259" s="53"/>
      <c r="OY259" s="53"/>
      <c r="OZ259" s="53"/>
      <c r="PA259" s="53"/>
      <c r="PB259" s="53"/>
      <c r="PC259" s="53"/>
      <c r="PD259" s="53"/>
      <c r="PE259" s="53"/>
      <c r="PF259" s="53"/>
      <c r="PG259" s="53"/>
      <c r="PH259" s="53"/>
      <c r="PI259" s="53"/>
      <c r="PJ259" s="53"/>
      <c r="PK259" s="53"/>
      <c r="PL259" s="53"/>
      <c r="PM259" s="53"/>
      <c r="PN259" s="53"/>
      <c r="PO259" s="53"/>
      <c r="PP259" s="53"/>
      <c r="PQ259" s="53"/>
      <c r="PR259" s="53"/>
      <c r="PS259" s="53"/>
      <c r="PT259" s="53"/>
      <c r="PU259" s="53"/>
      <c r="PV259" s="53"/>
      <c r="PW259" s="53"/>
      <c r="PX259" s="53"/>
      <c r="PY259" s="53"/>
      <c r="PZ259" s="53"/>
      <c r="QA259" s="53"/>
      <c r="QB259" s="53"/>
      <c r="QC259" s="53"/>
      <c r="QD259" s="53"/>
      <c r="QE259" s="53"/>
      <c r="QF259" s="53"/>
      <c r="QG259" s="53"/>
      <c r="QH259" s="53"/>
      <c r="QI259" s="53"/>
      <c r="QJ259" s="53"/>
      <c r="QK259" s="53"/>
      <c r="QL259" s="53"/>
      <c r="QM259" s="53"/>
      <c r="QN259" s="53"/>
      <c r="QO259" s="53"/>
      <c r="QP259" s="53"/>
      <c r="QQ259" s="53"/>
      <c r="QR259" s="53"/>
      <c r="QS259" s="53"/>
      <c r="QT259" s="53"/>
      <c r="QU259" s="53"/>
      <c r="QV259" s="53"/>
      <c r="QW259" s="53"/>
      <c r="QX259" s="53"/>
      <c r="QY259" s="53"/>
      <c r="QZ259" s="53"/>
      <c r="RA259" s="53"/>
      <c r="RB259" s="53"/>
      <c r="RC259" s="53"/>
      <c r="RD259" s="53"/>
      <c r="RE259" s="53"/>
      <c r="RF259" s="53"/>
      <c r="RG259" s="53"/>
      <c r="RH259" s="53"/>
      <c r="RI259" s="53"/>
      <c r="RJ259" s="53"/>
      <c r="RK259" s="53"/>
      <c r="RL259" s="53"/>
      <c r="RM259" s="53"/>
      <c r="RN259" s="53"/>
      <c r="RO259" s="53"/>
      <c r="RP259" s="53"/>
      <c r="RQ259" s="53"/>
      <c r="RR259" s="53"/>
      <c r="RS259" s="53"/>
      <c r="RT259" s="53"/>
      <c r="RU259" s="53"/>
      <c r="RV259" s="53"/>
      <c r="RW259" s="53"/>
      <c r="RX259" s="53"/>
      <c r="RY259" s="53"/>
      <c r="RZ259" s="53"/>
      <c r="SA259" s="53"/>
      <c r="SB259" s="53"/>
      <c r="SC259" s="53"/>
      <c r="SD259" s="53"/>
      <c r="SE259" s="53"/>
      <c r="SF259" s="53"/>
      <c r="SG259" s="53"/>
      <c r="SH259" s="53"/>
      <c r="SI259" s="53"/>
      <c r="SJ259" s="53"/>
      <c r="SK259" s="53"/>
      <c r="SL259" s="53"/>
      <c r="SM259" s="53"/>
      <c r="SN259" s="53"/>
      <c r="SO259" s="53"/>
      <c r="SP259" s="53"/>
      <c r="SQ259" s="53"/>
      <c r="SR259" s="53"/>
      <c r="SS259" s="53"/>
      <c r="ST259" s="53"/>
      <c r="SU259" s="53"/>
      <c r="SV259" s="53"/>
      <c r="SW259" s="53"/>
      <c r="SX259" s="53"/>
      <c r="SY259" s="53"/>
      <c r="SZ259" s="53"/>
      <c r="TA259" s="53"/>
      <c r="TB259" s="53"/>
      <c r="TC259" s="53"/>
      <c r="TD259" s="53"/>
      <c r="TE259" s="53"/>
      <c r="TF259" s="53"/>
      <c r="TG259" s="53"/>
      <c r="TH259" s="53"/>
      <c r="TI259" s="53"/>
      <c r="TJ259" s="53"/>
      <c r="TK259" s="53"/>
      <c r="TL259" s="53"/>
      <c r="TM259" s="53"/>
      <c r="TN259" s="53"/>
      <c r="TO259" s="53"/>
      <c r="TP259" s="53"/>
      <c r="TQ259" s="53"/>
      <c r="TR259" s="53"/>
      <c r="TS259" s="53"/>
      <c r="TT259" s="53"/>
      <c r="TU259" s="53"/>
      <c r="TV259" s="53"/>
      <c r="TW259" s="53"/>
      <c r="TX259" s="53"/>
      <c r="TY259" s="53"/>
      <c r="TZ259" s="53"/>
      <c r="UA259" s="53"/>
      <c r="UB259" s="53"/>
      <c r="UC259" s="53"/>
      <c r="UD259" s="53"/>
      <c r="UE259" s="53"/>
      <c r="UF259" s="53"/>
      <c r="UG259" s="53"/>
      <c r="UH259" s="53"/>
      <c r="UI259" s="53"/>
      <c r="UJ259" s="53"/>
      <c r="UK259" s="53"/>
      <c r="UL259" s="53"/>
      <c r="UM259" s="53"/>
      <c r="UN259" s="53"/>
      <c r="UO259" s="53"/>
      <c r="UP259" s="53"/>
      <c r="UQ259" s="53"/>
      <c r="UR259" s="53"/>
      <c r="US259" s="53"/>
      <c r="UT259" s="53"/>
      <c r="UU259" s="53"/>
      <c r="UV259" s="53"/>
      <c r="UW259" s="53"/>
      <c r="UX259" s="53"/>
      <c r="UY259" s="53"/>
      <c r="UZ259" s="53"/>
      <c r="VA259" s="53"/>
      <c r="VB259" s="53"/>
      <c r="VC259" s="53"/>
      <c r="VD259" s="53"/>
      <c r="VE259" s="53"/>
      <c r="VF259" s="53"/>
      <c r="VG259" s="53"/>
      <c r="VH259" s="53"/>
      <c r="VI259" s="53"/>
      <c r="VJ259" s="53"/>
      <c r="VK259" s="53"/>
      <c r="VL259" s="53"/>
    </row>
    <row r="260" spans="1:584" s="47" customFormat="1" ht="23.25" hidden="1" customHeight="1" x14ac:dyDescent="0.25">
      <c r="A260" s="45" t="s">
        <v>482</v>
      </c>
      <c r="B260" s="91" t="str">
        <f>'дод 3'!A169</f>
        <v>7340</v>
      </c>
      <c r="C260" s="91" t="str">
        <f>'дод 3'!B169</f>
        <v>0443</v>
      </c>
      <c r="D260" s="48" t="str">
        <f>'дод 3'!C169</f>
        <v>Проектування, реставрація та охорона пам'яток архітектури</v>
      </c>
      <c r="E260" s="115">
        <v>0</v>
      </c>
      <c r="F260" s="115"/>
      <c r="G260" s="115"/>
      <c r="H260" s="115"/>
      <c r="I260" s="115"/>
      <c r="J260" s="115"/>
      <c r="K260" s="164" t="e">
        <f t="shared" si="59"/>
        <v>#DIV/0!</v>
      </c>
      <c r="L260" s="115">
        <f t="shared" si="71"/>
        <v>0</v>
      </c>
      <c r="M260" s="115">
        <f>500000-500000</f>
        <v>0</v>
      </c>
      <c r="N260" s="115"/>
      <c r="O260" s="115"/>
      <c r="P260" s="115"/>
      <c r="Q260" s="115">
        <f>500000-500000</f>
        <v>0</v>
      </c>
      <c r="R260" s="115">
        <f t="shared" si="72"/>
        <v>0</v>
      </c>
      <c r="S260" s="115"/>
      <c r="T260" s="115"/>
      <c r="U260" s="115"/>
      <c r="V260" s="115"/>
      <c r="W260" s="115"/>
      <c r="X260" s="166" t="e">
        <f t="shared" si="60"/>
        <v>#DIV/0!</v>
      </c>
      <c r="Y260" s="115">
        <f t="shared" si="81"/>
        <v>0</v>
      </c>
      <c r="Z260" s="187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  <c r="GQ260" s="53"/>
      <c r="GR260" s="53"/>
      <c r="GS260" s="53"/>
      <c r="GT260" s="53"/>
      <c r="GU260" s="53"/>
      <c r="GV260" s="53"/>
      <c r="GW260" s="53"/>
      <c r="GX260" s="53"/>
      <c r="GY260" s="53"/>
      <c r="GZ260" s="53"/>
      <c r="HA260" s="53"/>
      <c r="HB260" s="53"/>
      <c r="HC260" s="53"/>
      <c r="HD260" s="53"/>
      <c r="HE260" s="53"/>
      <c r="HF260" s="53"/>
      <c r="HG260" s="53"/>
      <c r="HH260" s="53"/>
      <c r="HI260" s="53"/>
      <c r="HJ260" s="53"/>
      <c r="HK260" s="53"/>
      <c r="HL260" s="53"/>
      <c r="HM260" s="53"/>
      <c r="HN260" s="53"/>
      <c r="HO260" s="53"/>
      <c r="HP260" s="53"/>
      <c r="HQ260" s="53"/>
      <c r="HR260" s="53"/>
      <c r="HS260" s="53"/>
      <c r="HT260" s="53"/>
      <c r="HU260" s="53"/>
      <c r="HV260" s="53"/>
      <c r="HW260" s="53"/>
      <c r="HX260" s="53"/>
      <c r="HY260" s="53"/>
      <c r="HZ260" s="53"/>
      <c r="IA260" s="53"/>
      <c r="IB260" s="53"/>
      <c r="IC260" s="53"/>
      <c r="ID260" s="53"/>
      <c r="IE260" s="53"/>
      <c r="IF260" s="53"/>
      <c r="IG260" s="53"/>
      <c r="IH260" s="53"/>
      <c r="II260" s="53"/>
      <c r="IJ260" s="53"/>
      <c r="IK260" s="53"/>
      <c r="IL260" s="53"/>
      <c r="IM260" s="53"/>
      <c r="IN260" s="53"/>
      <c r="IO260" s="53"/>
      <c r="IP260" s="53"/>
      <c r="IQ260" s="53"/>
      <c r="IR260" s="53"/>
      <c r="IS260" s="53"/>
      <c r="IT260" s="53"/>
      <c r="IU260" s="53"/>
      <c r="IV260" s="53"/>
      <c r="IW260" s="53"/>
      <c r="IX260" s="53"/>
      <c r="IY260" s="53"/>
      <c r="IZ260" s="53"/>
      <c r="JA260" s="53"/>
      <c r="JB260" s="53"/>
      <c r="JC260" s="53"/>
      <c r="JD260" s="53"/>
      <c r="JE260" s="53"/>
      <c r="JF260" s="53"/>
      <c r="JG260" s="53"/>
      <c r="JH260" s="53"/>
      <c r="JI260" s="53"/>
      <c r="JJ260" s="53"/>
      <c r="JK260" s="53"/>
      <c r="JL260" s="53"/>
      <c r="JM260" s="53"/>
      <c r="JN260" s="53"/>
      <c r="JO260" s="53"/>
      <c r="JP260" s="53"/>
      <c r="JQ260" s="53"/>
      <c r="JR260" s="53"/>
      <c r="JS260" s="53"/>
      <c r="JT260" s="53"/>
      <c r="JU260" s="53"/>
      <c r="JV260" s="53"/>
      <c r="JW260" s="53"/>
      <c r="JX260" s="53"/>
      <c r="JY260" s="53"/>
      <c r="JZ260" s="53"/>
      <c r="KA260" s="53"/>
      <c r="KB260" s="53"/>
      <c r="KC260" s="53"/>
      <c r="KD260" s="53"/>
      <c r="KE260" s="53"/>
      <c r="KF260" s="53"/>
      <c r="KG260" s="53"/>
      <c r="KH260" s="53"/>
      <c r="KI260" s="53"/>
      <c r="KJ260" s="53"/>
      <c r="KK260" s="53"/>
      <c r="KL260" s="53"/>
      <c r="KM260" s="53"/>
      <c r="KN260" s="53"/>
      <c r="KO260" s="53"/>
      <c r="KP260" s="53"/>
      <c r="KQ260" s="53"/>
      <c r="KR260" s="53"/>
      <c r="KS260" s="53"/>
      <c r="KT260" s="53"/>
      <c r="KU260" s="53"/>
      <c r="KV260" s="53"/>
      <c r="KW260" s="53"/>
      <c r="KX260" s="53"/>
      <c r="KY260" s="53"/>
      <c r="KZ260" s="53"/>
      <c r="LA260" s="53"/>
      <c r="LB260" s="53"/>
      <c r="LC260" s="53"/>
      <c r="LD260" s="53"/>
      <c r="LE260" s="53"/>
      <c r="LF260" s="53"/>
      <c r="LG260" s="53"/>
      <c r="LH260" s="53"/>
      <c r="LI260" s="53"/>
      <c r="LJ260" s="53"/>
      <c r="LK260" s="53"/>
      <c r="LL260" s="53"/>
      <c r="LM260" s="53"/>
      <c r="LN260" s="53"/>
      <c r="LO260" s="53"/>
      <c r="LP260" s="53"/>
      <c r="LQ260" s="53"/>
      <c r="LR260" s="53"/>
      <c r="LS260" s="53"/>
      <c r="LT260" s="53"/>
      <c r="LU260" s="53"/>
      <c r="LV260" s="53"/>
      <c r="LW260" s="53"/>
      <c r="LX260" s="53"/>
      <c r="LY260" s="53"/>
      <c r="LZ260" s="53"/>
      <c r="MA260" s="53"/>
      <c r="MB260" s="53"/>
      <c r="MC260" s="53"/>
      <c r="MD260" s="53"/>
      <c r="ME260" s="53"/>
      <c r="MF260" s="53"/>
      <c r="MG260" s="53"/>
      <c r="MH260" s="53"/>
      <c r="MI260" s="53"/>
      <c r="MJ260" s="53"/>
      <c r="MK260" s="53"/>
      <c r="ML260" s="53"/>
      <c r="MM260" s="53"/>
      <c r="MN260" s="53"/>
      <c r="MO260" s="53"/>
      <c r="MP260" s="53"/>
      <c r="MQ260" s="53"/>
      <c r="MR260" s="53"/>
      <c r="MS260" s="53"/>
      <c r="MT260" s="53"/>
      <c r="MU260" s="53"/>
      <c r="MV260" s="53"/>
      <c r="MW260" s="53"/>
      <c r="MX260" s="53"/>
      <c r="MY260" s="53"/>
      <c r="MZ260" s="53"/>
      <c r="NA260" s="53"/>
      <c r="NB260" s="53"/>
      <c r="NC260" s="53"/>
      <c r="ND260" s="53"/>
      <c r="NE260" s="53"/>
      <c r="NF260" s="53"/>
      <c r="NG260" s="53"/>
      <c r="NH260" s="53"/>
      <c r="NI260" s="53"/>
      <c r="NJ260" s="53"/>
      <c r="NK260" s="53"/>
      <c r="NL260" s="53"/>
      <c r="NM260" s="53"/>
      <c r="NN260" s="53"/>
      <c r="NO260" s="53"/>
      <c r="NP260" s="53"/>
      <c r="NQ260" s="53"/>
      <c r="NR260" s="53"/>
      <c r="NS260" s="53"/>
      <c r="NT260" s="53"/>
      <c r="NU260" s="53"/>
      <c r="NV260" s="53"/>
      <c r="NW260" s="53"/>
      <c r="NX260" s="53"/>
      <c r="NY260" s="53"/>
      <c r="NZ260" s="53"/>
      <c r="OA260" s="53"/>
      <c r="OB260" s="53"/>
      <c r="OC260" s="53"/>
      <c r="OD260" s="53"/>
      <c r="OE260" s="53"/>
      <c r="OF260" s="53"/>
      <c r="OG260" s="53"/>
      <c r="OH260" s="53"/>
      <c r="OI260" s="53"/>
      <c r="OJ260" s="53"/>
      <c r="OK260" s="53"/>
      <c r="OL260" s="53"/>
      <c r="OM260" s="53"/>
      <c r="ON260" s="53"/>
      <c r="OO260" s="53"/>
      <c r="OP260" s="53"/>
      <c r="OQ260" s="53"/>
      <c r="OR260" s="53"/>
      <c r="OS260" s="53"/>
      <c r="OT260" s="53"/>
      <c r="OU260" s="53"/>
      <c r="OV260" s="53"/>
      <c r="OW260" s="53"/>
      <c r="OX260" s="53"/>
      <c r="OY260" s="53"/>
      <c r="OZ260" s="53"/>
      <c r="PA260" s="53"/>
      <c r="PB260" s="53"/>
      <c r="PC260" s="53"/>
      <c r="PD260" s="53"/>
      <c r="PE260" s="53"/>
      <c r="PF260" s="53"/>
      <c r="PG260" s="53"/>
      <c r="PH260" s="53"/>
      <c r="PI260" s="53"/>
      <c r="PJ260" s="53"/>
      <c r="PK260" s="53"/>
      <c r="PL260" s="53"/>
      <c r="PM260" s="53"/>
      <c r="PN260" s="53"/>
      <c r="PO260" s="53"/>
      <c r="PP260" s="53"/>
      <c r="PQ260" s="53"/>
      <c r="PR260" s="53"/>
      <c r="PS260" s="53"/>
      <c r="PT260" s="53"/>
      <c r="PU260" s="53"/>
      <c r="PV260" s="53"/>
      <c r="PW260" s="53"/>
      <c r="PX260" s="53"/>
      <c r="PY260" s="53"/>
      <c r="PZ260" s="53"/>
      <c r="QA260" s="53"/>
      <c r="QB260" s="53"/>
      <c r="QC260" s="53"/>
      <c r="QD260" s="53"/>
      <c r="QE260" s="53"/>
      <c r="QF260" s="53"/>
      <c r="QG260" s="53"/>
      <c r="QH260" s="53"/>
      <c r="QI260" s="53"/>
      <c r="QJ260" s="53"/>
      <c r="QK260" s="53"/>
      <c r="QL260" s="53"/>
      <c r="QM260" s="53"/>
      <c r="QN260" s="53"/>
      <c r="QO260" s="53"/>
      <c r="QP260" s="53"/>
      <c r="QQ260" s="53"/>
      <c r="QR260" s="53"/>
      <c r="QS260" s="53"/>
      <c r="QT260" s="53"/>
      <c r="QU260" s="53"/>
      <c r="QV260" s="53"/>
      <c r="QW260" s="53"/>
      <c r="QX260" s="53"/>
      <c r="QY260" s="53"/>
      <c r="QZ260" s="53"/>
      <c r="RA260" s="53"/>
      <c r="RB260" s="53"/>
      <c r="RC260" s="53"/>
      <c r="RD260" s="53"/>
      <c r="RE260" s="53"/>
      <c r="RF260" s="53"/>
      <c r="RG260" s="53"/>
      <c r="RH260" s="53"/>
      <c r="RI260" s="53"/>
      <c r="RJ260" s="53"/>
      <c r="RK260" s="53"/>
      <c r="RL260" s="53"/>
      <c r="RM260" s="53"/>
      <c r="RN260" s="53"/>
      <c r="RO260" s="53"/>
      <c r="RP260" s="53"/>
      <c r="RQ260" s="53"/>
      <c r="RR260" s="53"/>
      <c r="RS260" s="53"/>
      <c r="RT260" s="53"/>
      <c r="RU260" s="53"/>
      <c r="RV260" s="53"/>
      <c r="RW260" s="53"/>
      <c r="RX260" s="53"/>
      <c r="RY260" s="53"/>
      <c r="RZ260" s="53"/>
      <c r="SA260" s="53"/>
      <c r="SB260" s="53"/>
      <c r="SC260" s="53"/>
      <c r="SD260" s="53"/>
      <c r="SE260" s="53"/>
      <c r="SF260" s="53"/>
      <c r="SG260" s="53"/>
      <c r="SH260" s="53"/>
      <c r="SI260" s="53"/>
      <c r="SJ260" s="53"/>
      <c r="SK260" s="53"/>
      <c r="SL260" s="53"/>
      <c r="SM260" s="53"/>
      <c r="SN260" s="53"/>
      <c r="SO260" s="53"/>
      <c r="SP260" s="53"/>
      <c r="SQ260" s="53"/>
      <c r="SR260" s="53"/>
      <c r="SS260" s="53"/>
      <c r="ST260" s="53"/>
      <c r="SU260" s="53"/>
      <c r="SV260" s="53"/>
      <c r="SW260" s="53"/>
      <c r="SX260" s="53"/>
      <c r="SY260" s="53"/>
      <c r="SZ260" s="53"/>
      <c r="TA260" s="53"/>
      <c r="TB260" s="53"/>
      <c r="TC260" s="53"/>
      <c r="TD260" s="53"/>
      <c r="TE260" s="53"/>
      <c r="TF260" s="53"/>
      <c r="TG260" s="53"/>
      <c r="TH260" s="53"/>
      <c r="TI260" s="53"/>
      <c r="TJ260" s="53"/>
      <c r="TK260" s="53"/>
      <c r="TL260" s="53"/>
      <c r="TM260" s="53"/>
      <c r="TN260" s="53"/>
      <c r="TO260" s="53"/>
      <c r="TP260" s="53"/>
      <c r="TQ260" s="53"/>
      <c r="TR260" s="53"/>
      <c r="TS260" s="53"/>
      <c r="TT260" s="53"/>
      <c r="TU260" s="53"/>
      <c r="TV260" s="53"/>
      <c r="TW260" s="53"/>
      <c r="TX260" s="53"/>
      <c r="TY260" s="53"/>
      <c r="TZ260" s="53"/>
      <c r="UA260" s="53"/>
      <c r="UB260" s="53"/>
      <c r="UC260" s="53"/>
      <c r="UD260" s="53"/>
      <c r="UE260" s="53"/>
      <c r="UF260" s="53"/>
      <c r="UG260" s="53"/>
      <c r="UH260" s="53"/>
      <c r="UI260" s="53"/>
      <c r="UJ260" s="53"/>
      <c r="UK260" s="53"/>
      <c r="UL260" s="53"/>
      <c r="UM260" s="53"/>
      <c r="UN260" s="53"/>
      <c r="UO260" s="53"/>
      <c r="UP260" s="53"/>
      <c r="UQ260" s="53"/>
      <c r="UR260" s="53"/>
      <c r="US260" s="53"/>
      <c r="UT260" s="53"/>
      <c r="UU260" s="53"/>
      <c r="UV260" s="53"/>
      <c r="UW260" s="53"/>
      <c r="UX260" s="53"/>
      <c r="UY260" s="53"/>
      <c r="UZ260" s="53"/>
      <c r="VA260" s="53"/>
      <c r="VB260" s="53"/>
      <c r="VC260" s="53"/>
      <c r="VD260" s="53"/>
      <c r="VE260" s="53"/>
      <c r="VF260" s="53"/>
      <c r="VG260" s="53"/>
      <c r="VH260" s="53"/>
      <c r="VI260" s="53"/>
      <c r="VJ260" s="53"/>
      <c r="VK260" s="53"/>
      <c r="VL260" s="53"/>
    </row>
    <row r="261" spans="1:584" s="47" customFormat="1" ht="39" hidden="1" customHeight="1" x14ac:dyDescent="0.25">
      <c r="A261" s="45" t="s">
        <v>550</v>
      </c>
      <c r="B261" s="91" t="s">
        <v>512</v>
      </c>
      <c r="C261" s="91" t="s">
        <v>112</v>
      </c>
      <c r="D261" s="48" t="s">
        <v>513</v>
      </c>
      <c r="E261" s="115">
        <v>0</v>
      </c>
      <c r="F261" s="115"/>
      <c r="G261" s="115"/>
      <c r="H261" s="115"/>
      <c r="I261" s="115"/>
      <c r="J261" s="115"/>
      <c r="K261" s="164" t="e">
        <f t="shared" si="59"/>
        <v>#DIV/0!</v>
      </c>
      <c r="L261" s="115">
        <f t="shared" si="71"/>
        <v>0</v>
      </c>
      <c r="M261" s="115"/>
      <c r="N261" s="115"/>
      <c r="O261" s="115"/>
      <c r="P261" s="115"/>
      <c r="Q261" s="115"/>
      <c r="R261" s="115">
        <f t="shared" si="72"/>
        <v>0</v>
      </c>
      <c r="S261" s="115"/>
      <c r="T261" s="115"/>
      <c r="U261" s="115"/>
      <c r="V261" s="115"/>
      <c r="W261" s="115"/>
      <c r="X261" s="166" t="e">
        <f t="shared" si="60"/>
        <v>#DIV/0!</v>
      </c>
      <c r="Y261" s="115">
        <f t="shared" si="81"/>
        <v>0</v>
      </c>
      <c r="Z261" s="187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  <c r="GQ261" s="53"/>
      <c r="GR261" s="53"/>
      <c r="GS261" s="53"/>
      <c r="GT261" s="53"/>
      <c r="GU261" s="53"/>
      <c r="GV261" s="53"/>
      <c r="GW261" s="53"/>
      <c r="GX261" s="53"/>
      <c r="GY261" s="53"/>
      <c r="GZ261" s="53"/>
      <c r="HA261" s="53"/>
      <c r="HB261" s="53"/>
      <c r="HC261" s="53"/>
      <c r="HD261" s="53"/>
      <c r="HE261" s="53"/>
      <c r="HF261" s="53"/>
      <c r="HG261" s="53"/>
      <c r="HH261" s="53"/>
      <c r="HI261" s="53"/>
      <c r="HJ261" s="53"/>
      <c r="HK261" s="53"/>
      <c r="HL261" s="53"/>
      <c r="HM261" s="53"/>
      <c r="HN261" s="53"/>
      <c r="HO261" s="53"/>
      <c r="HP261" s="53"/>
      <c r="HQ261" s="53"/>
      <c r="HR261" s="53"/>
      <c r="HS261" s="53"/>
      <c r="HT261" s="53"/>
      <c r="HU261" s="53"/>
      <c r="HV261" s="53"/>
      <c r="HW261" s="53"/>
      <c r="HX261" s="53"/>
      <c r="HY261" s="53"/>
      <c r="HZ261" s="53"/>
      <c r="IA261" s="53"/>
      <c r="IB261" s="53"/>
      <c r="IC261" s="53"/>
      <c r="ID261" s="53"/>
      <c r="IE261" s="53"/>
      <c r="IF261" s="53"/>
      <c r="IG261" s="53"/>
      <c r="IH261" s="53"/>
      <c r="II261" s="53"/>
      <c r="IJ261" s="53"/>
      <c r="IK261" s="53"/>
      <c r="IL261" s="53"/>
      <c r="IM261" s="53"/>
      <c r="IN261" s="53"/>
      <c r="IO261" s="53"/>
      <c r="IP261" s="53"/>
      <c r="IQ261" s="53"/>
      <c r="IR261" s="53"/>
      <c r="IS261" s="53"/>
      <c r="IT261" s="53"/>
      <c r="IU261" s="53"/>
      <c r="IV261" s="53"/>
      <c r="IW261" s="53"/>
      <c r="IX261" s="53"/>
      <c r="IY261" s="53"/>
      <c r="IZ261" s="53"/>
      <c r="JA261" s="53"/>
      <c r="JB261" s="53"/>
      <c r="JC261" s="53"/>
      <c r="JD261" s="53"/>
      <c r="JE261" s="53"/>
      <c r="JF261" s="53"/>
      <c r="JG261" s="53"/>
      <c r="JH261" s="53"/>
      <c r="JI261" s="53"/>
      <c r="JJ261" s="53"/>
      <c r="JK261" s="53"/>
      <c r="JL261" s="53"/>
      <c r="JM261" s="53"/>
      <c r="JN261" s="53"/>
      <c r="JO261" s="53"/>
      <c r="JP261" s="53"/>
      <c r="JQ261" s="53"/>
      <c r="JR261" s="53"/>
      <c r="JS261" s="53"/>
      <c r="JT261" s="53"/>
      <c r="JU261" s="53"/>
      <c r="JV261" s="53"/>
      <c r="JW261" s="53"/>
      <c r="JX261" s="53"/>
      <c r="JY261" s="53"/>
      <c r="JZ261" s="53"/>
      <c r="KA261" s="53"/>
      <c r="KB261" s="53"/>
      <c r="KC261" s="53"/>
      <c r="KD261" s="53"/>
      <c r="KE261" s="53"/>
      <c r="KF261" s="53"/>
      <c r="KG261" s="53"/>
      <c r="KH261" s="53"/>
      <c r="KI261" s="53"/>
      <c r="KJ261" s="53"/>
      <c r="KK261" s="53"/>
      <c r="KL261" s="53"/>
      <c r="KM261" s="53"/>
      <c r="KN261" s="53"/>
      <c r="KO261" s="53"/>
      <c r="KP261" s="53"/>
      <c r="KQ261" s="53"/>
      <c r="KR261" s="53"/>
      <c r="KS261" s="53"/>
      <c r="KT261" s="53"/>
      <c r="KU261" s="53"/>
      <c r="KV261" s="53"/>
      <c r="KW261" s="53"/>
      <c r="KX261" s="53"/>
      <c r="KY261" s="53"/>
      <c r="KZ261" s="53"/>
      <c r="LA261" s="53"/>
      <c r="LB261" s="53"/>
      <c r="LC261" s="53"/>
      <c r="LD261" s="53"/>
      <c r="LE261" s="53"/>
      <c r="LF261" s="53"/>
      <c r="LG261" s="53"/>
      <c r="LH261" s="53"/>
      <c r="LI261" s="53"/>
      <c r="LJ261" s="53"/>
      <c r="LK261" s="53"/>
      <c r="LL261" s="53"/>
      <c r="LM261" s="53"/>
      <c r="LN261" s="53"/>
      <c r="LO261" s="53"/>
      <c r="LP261" s="53"/>
      <c r="LQ261" s="53"/>
      <c r="LR261" s="53"/>
      <c r="LS261" s="53"/>
      <c r="LT261" s="53"/>
      <c r="LU261" s="53"/>
      <c r="LV261" s="53"/>
      <c r="LW261" s="53"/>
      <c r="LX261" s="53"/>
      <c r="LY261" s="53"/>
      <c r="LZ261" s="53"/>
      <c r="MA261" s="53"/>
      <c r="MB261" s="53"/>
      <c r="MC261" s="53"/>
      <c r="MD261" s="53"/>
      <c r="ME261" s="53"/>
      <c r="MF261" s="53"/>
      <c r="MG261" s="53"/>
      <c r="MH261" s="53"/>
      <c r="MI261" s="53"/>
      <c r="MJ261" s="53"/>
      <c r="MK261" s="53"/>
      <c r="ML261" s="53"/>
      <c r="MM261" s="53"/>
      <c r="MN261" s="53"/>
      <c r="MO261" s="53"/>
      <c r="MP261" s="53"/>
      <c r="MQ261" s="53"/>
      <c r="MR261" s="53"/>
      <c r="MS261" s="53"/>
      <c r="MT261" s="53"/>
      <c r="MU261" s="53"/>
      <c r="MV261" s="53"/>
      <c r="MW261" s="53"/>
      <c r="MX261" s="53"/>
      <c r="MY261" s="53"/>
      <c r="MZ261" s="53"/>
      <c r="NA261" s="53"/>
      <c r="NB261" s="53"/>
      <c r="NC261" s="53"/>
      <c r="ND261" s="53"/>
      <c r="NE261" s="53"/>
      <c r="NF261" s="53"/>
      <c r="NG261" s="53"/>
      <c r="NH261" s="53"/>
      <c r="NI261" s="53"/>
      <c r="NJ261" s="53"/>
      <c r="NK261" s="53"/>
      <c r="NL261" s="53"/>
      <c r="NM261" s="53"/>
      <c r="NN261" s="53"/>
      <c r="NO261" s="53"/>
      <c r="NP261" s="53"/>
      <c r="NQ261" s="53"/>
      <c r="NR261" s="53"/>
      <c r="NS261" s="53"/>
      <c r="NT261" s="53"/>
      <c r="NU261" s="53"/>
      <c r="NV261" s="53"/>
      <c r="NW261" s="53"/>
      <c r="NX261" s="53"/>
      <c r="NY261" s="53"/>
      <c r="NZ261" s="53"/>
      <c r="OA261" s="53"/>
      <c r="OB261" s="53"/>
      <c r="OC261" s="53"/>
      <c r="OD261" s="53"/>
      <c r="OE261" s="53"/>
      <c r="OF261" s="53"/>
      <c r="OG261" s="53"/>
      <c r="OH261" s="53"/>
      <c r="OI261" s="53"/>
      <c r="OJ261" s="53"/>
      <c r="OK261" s="53"/>
      <c r="OL261" s="53"/>
      <c r="OM261" s="53"/>
      <c r="ON261" s="53"/>
      <c r="OO261" s="53"/>
      <c r="OP261" s="53"/>
      <c r="OQ261" s="53"/>
      <c r="OR261" s="53"/>
      <c r="OS261" s="53"/>
      <c r="OT261" s="53"/>
      <c r="OU261" s="53"/>
      <c r="OV261" s="53"/>
      <c r="OW261" s="53"/>
      <c r="OX261" s="53"/>
      <c r="OY261" s="53"/>
      <c r="OZ261" s="53"/>
      <c r="PA261" s="53"/>
      <c r="PB261" s="53"/>
      <c r="PC261" s="53"/>
      <c r="PD261" s="53"/>
      <c r="PE261" s="53"/>
      <c r="PF261" s="53"/>
      <c r="PG261" s="53"/>
      <c r="PH261" s="53"/>
      <c r="PI261" s="53"/>
      <c r="PJ261" s="53"/>
      <c r="PK261" s="53"/>
      <c r="PL261" s="53"/>
      <c r="PM261" s="53"/>
      <c r="PN261" s="53"/>
      <c r="PO261" s="53"/>
      <c r="PP261" s="53"/>
      <c r="PQ261" s="53"/>
      <c r="PR261" s="53"/>
      <c r="PS261" s="53"/>
      <c r="PT261" s="53"/>
      <c r="PU261" s="53"/>
      <c r="PV261" s="53"/>
      <c r="PW261" s="53"/>
      <c r="PX261" s="53"/>
      <c r="PY261" s="53"/>
      <c r="PZ261" s="53"/>
      <c r="QA261" s="53"/>
      <c r="QB261" s="53"/>
      <c r="QC261" s="53"/>
      <c r="QD261" s="53"/>
      <c r="QE261" s="53"/>
      <c r="QF261" s="53"/>
      <c r="QG261" s="53"/>
      <c r="QH261" s="53"/>
      <c r="QI261" s="53"/>
      <c r="QJ261" s="53"/>
      <c r="QK261" s="53"/>
      <c r="QL261" s="53"/>
      <c r="QM261" s="53"/>
      <c r="QN261" s="53"/>
      <c r="QO261" s="53"/>
      <c r="QP261" s="53"/>
      <c r="QQ261" s="53"/>
      <c r="QR261" s="53"/>
      <c r="QS261" s="53"/>
      <c r="QT261" s="53"/>
      <c r="QU261" s="53"/>
      <c r="QV261" s="53"/>
      <c r="QW261" s="53"/>
      <c r="QX261" s="53"/>
      <c r="QY261" s="53"/>
      <c r="QZ261" s="53"/>
      <c r="RA261" s="53"/>
      <c r="RB261" s="53"/>
      <c r="RC261" s="53"/>
      <c r="RD261" s="53"/>
      <c r="RE261" s="53"/>
      <c r="RF261" s="53"/>
      <c r="RG261" s="53"/>
      <c r="RH261" s="53"/>
      <c r="RI261" s="53"/>
      <c r="RJ261" s="53"/>
      <c r="RK261" s="53"/>
      <c r="RL261" s="53"/>
      <c r="RM261" s="53"/>
      <c r="RN261" s="53"/>
      <c r="RO261" s="53"/>
      <c r="RP261" s="53"/>
      <c r="RQ261" s="53"/>
      <c r="RR261" s="53"/>
      <c r="RS261" s="53"/>
      <c r="RT261" s="53"/>
      <c r="RU261" s="53"/>
      <c r="RV261" s="53"/>
      <c r="RW261" s="53"/>
      <c r="RX261" s="53"/>
      <c r="RY261" s="53"/>
      <c r="RZ261" s="53"/>
      <c r="SA261" s="53"/>
      <c r="SB261" s="53"/>
      <c r="SC261" s="53"/>
      <c r="SD261" s="53"/>
      <c r="SE261" s="53"/>
      <c r="SF261" s="53"/>
      <c r="SG261" s="53"/>
      <c r="SH261" s="53"/>
      <c r="SI261" s="53"/>
      <c r="SJ261" s="53"/>
      <c r="SK261" s="53"/>
      <c r="SL261" s="53"/>
      <c r="SM261" s="53"/>
      <c r="SN261" s="53"/>
      <c r="SO261" s="53"/>
      <c r="SP261" s="53"/>
      <c r="SQ261" s="53"/>
      <c r="SR261" s="53"/>
      <c r="SS261" s="53"/>
      <c r="ST261" s="53"/>
      <c r="SU261" s="53"/>
      <c r="SV261" s="53"/>
      <c r="SW261" s="53"/>
      <c r="SX261" s="53"/>
      <c r="SY261" s="53"/>
      <c r="SZ261" s="53"/>
      <c r="TA261" s="53"/>
      <c r="TB261" s="53"/>
      <c r="TC261" s="53"/>
      <c r="TD261" s="53"/>
      <c r="TE261" s="53"/>
      <c r="TF261" s="53"/>
      <c r="TG261" s="53"/>
      <c r="TH261" s="53"/>
      <c r="TI261" s="53"/>
      <c r="TJ261" s="53"/>
      <c r="TK261" s="53"/>
      <c r="TL261" s="53"/>
      <c r="TM261" s="53"/>
      <c r="TN261" s="53"/>
      <c r="TO261" s="53"/>
      <c r="TP261" s="53"/>
      <c r="TQ261" s="53"/>
      <c r="TR261" s="53"/>
      <c r="TS261" s="53"/>
      <c r="TT261" s="53"/>
      <c r="TU261" s="53"/>
      <c r="TV261" s="53"/>
      <c r="TW261" s="53"/>
      <c r="TX261" s="53"/>
      <c r="TY261" s="53"/>
      <c r="TZ261" s="53"/>
      <c r="UA261" s="53"/>
      <c r="UB261" s="53"/>
      <c r="UC261" s="53"/>
      <c r="UD261" s="53"/>
      <c r="UE261" s="53"/>
      <c r="UF261" s="53"/>
      <c r="UG261" s="53"/>
      <c r="UH261" s="53"/>
      <c r="UI261" s="53"/>
      <c r="UJ261" s="53"/>
      <c r="UK261" s="53"/>
      <c r="UL261" s="53"/>
      <c r="UM261" s="53"/>
      <c r="UN261" s="53"/>
      <c r="UO261" s="53"/>
      <c r="UP261" s="53"/>
      <c r="UQ261" s="53"/>
      <c r="UR261" s="53"/>
      <c r="US261" s="53"/>
      <c r="UT261" s="53"/>
      <c r="UU261" s="53"/>
      <c r="UV261" s="53"/>
      <c r="UW261" s="53"/>
      <c r="UX261" s="53"/>
      <c r="UY261" s="53"/>
      <c r="UZ261" s="53"/>
      <c r="VA261" s="53"/>
      <c r="VB261" s="53"/>
      <c r="VC261" s="53"/>
      <c r="VD261" s="53"/>
      <c r="VE261" s="53"/>
      <c r="VF261" s="53"/>
      <c r="VG261" s="53"/>
      <c r="VH261" s="53"/>
      <c r="VI261" s="53"/>
      <c r="VJ261" s="53"/>
      <c r="VK261" s="53"/>
      <c r="VL261" s="53"/>
    </row>
    <row r="262" spans="1:584" s="47" customFormat="1" ht="35.25" hidden="1" customHeight="1" x14ac:dyDescent="0.25">
      <c r="A262" s="45" t="s">
        <v>505</v>
      </c>
      <c r="B262" s="91" t="str">
        <f>'дод 3'!A172</f>
        <v>7363</v>
      </c>
      <c r="C262" s="91" t="str">
        <f>'дод 3'!B172</f>
        <v>0490</v>
      </c>
      <c r="D262" s="48" t="str">
        <f>'дод 3'!C172</f>
        <v>Виконання інвестиційних проектів в рамках здійснення заходів щодо соціально-економічного розвитку окремих територій</v>
      </c>
      <c r="E262" s="115">
        <v>0</v>
      </c>
      <c r="F262" s="115"/>
      <c r="G262" s="115"/>
      <c r="H262" s="115"/>
      <c r="I262" s="115"/>
      <c r="J262" s="115"/>
      <c r="K262" s="164" t="e">
        <f t="shared" si="59"/>
        <v>#DIV/0!</v>
      </c>
      <c r="L262" s="115">
        <f t="shared" si="71"/>
        <v>0</v>
      </c>
      <c r="M262" s="115"/>
      <c r="N262" s="115"/>
      <c r="O262" s="115"/>
      <c r="P262" s="115"/>
      <c r="Q262" s="115"/>
      <c r="R262" s="115">
        <f t="shared" si="72"/>
        <v>0</v>
      </c>
      <c r="S262" s="115"/>
      <c r="T262" s="115"/>
      <c r="U262" s="115"/>
      <c r="V262" s="115"/>
      <c r="W262" s="115"/>
      <c r="X262" s="166" t="e">
        <f t="shared" si="60"/>
        <v>#DIV/0!</v>
      </c>
      <c r="Y262" s="115">
        <f t="shared" si="81"/>
        <v>0</v>
      </c>
      <c r="Z262" s="187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  <c r="GN262" s="53"/>
      <c r="GO262" s="53"/>
      <c r="GP262" s="53"/>
      <c r="GQ262" s="53"/>
      <c r="GR262" s="53"/>
      <c r="GS262" s="53"/>
      <c r="GT262" s="53"/>
      <c r="GU262" s="53"/>
      <c r="GV262" s="53"/>
      <c r="GW262" s="53"/>
      <c r="GX262" s="53"/>
      <c r="GY262" s="53"/>
      <c r="GZ262" s="53"/>
      <c r="HA262" s="53"/>
      <c r="HB262" s="53"/>
      <c r="HC262" s="53"/>
      <c r="HD262" s="53"/>
      <c r="HE262" s="53"/>
      <c r="HF262" s="53"/>
      <c r="HG262" s="53"/>
      <c r="HH262" s="53"/>
      <c r="HI262" s="53"/>
      <c r="HJ262" s="53"/>
      <c r="HK262" s="53"/>
      <c r="HL262" s="53"/>
      <c r="HM262" s="53"/>
      <c r="HN262" s="53"/>
      <c r="HO262" s="53"/>
      <c r="HP262" s="53"/>
      <c r="HQ262" s="53"/>
      <c r="HR262" s="53"/>
      <c r="HS262" s="53"/>
      <c r="HT262" s="53"/>
      <c r="HU262" s="53"/>
      <c r="HV262" s="53"/>
      <c r="HW262" s="53"/>
      <c r="HX262" s="53"/>
      <c r="HY262" s="53"/>
      <c r="HZ262" s="53"/>
      <c r="IA262" s="53"/>
      <c r="IB262" s="53"/>
      <c r="IC262" s="53"/>
      <c r="ID262" s="53"/>
      <c r="IE262" s="53"/>
      <c r="IF262" s="53"/>
      <c r="IG262" s="53"/>
      <c r="IH262" s="53"/>
      <c r="II262" s="53"/>
      <c r="IJ262" s="53"/>
      <c r="IK262" s="53"/>
      <c r="IL262" s="53"/>
      <c r="IM262" s="53"/>
      <c r="IN262" s="53"/>
      <c r="IO262" s="53"/>
      <c r="IP262" s="53"/>
      <c r="IQ262" s="53"/>
      <c r="IR262" s="53"/>
      <c r="IS262" s="53"/>
      <c r="IT262" s="53"/>
      <c r="IU262" s="53"/>
      <c r="IV262" s="53"/>
      <c r="IW262" s="53"/>
      <c r="IX262" s="53"/>
      <c r="IY262" s="53"/>
      <c r="IZ262" s="53"/>
      <c r="JA262" s="53"/>
      <c r="JB262" s="53"/>
      <c r="JC262" s="53"/>
      <c r="JD262" s="53"/>
      <c r="JE262" s="53"/>
      <c r="JF262" s="53"/>
      <c r="JG262" s="53"/>
      <c r="JH262" s="53"/>
      <c r="JI262" s="53"/>
      <c r="JJ262" s="53"/>
      <c r="JK262" s="53"/>
      <c r="JL262" s="53"/>
      <c r="JM262" s="53"/>
      <c r="JN262" s="53"/>
      <c r="JO262" s="53"/>
      <c r="JP262" s="53"/>
      <c r="JQ262" s="53"/>
      <c r="JR262" s="53"/>
      <c r="JS262" s="53"/>
      <c r="JT262" s="53"/>
      <c r="JU262" s="53"/>
      <c r="JV262" s="53"/>
      <c r="JW262" s="53"/>
      <c r="JX262" s="53"/>
      <c r="JY262" s="53"/>
      <c r="JZ262" s="53"/>
      <c r="KA262" s="53"/>
      <c r="KB262" s="53"/>
      <c r="KC262" s="53"/>
      <c r="KD262" s="53"/>
      <c r="KE262" s="53"/>
      <c r="KF262" s="53"/>
      <c r="KG262" s="53"/>
      <c r="KH262" s="53"/>
      <c r="KI262" s="53"/>
      <c r="KJ262" s="53"/>
      <c r="KK262" s="53"/>
      <c r="KL262" s="53"/>
      <c r="KM262" s="53"/>
      <c r="KN262" s="53"/>
      <c r="KO262" s="53"/>
      <c r="KP262" s="53"/>
      <c r="KQ262" s="53"/>
      <c r="KR262" s="53"/>
      <c r="KS262" s="53"/>
      <c r="KT262" s="53"/>
      <c r="KU262" s="53"/>
      <c r="KV262" s="53"/>
      <c r="KW262" s="53"/>
      <c r="KX262" s="53"/>
      <c r="KY262" s="53"/>
      <c r="KZ262" s="53"/>
      <c r="LA262" s="53"/>
      <c r="LB262" s="53"/>
      <c r="LC262" s="53"/>
      <c r="LD262" s="53"/>
      <c r="LE262" s="53"/>
      <c r="LF262" s="53"/>
      <c r="LG262" s="53"/>
      <c r="LH262" s="53"/>
      <c r="LI262" s="53"/>
      <c r="LJ262" s="53"/>
      <c r="LK262" s="53"/>
      <c r="LL262" s="53"/>
      <c r="LM262" s="53"/>
      <c r="LN262" s="53"/>
      <c r="LO262" s="53"/>
      <c r="LP262" s="53"/>
      <c r="LQ262" s="53"/>
      <c r="LR262" s="53"/>
      <c r="LS262" s="53"/>
      <c r="LT262" s="53"/>
      <c r="LU262" s="53"/>
      <c r="LV262" s="53"/>
      <c r="LW262" s="53"/>
      <c r="LX262" s="53"/>
      <c r="LY262" s="53"/>
      <c r="LZ262" s="53"/>
      <c r="MA262" s="53"/>
      <c r="MB262" s="53"/>
      <c r="MC262" s="53"/>
      <c r="MD262" s="53"/>
      <c r="ME262" s="53"/>
      <c r="MF262" s="53"/>
      <c r="MG262" s="53"/>
      <c r="MH262" s="53"/>
      <c r="MI262" s="53"/>
      <c r="MJ262" s="53"/>
      <c r="MK262" s="53"/>
      <c r="ML262" s="53"/>
      <c r="MM262" s="53"/>
      <c r="MN262" s="53"/>
      <c r="MO262" s="53"/>
      <c r="MP262" s="53"/>
      <c r="MQ262" s="53"/>
      <c r="MR262" s="53"/>
      <c r="MS262" s="53"/>
      <c r="MT262" s="53"/>
      <c r="MU262" s="53"/>
      <c r="MV262" s="53"/>
      <c r="MW262" s="53"/>
      <c r="MX262" s="53"/>
      <c r="MY262" s="53"/>
      <c r="MZ262" s="53"/>
      <c r="NA262" s="53"/>
      <c r="NB262" s="53"/>
      <c r="NC262" s="53"/>
      <c r="ND262" s="53"/>
      <c r="NE262" s="53"/>
      <c r="NF262" s="53"/>
      <c r="NG262" s="53"/>
      <c r="NH262" s="53"/>
      <c r="NI262" s="53"/>
      <c r="NJ262" s="53"/>
      <c r="NK262" s="53"/>
      <c r="NL262" s="53"/>
      <c r="NM262" s="53"/>
      <c r="NN262" s="53"/>
      <c r="NO262" s="53"/>
      <c r="NP262" s="53"/>
      <c r="NQ262" s="53"/>
      <c r="NR262" s="53"/>
      <c r="NS262" s="53"/>
      <c r="NT262" s="53"/>
      <c r="NU262" s="53"/>
      <c r="NV262" s="53"/>
      <c r="NW262" s="53"/>
      <c r="NX262" s="53"/>
      <c r="NY262" s="53"/>
      <c r="NZ262" s="53"/>
      <c r="OA262" s="53"/>
      <c r="OB262" s="53"/>
      <c r="OC262" s="53"/>
      <c r="OD262" s="53"/>
      <c r="OE262" s="53"/>
      <c r="OF262" s="53"/>
      <c r="OG262" s="53"/>
      <c r="OH262" s="53"/>
      <c r="OI262" s="53"/>
      <c r="OJ262" s="53"/>
      <c r="OK262" s="53"/>
      <c r="OL262" s="53"/>
      <c r="OM262" s="53"/>
      <c r="ON262" s="53"/>
      <c r="OO262" s="53"/>
      <c r="OP262" s="53"/>
      <c r="OQ262" s="53"/>
      <c r="OR262" s="53"/>
      <c r="OS262" s="53"/>
      <c r="OT262" s="53"/>
      <c r="OU262" s="53"/>
      <c r="OV262" s="53"/>
      <c r="OW262" s="53"/>
      <c r="OX262" s="53"/>
      <c r="OY262" s="53"/>
      <c r="OZ262" s="53"/>
      <c r="PA262" s="53"/>
      <c r="PB262" s="53"/>
      <c r="PC262" s="53"/>
      <c r="PD262" s="53"/>
      <c r="PE262" s="53"/>
      <c r="PF262" s="53"/>
      <c r="PG262" s="53"/>
      <c r="PH262" s="53"/>
      <c r="PI262" s="53"/>
      <c r="PJ262" s="53"/>
      <c r="PK262" s="53"/>
      <c r="PL262" s="53"/>
      <c r="PM262" s="53"/>
      <c r="PN262" s="53"/>
      <c r="PO262" s="53"/>
      <c r="PP262" s="53"/>
      <c r="PQ262" s="53"/>
      <c r="PR262" s="53"/>
      <c r="PS262" s="53"/>
      <c r="PT262" s="53"/>
      <c r="PU262" s="53"/>
      <c r="PV262" s="53"/>
      <c r="PW262" s="53"/>
      <c r="PX262" s="53"/>
      <c r="PY262" s="53"/>
      <c r="PZ262" s="53"/>
      <c r="QA262" s="53"/>
      <c r="QB262" s="53"/>
      <c r="QC262" s="53"/>
      <c r="QD262" s="53"/>
      <c r="QE262" s="53"/>
      <c r="QF262" s="53"/>
      <c r="QG262" s="53"/>
      <c r="QH262" s="53"/>
      <c r="QI262" s="53"/>
      <c r="QJ262" s="53"/>
      <c r="QK262" s="53"/>
      <c r="QL262" s="53"/>
      <c r="QM262" s="53"/>
      <c r="QN262" s="53"/>
      <c r="QO262" s="53"/>
      <c r="QP262" s="53"/>
      <c r="QQ262" s="53"/>
      <c r="QR262" s="53"/>
      <c r="QS262" s="53"/>
      <c r="QT262" s="53"/>
      <c r="QU262" s="53"/>
      <c r="QV262" s="53"/>
      <c r="QW262" s="53"/>
      <c r="QX262" s="53"/>
      <c r="QY262" s="53"/>
      <c r="QZ262" s="53"/>
      <c r="RA262" s="53"/>
      <c r="RB262" s="53"/>
      <c r="RC262" s="53"/>
      <c r="RD262" s="53"/>
      <c r="RE262" s="53"/>
      <c r="RF262" s="53"/>
      <c r="RG262" s="53"/>
      <c r="RH262" s="53"/>
      <c r="RI262" s="53"/>
      <c r="RJ262" s="53"/>
      <c r="RK262" s="53"/>
      <c r="RL262" s="53"/>
      <c r="RM262" s="53"/>
      <c r="RN262" s="53"/>
      <c r="RO262" s="53"/>
      <c r="RP262" s="53"/>
      <c r="RQ262" s="53"/>
      <c r="RR262" s="53"/>
      <c r="RS262" s="53"/>
      <c r="RT262" s="53"/>
      <c r="RU262" s="53"/>
      <c r="RV262" s="53"/>
      <c r="RW262" s="53"/>
      <c r="RX262" s="53"/>
      <c r="RY262" s="53"/>
      <c r="RZ262" s="53"/>
      <c r="SA262" s="53"/>
      <c r="SB262" s="53"/>
      <c r="SC262" s="53"/>
      <c r="SD262" s="53"/>
      <c r="SE262" s="53"/>
      <c r="SF262" s="53"/>
      <c r="SG262" s="53"/>
      <c r="SH262" s="53"/>
      <c r="SI262" s="53"/>
      <c r="SJ262" s="53"/>
      <c r="SK262" s="53"/>
      <c r="SL262" s="53"/>
      <c r="SM262" s="53"/>
      <c r="SN262" s="53"/>
      <c r="SO262" s="53"/>
      <c r="SP262" s="53"/>
      <c r="SQ262" s="53"/>
      <c r="SR262" s="53"/>
      <c r="SS262" s="53"/>
      <c r="ST262" s="53"/>
      <c r="SU262" s="53"/>
      <c r="SV262" s="53"/>
      <c r="SW262" s="53"/>
      <c r="SX262" s="53"/>
      <c r="SY262" s="53"/>
      <c r="SZ262" s="53"/>
      <c r="TA262" s="53"/>
      <c r="TB262" s="53"/>
      <c r="TC262" s="53"/>
      <c r="TD262" s="53"/>
      <c r="TE262" s="53"/>
      <c r="TF262" s="53"/>
      <c r="TG262" s="53"/>
      <c r="TH262" s="53"/>
      <c r="TI262" s="53"/>
      <c r="TJ262" s="53"/>
      <c r="TK262" s="53"/>
      <c r="TL262" s="53"/>
      <c r="TM262" s="53"/>
      <c r="TN262" s="53"/>
      <c r="TO262" s="53"/>
      <c r="TP262" s="53"/>
      <c r="TQ262" s="53"/>
      <c r="TR262" s="53"/>
      <c r="TS262" s="53"/>
      <c r="TT262" s="53"/>
      <c r="TU262" s="53"/>
      <c r="TV262" s="53"/>
      <c r="TW262" s="53"/>
      <c r="TX262" s="53"/>
      <c r="TY262" s="53"/>
      <c r="TZ262" s="53"/>
      <c r="UA262" s="53"/>
      <c r="UB262" s="53"/>
      <c r="UC262" s="53"/>
      <c r="UD262" s="53"/>
      <c r="UE262" s="53"/>
      <c r="UF262" s="53"/>
      <c r="UG262" s="53"/>
      <c r="UH262" s="53"/>
      <c r="UI262" s="53"/>
      <c r="UJ262" s="53"/>
      <c r="UK262" s="53"/>
      <c r="UL262" s="53"/>
      <c r="UM262" s="53"/>
      <c r="UN262" s="53"/>
      <c r="UO262" s="53"/>
      <c r="UP262" s="53"/>
      <c r="UQ262" s="53"/>
      <c r="UR262" s="53"/>
      <c r="US262" s="53"/>
      <c r="UT262" s="53"/>
      <c r="UU262" s="53"/>
      <c r="UV262" s="53"/>
      <c r="UW262" s="53"/>
      <c r="UX262" s="53"/>
      <c r="UY262" s="53"/>
      <c r="UZ262" s="53"/>
      <c r="VA262" s="53"/>
      <c r="VB262" s="53"/>
      <c r="VC262" s="53"/>
      <c r="VD262" s="53"/>
      <c r="VE262" s="53"/>
      <c r="VF262" s="53"/>
      <c r="VG262" s="53"/>
      <c r="VH262" s="53"/>
      <c r="VI262" s="53"/>
      <c r="VJ262" s="53"/>
      <c r="VK262" s="53"/>
      <c r="VL262" s="53"/>
    </row>
    <row r="263" spans="1:584" s="47" customFormat="1" ht="15" hidden="1" customHeight="1" x14ac:dyDescent="0.25">
      <c r="A263" s="45"/>
      <c r="B263" s="91"/>
      <c r="C263" s="91"/>
      <c r="D263" s="46" t="s">
        <v>342</v>
      </c>
      <c r="E263" s="115">
        <v>0</v>
      </c>
      <c r="F263" s="115"/>
      <c r="G263" s="115"/>
      <c r="H263" s="115"/>
      <c r="I263" s="115"/>
      <c r="J263" s="115"/>
      <c r="K263" s="164" t="e">
        <f t="shared" si="59"/>
        <v>#DIV/0!</v>
      </c>
      <c r="L263" s="115">
        <f t="shared" si="71"/>
        <v>0</v>
      </c>
      <c r="M263" s="115"/>
      <c r="N263" s="115"/>
      <c r="O263" s="115"/>
      <c r="P263" s="115"/>
      <c r="Q263" s="115"/>
      <c r="R263" s="115">
        <f t="shared" si="72"/>
        <v>0</v>
      </c>
      <c r="S263" s="115"/>
      <c r="T263" s="115"/>
      <c r="U263" s="115"/>
      <c r="V263" s="115"/>
      <c r="W263" s="115"/>
      <c r="X263" s="166" t="e">
        <f t="shared" si="60"/>
        <v>#DIV/0!</v>
      </c>
      <c r="Y263" s="115">
        <f t="shared" si="81"/>
        <v>0</v>
      </c>
      <c r="Z263" s="187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  <c r="GN263" s="53"/>
      <c r="GO263" s="53"/>
      <c r="GP263" s="53"/>
      <c r="GQ263" s="53"/>
      <c r="GR263" s="53"/>
      <c r="GS263" s="53"/>
      <c r="GT263" s="53"/>
      <c r="GU263" s="53"/>
      <c r="GV263" s="53"/>
      <c r="GW263" s="53"/>
      <c r="GX263" s="53"/>
      <c r="GY263" s="53"/>
      <c r="GZ263" s="53"/>
      <c r="HA263" s="53"/>
      <c r="HB263" s="53"/>
      <c r="HC263" s="53"/>
      <c r="HD263" s="53"/>
      <c r="HE263" s="53"/>
      <c r="HF263" s="53"/>
      <c r="HG263" s="53"/>
      <c r="HH263" s="53"/>
      <c r="HI263" s="53"/>
      <c r="HJ263" s="53"/>
      <c r="HK263" s="53"/>
      <c r="HL263" s="53"/>
      <c r="HM263" s="53"/>
      <c r="HN263" s="53"/>
      <c r="HO263" s="53"/>
      <c r="HP263" s="53"/>
      <c r="HQ263" s="53"/>
      <c r="HR263" s="53"/>
      <c r="HS263" s="53"/>
      <c r="HT263" s="53"/>
      <c r="HU263" s="53"/>
      <c r="HV263" s="53"/>
      <c r="HW263" s="53"/>
      <c r="HX263" s="53"/>
      <c r="HY263" s="53"/>
      <c r="HZ263" s="53"/>
      <c r="IA263" s="53"/>
      <c r="IB263" s="53"/>
      <c r="IC263" s="53"/>
      <c r="ID263" s="53"/>
      <c r="IE263" s="53"/>
      <c r="IF263" s="53"/>
      <c r="IG263" s="53"/>
      <c r="IH263" s="53"/>
      <c r="II263" s="53"/>
      <c r="IJ263" s="53"/>
      <c r="IK263" s="53"/>
      <c r="IL263" s="53"/>
      <c r="IM263" s="53"/>
      <c r="IN263" s="53"/>
      <c r="IO263" s="53"/>
      <c r="IP263" s="53"/>
      <c r="IQ263" s="53"/>
      <c r="IR263" s="53"/>
      <c r="IS263" s="53"/>
      <c r="IT263" s="53"/>
      <c r="IU263" s="53"/>
      <c r="IV263" s="53"/>
      <c r="IW263" s="53"/>
      <c r="IX263" s="53"/>
      <c r="IY263" s="53"/>
      <c r="IZ263" s="53"/>
      <c r="JA263" s="53"/>
      <c r="JB263" s="53"/>
      <c r="JC263" s="53"/>
      <c r="JD263" s="53"/>
      <c r="JE263" s="53"/>
      <c r="JF263" s="53"/>
      <c r="JG263" s="53"/>
      <c r="JH263" s="53"/>
      <c r="JI263" s="53"/>
      <c r="JJ263" s="53"/>
      <c r="JK263" s="53"/>
      <c r="JL263" s="53"/>
      <c r="JM263" s="53"/>
      <c r="JN263" s="53"/>
      <c r="JO263" s="53"/>
      <c r="JP263" s="53"/>
      <c r="JQ263" s="53"/>
      <c r="JR263" s="53"/>
      <c r="JS263" s="53"/>
      <c r="JT263" s="53"/>
      <c r="JU263" s="53"/>
      <c r="JV263" s="53"/>
      <c r="JW263" s="53"/>
      <c r="JX263" s="53"/>
      <c r="JY263" s="53"/>
      <c r="JZ263" s="53"/>
      <c r="KA263" s="53"/>
      <c r="KB263" s="53"/>
      <c r="KC263" s="53"/>
      <c r="KD263" s="53"/>
      <c r="KE263" s="53"/>
      <c r="KF263" s="53"/>
      <c r="KG263" s="53"/>
      <c r="KH263" s="53"/>
      <c r="KI263" s="53"/>
      <c r="KJ263" s="53"/>
      <c r="KK263" s="53"/>
      <c r="KL263" s="53"/>
      <c r="KM263" s="53"/>
      <c r="KN263" s="53"/>
      <c r="KO263" s="53"/>
      <c r="KP263" s="53"/>
      <c r="KQ263" s="53"/>
      <c r="KR263" s="53"/>
      <c r="KS263" s="53"/>
      <c r="KT263" s="53"/>
      <c r="KU263" s="53"/>
      <c r="KV263" s="53"/>
      <c r="KW263" s="53"/>
      <c r="KX263" s="53"/>
      <c r="KY263" s="53"/>
      <c r="KZ263" s="53"/>
      <c r="LA263" s="53"/>
      <c r="LB263" s="53"/>
      <c r="LC263" s="53"/>
      <c r="LD263" s="53"/>
      <c r="LE263" s="53"/>
      <c r="LF263" s="53"/>
      <c r="LG263" s="53"/>
      <c r="LH263" s="53"/>
      <c r="LI263" s="53"/>
      <c r="LJ263" s="53"/>
      <c r="LK263" s="53"/>
      <c r="LL263" s="53"/>
      <c r="LM263" s="53"/>
      <c r="LN263" s="53"/>
      <c r="LO263" s="53"/>
      <c r="LP263" s="53"/>
      <c r="LQ263" s="53"/>
      <c r="LR263" s="53"/>
      <c r="LS263" s="53"/>
      <c r="LT263" s="53"/>
      <c r="LU263" s="53"/>
      <c r="LV263" s="53"/>
      <c r="LW263" s="53"/>
      <c r="LX263" s="53"/>
      <c r="LY263" s="53"/>
      <c r="LZ263" s="53"/>
      <c r="MA263" s="53"/>
      <c r="MB263" s="53"/>
      <c r="MC263" s="53"/>
      <c r="MD263" s="53"/>
      <c r="ME263" s="53"/>
      <c r="MF263" s="53"/>
      <c r="MG263" s="53"/>
      <c r="MH263" s="53"/>
      <c r="MI263" s="53"/>
      <c r="MJ263" s="53"/>
      <c r="MK263" s="53"/>
      <c r="ML263" s="53"/>
      <c r="MM263" s="53"/>
      <c r="MN263" s="53"/>
      <c r="MO263" s="53"/>
      <c r="MP263" s="53"/>
      <c r="MQ263" s="53"/>
      <c r="MR263" s="53"/>
      <c r="MS263" s="53"/>
      <c r="MT263" s="53"/>
      <c r="MU263" s="53"/>
      <c r="MV263" s="53"/>
      <c r="MW263" s="53"/>
      <c r="MX263" s="53"/>
      <c r="MY263" s="53"/>
      <c r="MZ263" s="53"/>
      <c r="NA263" s="53"/>
      <c r="NB263" s="53"/>
      <c r="NC263" s="53"/>
      <c r="ND263" s="53"/>
      <c r="NE263" s="53"/>
      <c r="NF263" s="53"/>
      <c r="NG263" s="53"/>
      <c r="NH263" s="53"/>
      <c r="NI263" s="53"/>
      <c r="NJ263" s="53"/>
      <c r="NK263" s="53"/>
      <c r="NL263" s="53"/>
      <c r="NM263" s="53"/>
      <c r="NN263" s="53"/>
      <c r="NO263" s="53"/>
      <c r="NP263" s="53"/>
      <c r="NQ263" s="53"/>
      <c r="NR263" s="53"/>
      <c r="NS263" s="53"/>
      <c r="NT263" s="53"/>
      <c r="NU263" s="53"/>
      <c r="NV263" s="53"/>
      <c r="NW263" s="53"/>
      <c r="NX263" s="53"/>
      <c r="NY263" s="53"/>
      <c r="NZ263" s="53"/>
      <c r="OA263" s="53"/>
      <c r="OB263" s="53"/>
      <c r="OC263" s="53"/>
      <c r="OD263" s="53"/>
      <c r="OE263" s="53"/>
      <c r="OF263" s="53"/>
      <c r="OG263" s="53"/>
      <c r="OH263" s="53"/>
      <c r="OI263" s="53"/>
      <c r="OJ263" s="53"/>
      <c r="OK263" s="53"/>
      <c r="OL263" s="53"/>
      <c r="OM263" s="53"/>
      <c r="ON263" s="53"/>
      <c r="OO263" s="53"/>
      <c r="OP263" s="53"/>
      <c r="OQ263" s="53"/>
      <c r="OR263" s="53"/>
      <c r="OS263" s="53"/>
      <c r="OT263" s="53"/>
      <c r="OU263" s="53"/>
      <c r="OV263" s="53"/>
      <c r="OW263" s="53"/>
      <c r="OX263" s="53"/>
      <c r="OY263" s="53"/>
      <c r="OZ263" s="53"/>
      <c r="PA263" s="53"/>
      <c r="PB263" s="53"/>
      <c r="PC263" s="53"/>
      <c r="PD263" s="53"/>
      <c r="PE263" s="53"/>
      <c r="PF263" s="53"/>
      <c r="PG263" s="53"/>
      <c r="PH263" s="53"/>
      <c r="PI263" s="53"/>
      <c r="PJ263" s="53"/>
      <c r="PK263" s="53"/>
      <c r="PL263" s="53"/>
      <c r="PM263" s="53"/>
      <c r="PN263" s="53"/>
      <c r="PO263" s="53"/>
      <c r="PP263" s="53"/>
      <c r="PQ263" s="53"/>
      <c r="PR263" s="53"/>
      <c r="PS263" s="53"/>
      <c r="PT263" s="53"/>
      <c r="PU263" s="53"/>
      <c r="PV263" s="53"/>
      <c r="PW263" s="53"/>
      <c r="PX263" s="53"/>
      <c r="PY263" s="53"/>
      <c r="PZ263" s="53"/>
      <c r="QA263" s="53"/>
      <c r="QB263" s="53"/>
      <c r="QC263" s="53"/>
      <c r="QD263" s="53"/>
      <c r="QE263" s="53"/>
      <c r="QF263" s="53"/>
      <c r="QG263" s="53"/>
      <c r="QH263" s="53"/>
      <c r="QI263" s="53"/>
      <c r="QJ263" s="53"/>
      <c r="QK263" s="53"/>
      <c r="QL263" s="53"/>
      <c r="QM263" s="53"/>
      <c r="QN263" s="53"/>
      <c r="QO263" s="53"/>
      <c r="QP263" s="53"/>
      <c r="QQ263" s="53"/>
      <c r="QR263" s="53"/>
      <c r="QS263" s="53"/>
      <c r="QT263" s="53"/>
      <c r="QU263" s="53"/>
      <c r="QV263" s="53"/>
      <c r="QW263" s="53"/>
      <c r="QX263" s="53"/>
      <c r="QY263" s="53"/>
      <c r="QZ263" s="53"/>
      <c r="RA263" s="53"/>
      <c r="RB263" s="53"/>
      <c r="RC263" s="53"/>
      <c r="RD263" s="53"/>
      <c r="RE263" s="53"/>
      <c r="RF263" s="53"/>
      <c r="RG263" s="53"/>
      <c r="RH263" s="53"/>
      <c r="RI263" s="53"/>
      <c r="RJ263" s="53"/>
      <c r="RK263" s="53"/>
      <c r="RL263" s="53"/>
      <c r="RM263" s="53"/>
      <c r="RN263" s="53"/>
      <c r="RO263" s="53"/>
      <c r="RP263" s="53"/>
      <c r="RQ263" s="53"/>
      <c r="RR263" s="53"/>
      <c r="RS263" s="53"/>
      <c r="RT263" s="53"/>
      <c r="RU263" s="53"/>
      <c r="RV263" s="53"/>
      <c r="RW263" s="53"/>
      <c r="RX263" s="53"/>
      <c r="RY263" s="53"/>
      <c r="RZ263" s="53"/>
      <c r="SA263" s="53"/>
      <c r="SB263" s="53"/>
      <c r="SC263" s="53"/>
      <c r="SD263" s="53"/>
      <c r="SE263" s="53"/>
      <c r="SF263" s="53"/>
      <c r="SG263" s="53"/>
      <c r="SH263" s="53"/>
      <c r="SI263" s="53"/>
      <c r="SJ263" s="53"/>
      <c r="SK263" s="53"/>
      <c r="SL263" s="53"/>
      <c r="SM263" s="53"/>
      <c r="SN263" s="53"/>
      <c r="SO263" s="53"/>
      <c r="SP263" s="53"/>
      <c r="SQ263" s="53"/>
      <c r="SR263" s="53"/>
      <c r="SS263" s="53"/>
      <c r="ST263" s="53"/>
      <c r="SU263" s="53"/>
      <c r="SV263" s="53"/>
      <c r="SW263" s="53"/>
      <c r="SX263" s="53"/>
      <c r="SY263" s="53"/>
      <c r="SZ263" s="53"/>
      <c r="TA263" s="53"/>
      <c r="TB263" s="53"/>
      <c r="TC263" s="53"/>
      <c r="TD263" s="53"/>
      <c r="TE263" s="53"/>
      <c r="TF263" s="53"/>
      <c r="TG263" s="53"/>
      <c r="TH263" s="53"/>
      <c r="TI263" s="53"/>
      <c r="TJ263" s="53"/>
      <c r="TK263" s="53"/>
      <c r="TL263" s="53"/>
      <c r="TM263" s="53"/>
      <c r="TN263" s="53"/>
      <c r="TO263" s="53"/>
      <c r="TP263" s="53"/>
      <c r="TQ263" s="53"/>
      <c r="TR263" s="53"/>
      <c r="TS263" s="53"/>
      <c r="TT263" s="53"/>
      <c r="TU263" s="53"/>
      <c r="TV263" s="53"/>
      <c r="TW263" s="53"/>
      <c r="TX263" s="53"/>
      <c r="TY263" s="53"/>
      <c r="TZ263" s="53"/>
      <c r="UA263" s="53"/>
      <c r="UB263" s="53"/>
      <c r="UC263" s="53"/>
      <c r="UD263" s="53"/>
      <c r="UE263" s="53"/>
      <c r="UF263" s="53"/>
      <c r="UG263" s="53"/>
      <c r="UH263" s="53"/>
      <c r="UI263" s="53"/>
      <c r="UJ263" s="53"/>
      <c r="UK263" s="53"/>
      <c r="UL263" s="53"/>
      <c r="UM263" s="53"/>
      <c r="UN263" s="53"/>
      <c r="UO263" s="53"/>
      <c r="UP263" s="53"/>
      <c r="UQ263" s="53"/>
      <c r="UR263" s="53"/>
      <c r="US263" s="53"/>
      <c r="UT263" s="53"/>
      <c r="UU263" s="53"/>
      <c r="UV263" s="53"/>
      <c r="UW263" s="53"/>
      <c r="UX263" s="53"/>
      <c r="UY263" s="53"/>
      <c r="UZ263" s="53"/>
      <c r="VA263" s="53"/>
      <c r="VB263" s="53"/>
      <c r="VC263" s="53"/>
      <c r="VD263" s="53"/>
      <c r="VE263" s="53"/>
      <c r="VF263" s="53"/>
      <c r="VG263" s="53"/>
      <c r="VH263" s="53"/>
      <c r="VI263" s="53"/>
      <c r="VJ263" s="53"/>
      <c r="VK263" s="53"/>
      <c r="VL263" s="53"/>
    </row>
    <row r="264" spans="1:584" s="47" customFormat="1" ht="30" hidden="1" customHeight="1" x14ac:dyDescent="0.25">
      <c r="A264" s="45" t="s">
        <v>509</v>
      </c>
      <c r="B264" s="91" t="str">
        <f>'дод 3'!A180</f>
        <v>7442</v>
      </c>
      <c r="C264" s="91" t="str">
        <f>'дод 3'!B180</f>
        <v>0456</v>
      </c>
      <c r="D264" s="48" t="str">
        <f>'дод 3'!C180</f>
        <v>Утримання та розвиток інших об’єктів транспортної інфраструктури</v>
      </c>
      <c r="E264" s="115">
        <v>0</v>
      </c>
      <c r="F264" s="115"/>
      <c r="G264" s="115"/>
      <c r="H264" s="115"/>
      <c r="I264" s="115"/>
      <c r="J264" s="115"/>
      <c r="K264" s="164" t="e">
        <f t="shared" si="59"/>
        <v>#DIV/0!</v>
      </c>
      <c r="L264" s="115">
        <f t="shared" si="71"/>
        <v>0</v>
      </c>
      <c r="M264" s="115"/>
      <c r="N264" s="115"/>
      <c r="O264" s="115"/>
      <c r="P264" s="115"/>
      <c r="Q264" s="115"/>
      <c r="R264" s="115">
        <f t="shared" si="72"/>
        <v>0</v>
      </c>
      <c r="S264" s="115"/>
      <c r="T264" s="115"/>
      <c r="U264" s="115"/>
      <c r="V264" s="115"/>
      <c r="W264" s="115"/>
      <c r="X264" s="166" t="e">
        <f t="shared" si="60"/>
        <v>#DIV/0!</v>
      </c>
      <c r="Y264" s="115">
        <f t="shared" si="81"/>
        <v>0</v>
      </c>
      <c r="Z264" s="187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  <c r="GN264" s="53"/>
      <c r="GO264" s="53"/>
      <c r="GP264" s="53"/>
      <c r="GQ264" s="53"/>
      <c r="GR264" s="53"/>
      <c r="GS264" s="53"/>
      <c r="GT264" s="53"/>
      <c r="GU264" s="53"/>
      <c r="GV264" s="53"/>
      <c r="GW264" s="53"/>
      <c r="GX264" s="53"/>
      <c r="GY264" s="53"/>
      <c r="GZ264" s="53"/>
      <c r="HA264" s="53"/>
      <c r="HB264" s="53"/>
      <c r="HC264" s="53"/>
      <c r="HD264" s="53"/>
      <c r="HE264" s="53"/>
      <c r="HF264" s="53"/>
      <c r="HG264" s="53"/>
      <c r="HH264" s="53"/>
      <c r="HI264" s="53"/>
      <c r="HJ264" s="53"/>
      <c r="HK264" s="53"/>
      <c r="HL264" s="53"/>
      <c r="HM264" s="53"/>
      <c r="HN264" s="53"/>
      <c r="HO264" s="53"/>
      <c r="HP264" s="53"/>
      <c r="HQ264" s="53"/>
      <c r="HR264" s="53"/>
      <c r="HS264" s="53"/>
      <c r="HT264" s="53"/>
      <c r="HU264" s="53"/>
      <c r="HV264" s="53"/>
      <c r="HW264" s="53"/>
      <c r="HX264" s="53"/>
      <c r="HY264" s="53"/>
      <c r="HZ264" s="53"/>
      <c r="IA264" s="53"/>
      <c r="IB264" s="53"/>
      <c r="IC264" s="53"/>
      <c r="ID264" s="53"/>
      <c r="IE264" s="53"/>
      <c r="IF264" s="53"/>
      <c r="IG264" s="53"/>
      <c r="IH264" s="53"/>
      <c r="II264" s="53"/>
      <c r="IJ264" s="53"/>
      <c r="IK264" s="53"/>
      <c r="IL264" s="53"/>
      <c r="IM264" s="53"/>
      <c r="IN264" s="53"/>
      <c r="IO264" s="53"/>
      <c r="IP264" s="53"/>
      <c r="IQ264" s="53"/>
      <c r="IR264" s="53"/>
      <c r="IS264" s="53"/>
      <c r="IT264" s="53"/>
      <c r="IU264" s="53"/>
      <c r="IV264" s="53"/>
      <c r="IW264" s="53"/>
      <c r="IX264" s="53"/>
      <c r="IY264" s="53"/>
      <c r="IZ264" s="53"/>
      <c r="JA264" s="53"/>
      <c r="JB264" s="53"/>
      <c r="JC264" s="53"/>
      <c r="JD264" s="53"/>
      <c r="JE264" s="53"/>
      <c r="JF264" s="53"/>
      <c r="JG264" s="53"/>
      <c r="JH264" s="53"/>
      <c r="JI264" s="53"/>
      <c r="JJ264" s="53"/>
      <c r="JK264" s="53"/>
      <c r="JL264" s="53"/>
      <c r="JM264" s="53"/>
      <c r="JN264" s="53"/>
      <c r="JO264" s="53"/>
      <c r="JP264" s="53"/>
      <c r="JQ264" s="53"/>
      <c r="JR264" s="53"/>
      <c r="JS264" s="53"/>
      <c r="JT264" s="53"/>
      <c r="JU264" s="53"/>
      <c r="JV264" s="53"/>
      <c r="JW264" s="53"/>
      <c r="JX264" s="53"/>
      <c r="JY264" s="53"/>
      <c r="JZ264" s="53"/>
      <c r="KA264" s="53"/>
      <c r="KB264" s="53"/>
      <c r="KC264" s="53"/>
      <c r="KD264" s="53"/>
      <c r="KE264" s="53"/>
      <c r="KF264" s="53"/>
      <c r="KG264" s="53"/>
      <c r="KH264" s="53"/>
      <c r="KI264" s="53"/>
      <c r="KJ264" s="53"/>
      <c r="KK264" s="53"/>
      <c r="KL264" s="53"/>
      <c r="KM264" s="53"/>
      <c r="KN264" s="53"/>
      <c r="KO264" s="53"/>
      <c r="KP264" s="53"/>
      <c r="KQ264" s="53"/>
      <c r="KR264" s="53"/>
      <c r="KS264" s="53"/>
      <c r="KT264" s="53"/>
      <c r="KU264" s="53"/>
      <c r="KV264" s="53"/>
      <c r="KW264" s="53"/>
      <c r="KX264" s="53"/>
      <c r="KY264" s="53"/>
      <c r="KZ264" s="53"/>
      <c r="LA264" s="53"/>
      <c r="LB264" s="53"/>
      <c r="LC264" s="53"/>
      <c r="LD264" s="53"/>
      <c r="LE264" s="53"/>
      <c r="LF264" s="53"/>
      <c r="LG264" s="53"/>
      <c r="LH264" s="53"/>
      <c r="LI264" s="53"/>
      <c r="LJ264" s="53"/>
      <c r="LK264" s="53"/>
      <c r="LL264" s="53"/>
      <c r="LM264" s="53"/>
      <c r="LN264" s="53"/>
      <c r="LO264" s="53"/>
      <c r="LP264" s="53"/>
      <c r="LQ264" s="53"/>
      <c r="LR264" s="53"/>
      <c r="LS264" s="53"/>
      <c r="LT264" s="53"/>
      <c r="LU264" s="53"/>
      <c r="LV264" s="53"/>
      <c r="LW264" s="53"/>
      <c r="LX264" s="53"/>
      <c r="LY264" s="53"/>
      <c r="LZ264" s="53"/>
      <c r="MA264" s="53"/>
      <c r="MB264" s="53"/>
      <c r="MC264" s="53"/>
      <c r="MD264" s="53"/>
      <c r="ME264" s="53"/>
      <c r="MF264" s="53"/>
      <c r="MG264" s="53"/>
      <c r="MH264" s="53"/>
      <c r="MI264" s="53"/>
      <c r="MJ264" s="53"/>
      <c r="MK264" s="53"/>
      <c r="ML264" s="53"/>
      <c r="MM264" s="53"/>
      <c r="MN264" s="53"/>
      <c r="MO264" s="53"/>
      <c r="MP264" s="53"/>
      <c r="MQ264" s="53"/>
      <c r="MR264" s="53"/>
      <c r="MS264" s="53"/>
      <c r="MT264" s="53"/>
      <c r="MU264" s="53"/>
      <c r="MV264" s="53"/>
      <c r="MW264" s="53"/>
      <c r="MX264" s="53"/>
      <c r="MY264" s="53"/>
      <c r="MZ264" s="53"/>
      <c r="NA264" s="53"/>
      <c r="NB264" s="53"/>
      <c r="NC264" s="53"/>
      <c r="ND264" s="53"/>
      <c r="NE264" s="53"/>
      <c r="NF264" s="53"/>
      <c r="NG264" s="53"/>
      <c r="NH264" s="53"/>
      <c r="NI264" s="53"/>
      <c r="NJ264" s="53"/>
      <c r="NK264" s="53"/>
      <c r="NL264" s="53"/>
      <c r="NM264" s="53"/>
      <c r="NN264" s="53"/>
      <c r="NO264" s="53"/>
      <c r="NP264" s="53"/>
      <c r="NQ264" s="53"/>
      <c r="NR264" s="53"/>
      <c r="NS264" s="53"/>
      <c r="NT264" s="53"/>
      <c r="NU264" s="53"/>
      <c r="NV264" s="53"/>
      <c r="NW264" s="53"/>
      <c r="NX264" s="53"/>
      <c r="NY264" s="53"/>
      <c r="NZ264" s="53"/>
      <c r="OA264" s="53"/>
      <c r="OB264" s="53"/>
      <c r="OC264" s="53"/>
      <c r="OD264" s="53"/>
      <c r="OE264" s="53"/>
      <c r="OF264" s="53"/>
      <c r="OG264" s="53"/>
      <c r="OH264" s="53"/>
      <c r="OI264" s="53"/>
      <c r="OJ264" s="53"/>
      <c r="OK264" s="53"/>
      <c r="OL264" s="53"/>
      <c r="OM264" s="53"/>
      <c r="ON264" s="53"/>
      <c r="OO264" s="53"/>
      <c r="OP264" s="53"/>
      <c r="OQ264" s="53"/>
      <c r="OR264" s="53"/>
      <c r="OS264" s="53"/>
      <c r="OT264" s="53"/>
      <c r="OU264" s="53"/>
      <c r="OV264" s="53"/>
      <c r="OW264" s="53"/>
      <c r="OX264" s="53"/>
      <c r="OY264" s="53"/>
      <c r="OZ264" s="53"/>
      <c r="PA264" s="53"/>
      <c r="PB264" s="53"/>
      <c r="PC264" s="53"/>
      <c r="PD264" s="53"/>
      <c r="PE264" s="53"/>
      <c r="PF264" s="53"/>
      <c r="PG264" s="53"/>
      <c r="PH264" s="53"/>
      <c r="PI264" s="53"/>
      <c r="PJ264" s="53"/>
      <c r="PK264" s="53"/>
      <c r="PL264" s="53"/>
      <c r="PM264" s="53"/>
      <c r="PN264" s="53"/>
      <c r="PO264" s="53"/>
      <c r="PP264" s="53"/>
      <c r="PQ264" s="53"/>
      <c r="PR264" s="53"/>
      <c r="PS264" s="53"/>
      <c r="PT264" s="53"/>
      <c r="PU264" s="53"/>
      <c r="PV264" s="53"/>
      <c r="PW264" s="53"/>
      <c r="PX264" s="53"/>
      <c r="PY264" s="53"/>
      <c r="PZ264" s="53"/>
      <c r="QA264" s="53"/>
      <c r="QB264" s="53"/>
      <c r="QC264" s="53"/>
      <c r="QD264" s="53"/>
      <c r="QE264" s="53"/>
      <c r="QF264" s="53"/>
      <c r="QG264" s="53"/>
      <c r="QH264" s="53"/>
      <c r="QI264" s="53"/>
      <c r="QJ264" s="53"/>
      <c r="QK264" s="53"/>
      <c r="QL264" s="53"/>
      <c r="QM264" s="53"/>
      <c r="QN264" s="53"/>
      <c r="QO264" s="53"/>
      <c r="QP264" s="53"/>
      <c r="QQ264" s="53"/>
      <c r="QR264" s="53"/>
      <c r="QS264" s="53"/>
      <c r="QT264" s="53"/>
      <c r="QU264" s="53"/>
      <c r="QV264" s="53"/>
      <c r="QW264" s="53"/>
      <c r="QX264" s="53"/>
      <c r="QY264" s="53"/>
      <c r="QZ264" s="53"/>
      <c r="RA264" s="53"/>
      <c r="RB264" s="53"/>
      <c r="RC264" s="53"/>
      <c r="RD264" s="53"/>
      <c r="RE264" s="53"/>
      <c r="RF264" s="53"/>
      <c r="RG264" s="53"/>
      <c r="RH264" s="53"/>
      <c r="RI264" s="53"/>
      <c r="RJ264" s="53"/>
      <c r="RK264" s="53"/>
      <c r="RL264" s="53"/>
      <c r="RM264" s="53"/>
      <c r="RN264" s="53"/>
      <c r="RO264" s="53"/>
      <c r="RP264" s="53"/>
      <c r="RQ264" s="53"/>
      <c r="RR264" s="53"/>
      <c r="RS264" s="53"/>
      <c r="RT264" s="53"/>
      <c r="RU264" s="53"/>
      <c r="RV264" s="53"/>
      <c r="RW264" s="53"/>
      <c r="RX264" s="53"/>
      <c r="RY264" s="53"/>
      <c r="RZ264" s="53"/>
      <c r="SA264" s="53"/>
      <c r="SB264" s="53"/>
      <c r="SC264" s="53"/>
      <c r="SD264" s="53"/>
      <c r="SE264" s="53"/>
      <c r="SF264" s="53"/>
      <c r="SG264" s="53"/>
      <c r="SH264" s="53"/>
      <c r="SI264" s="53"/>
      <c r="SJ264" s="53"/>
      <c r="SK264" s="53"/>
      <c r="SL264" s="53"/>
      <c r="SM264" s="53"/>
      <c r="SN264" s="53"/>
      <c r="SO264" s="53"/>
      <c r="SP264" s="53"/>
      <c r="SQ264" s="53"/>
      <c r="SR264" s="53"/>
      <c r="SS264" s="53"/>
      <c r="ST264" s="53"/>
      <c r="SU264" s="53"/>
      <c r="SV264" s="53"/>
      <c r="SW264" s="53"/>
      <c r="SX264" s="53"/>
      <c r="SY264" s="53"/>
      <c r="SZ264" s="53"/>
      <c r="TA264" s="53"/>
      <c r="TB264" s="53"/>
      <c r="TC264" s="53"/>
      <c r="TD264" s="53"/>
      <c r="TE264" s="53"/>
      <c r="TF264" s="53"/>
      <c r="TG264" s="53"/>
      <c r="TH264" s="53"/>
      <c r="TI264" s="53"/>
      <c r="TJ264" s="53"/>
      <c r="TK264" s="53"/>
      <c r="TL264" s="53"/>
      <c r="TM264" s="53"/>
      <c r="TN264" s="53"/>
      <c r="TO264" s="53"/>
      <c r="TP264" s="53"/>
      <c r="TQ264" s="53"/>
      <c r="TR264" s="53"/>
      <c r="TS264" s="53"/>
      <c r="TT264" s="53"/>
      <c r="TU264" s="53"/>
      <c r="TV264" s="53"/>
      <c r="TW264" s="53"/>
      <c r="TX264" s="53"/>
      <c r="TY264" s="53"/>
      <c r="TZ264" s="53"/>
      <c r="UA264" s="53"/>
      <c r="UB264" s="53"/>
      <c r="UC264" s="53"/>
      <c r="UD264" s="53"/>
      <c r="UE264" s="53"/>
      <c r="UF264" s="53"/>
      <c r="UG264" s="53"/>
      <c r="UH264" s="53"/>
      <c r="UI264" s="53"/>
      <c r="UJ264" s="53"/>
      <c r="UK264" s="53"/>
      <c r="UL264" s="53"/>
      <c r="UM264" s="53"/>
      <c r="UN264" s="53"/>
      <c r="UO264" s="53"/>
      <c r="UP264" s="53"/>
      <c r="UQ264" s="53"/>
      <c r="UR264" s="53"/>
      <c r="US264" s="53"/>
      <c r="UT264" s="53"/>
      <c r="UU264" s="53"/>
      <c r="UV264" s="53"/>
      <c r="UW264" s="53"/>
      <c r="UX264" s="53"/>
      <c r="UY264" s="53"/>
      <c r="UZ264" s="53"/>
      <c r="VA264" s="53"/>
      <c r="VB264" s="53"/>
      <c r="VC264" s="53"/>
      <c r="VD264" s="53"/>
      <c r="VE264" s="53"/>
      <c r="VF264" s="53"/>
      <c r="VG264" s="53"/>
      <c r="VH264" s="53"/>
      <c r="VI264" s="53"/>
      <c r="VJ264" s="53"/>
      <c r="VK264" s="53"/>
      <c r="VL264" s="53"/>
    </row>
    <row r="265" spans="1:584" s="47" customFormat="1" ht="41.25" customHeight="1" x14ac:dyDescent="0.25">
      <c r="A265" s="91">
        <v>1517361</v>
      </c>
      <c r="B265" s="91">
        <v>7361</v>
      </c>
      <c r="C265" s="91" t="s">
        <v>112</v>
      </c>
      <c r="D265" s="48" t="s">
        <v>513</v>
      </c>
      <c r="E265" s="115">
        <v>0</v>
      </c>
      <c r="F265" s="115"/>
      <c r="G265" s="115"/>
      <c r="H265" s="115"/>
      <c r="I265" s="115"/>
      <c r="J265" s="115"/>
      <c r="K265" s="164"/>
      <c r="L265" s="115">
        <f t="shared" si="71"/>
        <v>28000</v>
      </c>
      <c r="M265" s="115">
        <v>28000</v>
      </c>
      <c r="N265" s="115"/>
      <c r="O265" s="115"/>
      <c r="P265" s="115"/>
      <c r="Q265" s="115">
        <v>28000</v>
      </c>
      <c r="R265" s="115">
        <f t="shared" si="72"/>
        <v>28000</v>
      </c>
      <c r="S265" s="115">
        <v>28000</v>
      </c>
      <c r="T265" s="115"/>
      <c r="U265" s="115"/>
      <c r="V265" s="115"/>
      <c r="W265" s="115">
        <v>28000</v>
      </c>
      <c r="X265" s="166">
        <f t="shared" si="60"/>
        <v>100</v>
      </c>
      <c r="Y265" s="115">
        <f t="shared" si="81"/>
        <v>28000</v>
      </c>
      <c r="Z265" s="187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  <c r="DA265" s="53"/>
      <c r="DB265" s="53"/>
      <c r="DC265" s="53"/>
      <c r="DD265" s="53"/>
      <c r="DE265" s="53"/>
      <c r="DF265" s="53"/>
      <c r="DG265" s="53"/>
      <c r="DH265" s="53"/>
      <c r="DI265" s="53"/>
      <c r="DJ265" s="53"/>
      <c r="DK265" s="53"/>
      <c r="DL265" s="53"/>
      <c r="DM265" s="53"/>
      <c r="DN265" s="53"/>
      <c r="DO265" s="53"/>
      <c r="DP265" s="53"/>
      <c r="DQ265" s="53"/>
      <c r="DR265" s="53"/>
      <c r="DS265" s="53"/>
      <c r="DT265" s="53"/>
      <c r="DU265" s="53"/>
      <c r="DV265" s="53"/>
      <c r="DW265" s="53"/>
      <c r="DX265" s="53"/>
      <c r="DY265" s="53"/>
      <c r="DZ265" s="53"/>
      <c r="EA265" s="53"/>
      <c r="EB265" s="53"/>
      <c r="EC265" s="53"/>
      <c r="ED265" s="53"/>
      <c r="EE265" s="53"/>
      <c r="EF265" s="53"/>
      <c r="EG265" s="53"/>
      <c r="EH265" s="53"/>
      <c r="EI265" s="53"/>
      <c r="EJ265" s="53"/>
      <c r="EK265" s="53"/>
      <c r="EL265" s="53"/>
      <c r="EM265" s="53"/>
      <c r="EN265" s="53"/>
      <c r="EO265" s="53"/>
      <c r="EP265" s="53"/>
      <c r="EQ265" s="53"/>
      <c r="ER265" s="53"/>
      <c r="ES265" s="53"/>
      <c r="ET265" s="53"/>
      <c r="EU265" s="53"/>
      <c r="EV265" s="53"/>
      <c r="EW265" s="53"/>
      <c r="EX265" s="53"/>
      <c r="EY265" s="53"/>
      <c r="EZ265" s="53"/>
      <c r="FA265" s="53"/>
      <c r="FB265" s="53"/>
      <c r="FC265" s="53"/>
      <c r="FD265" s="53"/>
      <c r="FE265" s="53"/>
      <c r="FF265" s="53"/>
      <c r="FG265" s="53"/>
      <c r="FH265" s="53"/>
      <c r="FI265" s="53"/>
      <c r="FJ265" s="53"/>
      <c r="FK265" s="53"/>
      <c r="FL265" s="53"/>
      <c r="FM265" s="53"/>
      <c r="FN265" s="53"/>
      <c r="FO265" s="53"/>
      <c r="FP265" s="53"/>
      <c r="FQ265" s="53"/>
      <c r="FR265" s="53"/>
      <c r="FS265" s="53"/>
      <c r="FT265" s="53"/>
      <c r="FU265" s="53"/>
      <c r="FV265" s="53"/>
      <c r="FW265" s="53"/>
      <c r="FX265" s="53"/>
      <c r="FY265" s="53"/>
      <c r="FZ265" s="53"/>
      <c r="GA265" s="53"/>
      <c r="GB265" s="53"/>
      <c r="GC265" s="53"/>
      <c r="GD265" s="53"/>
      <c r="GE265" s="53"/>
      <c r="GF265" s="53"/>
      <c r="GG265" s="53"/>
      <c r="GH265" s="53"/>
      <c r="GI265" s="53"/>
      <c r="GJ265" s="53"/>
      <c r="GK265" s="53"/>
      <c r="GL265" s="53"/>
      <c r="GM265" s="53"/>
      <c r="GN265" s="53"/>
      <c r="GO265" s="53"/>
      <c r="GP265" s="53"/>
      <c r="GQ265" s="53"/>
      <c r="GR265" s="53"/>
      <c r="GS265" s="53"/>
      <c r="GT265" s="53"/>
      <c r="GU265" s="53"/>
      <c r="GV265" s="53"/>
      <c r="GW265" s="53"/>
      <c r="GX265" s="53"/>
      <c r="GY265" s="53"/>
      <c r="GZ265" s="53"/>
      <c r="HA265" s="53"/>
      <c r="HB265" s="53"/>
      <c r="HC265" s="53"/>
      <c r="HD265" s="53"/>
      <c r="HE265" s="53"/>
      <c r="HF265" s="53"/>
      <c r="HG265" s="53"/>
      <c r="HH265" s="53"/>
      <c r="HI265" s="53"/>
      <c r="HJ265" s="53"/>
      <c r="HK265" s="53"/>
      <c r="HL265" s="53"/>
      <c r="HM265" s="53"/>
      <c r="HN265" s="53"/>
      <c r="HO265" s="53"/>
      <c r="HP265" s="53"/>
      <c r="HQ265" s="53"/>
      <c r="HR265" s="53"/>
      <c r="HS265" s="53"/>
      <c r="HT265" s="53"/>
      <c r="HU265" s="53"/>
      <c r="HV265" s="53"/>
      <c r="HW265" s="53"/>
      <c r="HX265" s="53"/>
      <c r="HY265" s="53"/>
      <c r="HZ265" s="53"/>
      <c r="IA265" s="53"/>
      <c r="IB265" s="53"/>
      <c r="IC265" s="53"/>
      <c r="ID265" s="53"/>
      <c r="IE265" s="53"/>
      <c r="IF265" s="53"/>
      <c r="IG265" s="53"/>
      <c r="IH265" s="53"/>
      <c r="II265" s="53"/>
      <c r="IJ265" s="53"/>
      <c r="IK265" s="53"/>
      <c r="IL265" s="53"/>
      <c r="IM265" s="53"/>
      <c r="IN265" s="53"/>
      <c r="IO265" s="53"/>
      <c r="IP265" s="53"/>
      <c r="IQ265" s="53"/>
      <c r="IR265" s="53"/>
      <c r="IS265" s="53"/>
      <c r="IT265" s="53"/>
      <c r="IU265" s="53"/>
      <c r="IV265" s="53"/>
      <c r="IW265" s="53"/>
      <c r="IX265" s="53"/>
      <c r="IY265" s="53"/>
      <c r="IZ265" s="53"/>
      <c r="JA265" s="53"/>
      <c r="JB265" s="53"/>
      <c r="JC265" s="53"/>
      <c r="JD265" s="53"/>
      <c r="JE265" s="53"/>
      <c r="JF265" s="53"/>
      <c r="JG265" s="53"/>
      <c r="JH265" s="53"/>
      <c r="JI265" s="53"/>
      <c r="JJ265" s="53"/>
      <c r="JK265" s="53"/>
      <c r="JL265" s="53"/>
      <c r="JM265" s="53"/>
      <c r="JN265" s="53"/>
      <c r="JO265" s="53"/>
      <c r="JP265" s="53"/>
      <c r="JQ265" s="53"/>
      <c r="JR265" s="53"/>
      <c r="JS265" s="53"/>
      <c r="JT265" s="53"/>
      <c r="JU265" s="53"/>
      <c r="JV265" s="53"/>
      <c r="JW265" s="53"/>
      <c r="JX265" s="53"/>
      <c r="JY265" s="53"/>
      <c r="JZ265" s="53"/>
      <c r="KA265" s="53"/>
      <c r="KB265" s="53"/>
      <c r="KC265" s="53"/>
      <c r="KD265" s="53"/>
      <c r="KE265" s="53"/>
      <c r="KF265" s="53"/>
      <c r="KG265" s="53"/>
      <c r="KH265" s="53"/>
      <c r="KI265" s="53"/>
      <c r="KJ265" s="53"/>
      <c r="KK265" s="53"/>
      <c r="KL265" s="53"/>
      <c r="KM265" s="53"/>
      <c r="KN265" s="53"/>
      <c r="KO265" s="53"/>
      <c r="KP265" s="53"/>
      <c r="KQ265" s="53"/>
      <c r="KR265" s="53"/>
      <c r="KS265" s="53"/>
      <c r="KT265" s="53"/>
      <c r="KU265" s="53"/>
      <c r="KV265" s="53"/>
      <c r="KW265" s="53"/>
      <c r="KX265" s="53"/>
      <c r="KY265" s="53"/>
      <c r="KZ265" s="53"/>
      <c r="LA265" s="53"/>
      <c r="LB265" s="53"/>
      <c r="LC265" s="53"/>
      <c r="LD265" s="53"/>
      <c r="LE265" s="53"/>
      <c r="LF265" s="53"/>
      <c r="LG265" s="53"/>
      <c r="LH265" s="53"/>
      <c r="LI265" s="53"/>
      <c r="LJ265" s="53"/>
      <c r="LK265" s="53"/>
      <c r="LL265" s="53"/>
      <c r="LM265" s="53"/>
      <c r="LN265" s="53"/>
      <c r="LO265" s="53"/>
      <c r="LP265" s="53"/>
      <c r="LQ265" s="53"/>
      <c r="LR265" s="53"/>
      <c r="LS265" s="53"/>
      <c r="LT265" s="53"/>
      <c r="LU265" s="53"/>
      <c r="LV265" s="53"/>
      <c r="LW265" s="53"/>
      <c r="LX265" s="53"/>
      <c r="LY265" s="53"/>
      <c r="LZ265" s="53"/>
      <c r="MA265" s="53"/>
      <c r="MB265" s="53"/>
      <c r="MC265" s="53"/>
      <c r="MD265" s="53"/>
      <c r="ME265" s="53"/>
      <c r="MF265" s="53"/>
      <c r="MG265" s="53"/>
      <c r="MH265" s="53"/>
      <c r="MI265" s="53"/>
      <c r="MJ265" s="53"/>
      <c r="MK265" s="53"/>
      <c r="ML265" s="53"/>
      <c r="MM265" s="53"/>
      <c r="MN265" s="53"/>
      <c r="MO265" s="53"/>
      <c r="MP265" s="53"/>
      <c r="MQ265" s="53"/>
      <c r="MR265" s="53"/>
      <c r="MS265" s="53"/>
      <c r="MT265" s="53"/>
      <c r="MU265" s="53"/>
      <c r="MV265" s="53"/>
      <c r="MW265" s="53"/>
      <c r="MX265" s="53"/>
      <c r="MY265" s="53"/>
      <c r="MZ265" s="53"/>
      <c r="NA265" s="53"/>
      <c r="NB265" s="53"/>
      <c r="NC265" s="53"/>
      <c r="ND265" s="53"/>
      <c r="NE265" s="53"/>
      <c r="NF265" s="53"/>
      <c r="NG265" s="53"/>
      <c r="NH265" s="53"/>
      <c r="NI265" s="53"/>
      <c r="NJ265" s="53"/>
      <c r="NK265" s="53"/>
      <c r="NL265" s="53"/>
      <c r="NM265" s="53"/>
      <c r="NN265" s="53"/>
      <c r="NO265" s="53"/>
      <c r="NP265" s="53"/>
      <c r="NQ265" s="53"/>
      <c r="NR265" s="53"/>
      <c r="NS265" s="53"/>
      <c r="NT265" s="53"/>
      <c r="NU265" s="53"/>
      <c r="NV265" s="53"/>
      <c r="NW265" s="53"/>
      <c r="NX265" s="53"/>
      <c r="NY265" s="53"/>
      <c r="NZ265" s="53"/>
      <c r="OA265" s="53"/>
      <c r="OB265" s="53"/>
      <c r="OC265" s="53"/>
      <c r="OD265" s="53"/>
      <c r="OE265" s="53"/>
      <c r="OF265" s="53"/>
      <c r="OG265" s="53"/>
      <c r="OH265" s="53"/>
      <c r="OI265" s="53"/>
      <c r="OJ265" s="53"/>
      <c r="OK265" s="53"/>
      <c r="OL265" s="53"/>
      <c r="OM265" s="53"/>
      <c r="ON265" s="53"/>
      <c r="OO265" s="53"/>
      <c r="OP265" s="53"/>
      <c r="OQ265" s="53"/>
      <c r="OR265" s="53"/>
      <c r="OS265" s="53"/>
      <c r="OT265" s="53"/>
      <c r="OU265" s="53"/>
      <c r="OV265" s="53"/>
      <c r="OW265" s="53"/>
      <c r="OX265" s="53"/>
      <c r="OY265" s="53"/>
      <c r="OZ265" s="53"/>
      <c r="PA265" s="53"/>
      <c r="PB265" s="53"/>
      <c r="PC265" s="53"/>
      <c r="PD265" s="53"/>
      <c r="PE265" s="53"/>
      <c r="PF265" s="53"/>
      <c r="PG265" s="53"/>
      <c r="PH265" s="53"/>
      <c r="PI265" s="53"/>
      <c r="PJ265" s="53"/>
      <c r="PK265" s="53"/>
      <c r="PL265" s="53"/>
      <c r="PM265" s="53"/>
      <c r="PN265" s="53"/>
      <c r="PO265" s="53"/>
      <c r="PP265" s="53"/>
      <c r="PQ265" s="53"/>
      <c r="PR265" s="53"/>
      <c r="PS265" s="53"/>
      <c r="PT265" s="53"/>
      <c r="PU265" s="53"/>
      <c r="PV265" s="53"/>
      <c r="PW265" s="53"/>
      <c r="PX265" s="53"/>
      <c r="PY265" s="53"/>
      <c r="PZ265" s="53"/>
      <c r="QA265" s="53"/>
      <c r="QB265" s="53"/>
      <c r="QC265" s="53"/>
      <c r="QD265" s="53"/>
      <c r="QE265" s="53"/>
      <c r="QF265" s="53"/>
      <c r="QG265" s="53"/>
      <c r="QH265" s="53"/>
      <c r="QI265" s="53"/>
      <c r="QJ265" s="53"/>
      <c r="QK265" s="53"/>
      <c r="QL265" s="53"/>
      <c r="QM265" s="53"/>
      <c r="QN265" s="53"/>
      <c r="QO265" s="53"/>
      <c r="QP265" s="53"/>
      <c r="QQ265" s="53"/>
      <c r="QR265" s="53"/>
      <c r="QS265" s="53"/>
      <c r="QT265" s="53"/>
      <c r="QU265" s="53"/>
      <c r="QV265" s="53"/>
      <c r="QW265" s="53"/>
      <c r="QX265" s="53"/>
      <c r="QY265" s="53"/>
      <c r="QZ265" s="53"/>
      <c r="RA265" s="53"/>
      <c r="RB265" s="53"/>
      <c r="RC265" s="53"/>
      <c r="RD265" s="53"/>
      <c r="RE265" s="53"/>
      <c r="RF265" s="53"/>
      <c r="RG265" s="53"/>
      <c r="RH265" s="53"/>
      <c r="RI265" s="53"/>
      <c r="RJ265" s="53"/>
      <c r="RK265" s="53"/>
      <c r="RL265" s="53"/>
      <c r="RM265" s="53"/>
      <c r="RN265" s="53"/>
      <c r="RO265" s="53"/>
      <c r="RP265" s="53"/>
      <c r="RQ265" s="53"/>
      <c r="RR265" s="53"/>
      <c r="RS265" s="53"/>
      <c r="RT265" s="53"/>
      <c r="RU265" s="53"/>
      <c r="RV265" s="53"/>
      <c r="RW265" s="53"/>
      <c r="RX265" s="53"/>
      <c r="RY265" s="53"/>
      <c r="RZ265" s="53"/>
      <c r="SA265" s="53"/>
      <c r="SB265" s="53"/>
      <c r="SC265" s="53"/>
      <c r="SD265" s="53"/>
      <c r="SE265" s="53"/>
      <c r="SF265" s="53"/>
      <c r="SG265" s="53"/>
      <c r="SH265" s="53"/>
      <c r="SI265" s="53"/>
      <c r="SJ265" s="53"/>
      <c r="SK265" s="53"/>
      <c r="SL265" s="53"/>
      <c r="SM265" s="53"/>
      <c r="SN265" s="53"/>
      <c r="SO265" s="53"/>
      <c r="SP265" s="53"/>
      <c r="SQ265" s="53"/>
      <c r="SR265" s="53"/>
      <c r="SS265" s="53"/>
      <c r="ST265" s="53"/>
      <c r="SU265" s="53"/>
      <c r="SV265" s="53"/>
      <c r="SW265" s="53"/>
      <c r="SX265" s="53"/>
      <c r="SY265" s="53"/>
      <c r="SZ265" s="53"/>
      <c r="TA265" s="53"/>
      <c r="TB265" s="53"/>
      <c r="TC265" s="53"/>
      <c r="TD265" s="53"/>
      <c r="TE265" s="53"/>
      <c r="TF265" s="53"/>
      <c r="TG265" s="53"/>
      <c r="TH265" s="53"/>
      <c r="TI265" s="53"/>
      <c r="TJ265" s="53"/>
      <c r="TK265" s="53"/>
      <c r="TL265" s="53"/>
      <c r="TM265" s="53"/>
      <c r="TN265" s="53"/>
      <c r="TO265" s="53"/>
      <c r="TP265" s="53"/>
      <c r="TQ265" s="53"/>
      <c r="TR265" s="53"/>
      <c r="TS265" s="53"/>
      <c r="TT265" s="53"/>
      <c r="TU265" s="53"/>
      <c r="TV265" s="53"/>
      <c r="TW265" s="53"/>
      <c r="TX265" s="53"/>
      <c r="TY265" s="53"/>
      <c r="TZ265" s="53"/>
      <c r="UA265" s="53"/>
      <c r="UB265" s="53"/>
      <c r="UC265" s="53"/>
      <c r="UD265" s="53"/>
      <c r="UE265" s="53"/>
      <c r="UF265" s="53"/>
      <c r="UG265" s="53"/>
      <c r="UH265" s="53"/>
      <c r="UI265" s="53"/>
      <c r="UJ265" s="53"/>
      <c r="UK265" s="53"/>
      <c r="UL265" s="53"/>
      <c r="UM265" s="53"/>
      <c r="UN265" s="53"/>
      <c r="UO265" s="53"/>
      <c r="UP265" s="53"/>
      <c r="UQ265" s="53"/>
      <c r="UR265" s="53"/>
      <c r="US265" s="53"/>
      <c r="UT265" s="53"/>
      <c r="UU265" s="53"/>
      <c r="UV265" s="53"/>
      <c r="UW265" s="53"/>
      <c r="UX265" s="53"/>
      <c r="UY265" s="53"/>
      <c r="UZ265" s="53"/>
      <c r="VA265" s="53"/>
      <c r="VB265" s="53"/>
      <c r="VC265" s="53"/>
      <c r="VD265" s="53"/>
      <c r="VE265" s="53"/>
      <c r="VF265" s="53"/>
      <c r="VG265" s="53"/>
      <c r="VH265" s="53"/>
      <c r="VI265" s="53"/>
      <c r="VJ265" s="53"/>
      <c r="VK265" s="53"/>
      <c r="VL265" s="53"/>
    </row>
    <row r="266" spans="1:584" s="47" customFormat="1" ht="39.75" customHeight="1" x14ac:dyDescent="0.25">
      <c r="A266" s="91">
        <v>1517363</v>
      </c>
      <c r="B266" s="91">
        <v>7363</v>
      </c>
      <c r="C266" s="93" t="s">
        <v>112</v>
      </c>
      <c r="D266" s="46" t="s">
        <v>496</v>
      </c>
      <c r="E266" s="115">
        <v>0</v>
      </c>
      <c r="F266" s="115"/>
      <c r="G266" s="115"/>
      <c r="H266" s="115"/>
      <c r="I266" s="115"/>
      <c r="J266" s="115"/>
      <c r="K266" s="164"/>
      <c r="L266" s="115">
        <f t="shared" ref="L266:L268" si="82">N266+Q266</f>
        <v>310390</v>
      </c>
      <c r="M266" s="115">
        <f>35000+13000+390+250000+12000</f>
        <v>310390</v>
      </c>
      <c r="N266" s="115"/>
      <c r="O266" s="115"/>
      <c r="P266" s="115"/>
      <c r="Q266" s="115">
        <f>35000+13000+390+250000+12000</f>
        <v>310390</v>
      </c>
      <c r="R266" s="115">
        <f t="shared" si="72"/>
        <v>197653</v>
      </c>
      <c r="S266" s="115">
        <v>197653</v>
      </c>
      <c r="T266" s="115"/>
      <c r="U266" s="115"/>
      <c r="V266" s="115"/>
      <c r="W266" s="115">
        <v>197653</v>
      </c>
      <c r="X266" s="166">
        <f t="shared" si="60"/>
        <v>63.678920068301167</v>
      </c>
      <c r="Y266" s="115">
        <f t="shared" si="81"/>
        <v>197653</v>
      </c>
      <c r="Z266" s="187">
        <v>16</v>
      </c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3"/>
      <c r="FD266" s="53"/>
      <c r="FE266" s="53"/>
      <c r="FF266" s="53"/>
      <c r="FG266" s="53"/>
      <c r="FH266" s="53"/>
      <c r="FI266" s="53"/>
      <c r="FJ266" s="53"/>
      <c r="FK266" s="53"/>
      <c r="FL266" s="53"/>
      <c r="FM266" s="53"/>
      <c r="FN266" s="53"/>
      <c r="FO266" s="53"/>
      <c r="FP266" s="53"/>
      <c r="FQ266" s="53"/>
      <c r="FR266" s="53"/>
      <c r="FS266" s="53"/>
      <c r="FT266" s="53"/>
      <c r="FU266" s="53"/>
      <c r="FV266" s="53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  <c r="GN266" s="53"/>
      <c r="GO266" s="53"/>
      <c r="GP266" s="53"/>
      <c r="GQ266" s="53"/>
      <c r="GR266" s="53"/>
      <c r="GS266" s="53"/>
      <c r="GT266" s="53"/>
      <c r="GU266" s="53"/>
      <c r="GV266" s="53"/>
      <c r="GW266" s="53"/>
      <c r="GX266" s="53"/>
      <c r="GY266" s="53"/>
      <c r="GZ266" s="53"/>
      <c r="HA266" s="53"/>
      <c r="HB266" s="53"/>
      <c r="HC266" s="53"/>
      <c r="HD266" s="53"/>
      <c r="HE266" s="53"/>
      <c r="HF266" s="53"/>
      <c r="HG266" s="53"/>
      <c r="HH266" s="53"/>
      <c r="HI266" s="53"/>
      <c r="HJ266" s="53"/>
      <c r="HK266" s="53"/>
      <c r="HL266" s="53"/>
      <c r="HM266" s="53"/>
      <c r="HN266" s="53"/>
      <c r="HO266" s="53"/>
      <c r="HP266" s="53"/>
      <c r="HQ266" s="53"/>
      <c r="HR266" s="53"/>
      <c r="HS266" s="53"/>
      <c r="HT266" s="53"/>
      <c r="HU266" s="53"/>
      <c r="HV266" s="53"/>
      <c r="HW266" s="53"/>
      <c r="HX266" s="53"/>
      <c r="HY266" s="53"/>
      <c r="HZ266" s="53"/>
      <c r="IA266" s="53"/>
      <c r="IB266" s="53"/>
      <c r="IC266" s="53"/>
      <c r="ID266" s="53"/>
      <c r="IE266" s="53"/>
      <c r="IF266" s="53"/>
      <c r="IG266" s="53"/>
      <c r="IH266" s="53"/>
      <c r="II266" s="53"/>
      <c r="IJ266" s="53"/>
      <c r="IK266" s="53"/>
      <c r="IL266" s="53"/>
      <c r="IM266" s="53"/>
      <c r="IN266" s="53"/>
      <c r="IO266" s="53"/>
      <c r="IP266" s="53"/>
      <c r="IQ266" s="53"/>
      <c r="IR266" s="53"/>
      <c r="IS266" s="53"/>
      <c r="IT266" s="53"/>
      <c r="IU266" s="53"/>
      <c r="IV266" s="53"/>
      <c r="IW266" s="53"/>
      <c r="IX266" s="53"/>
      <c r="IY266" s="53"/>
      <c r="IZ266" s="53"/>
      <c r="JA266" s="53"/>
      <c r="JB266" s="53"/>
      <c r="JC266" s="53"/>
      <c r="JD266" s="53"/>
      <c r="JE266" s="53"/>
      <c r="JF266" s="53"/>
      <c r="JG266" s="53"/>
      <c r="JH266" s="53"/>
      <c r="JI266" s="53"/>
      <c r="JJ266" s="53"/>
      <c r="JK266" s="53"/>
      <c r="JL266" s="53"/>
      <c r="JM266" s="53"/>
      <c r="JN266" s="53"/>
      <c r="JO266" s="53"/>
      <c r="JP266" s="53"/>
      <c r="JQ266" s="53"/>
      <c r="JR266" s="53"/>
      <c r="JS266" s="53"/>
      <c r="JT266" s="53"/>
      <c r="JU266" s="53"/>
      <c r="JV266" s="53"/>
      <c r="JW266" s="53"/>
      <c r="JX266" s="53"/>
      <c r="JY266" s="53"/>
      <c r="JZ266" s="53"/>
      <c r="KA266" s="53"/>
      <c r="KB266" s="53"/>
      <c r="KC266" s="53"/>
      <c r="KD266" s="53"/>
      <c r="KE266" s="53"/>
      <c r="KF266" s="53"/>
      <c r="KG266" s="53"/>
      <c r="KH266" s="53"/>
      <c r="KI266" s="53"/>
      <c r="KJ266" s="53"/>
      <c r="KK266" s="53"/>
      <c r="KL266" s="53"/>
      <c r="KM266" s="53"/>
      <c r="KN266" s="53"/>
      <c r="KO266" s="53"/>
      <c r="KP266" s="53"/>
      <c r="KQ266" s="53"/>
      <c r="KR266" s="53"/>
      <c r="KS266" s="53"/>
      <c r="KT266" s="53"/>
      <c r="KU266" s="53"/>
      <c r="KV266" s="53"/>
      <c r="KW266" s="53"/>
      <c r="KX266" s="53"/>
      <c r="KY266" s="53"/>
      <c r="KZ266" s="53"/>
      <c r="LA266" s="53"/>
      <c r="LB266" s="53"/>
      <c r="LC266" s="53"/>
      <c r="LD266" s="53"/>
      <c r="LE266" s="53"/>
      <c r="LF266" s="53"/>
      <c r="LG266" s="53"/>
      <c r="LH266" s="53"/>
      <c r="LI266" s="53"/>
      <c r="LJ266" s="53"/>
      <c r="LK266" s="53"/>
      <c r="LL266" s="53"/>
      <c r="LM266" s="53"/>
      <c r="LN266" s="53"/>
      <c r="LO266" s="53"/>
      <c r="LP266" s="53"/>
      <c r="LQ266" s="53"/>
      <c r="LR266" s="53"/>
      <c r="LS266" s="53"/>
      <c r="LT266" s="53"/>
      <c r="LU266" s="53"/>
      <c r="LV266" s="53"/>
      <c r="LW266" s="53"/>
      <c r="LX266" s="53"/>
      <c r="LY266" s="53"/>
      <c r="LZ266" s="53"/>
      <c r="MA266" s="53"/>
      <c r="MB266" s="53"/>
      <c r="MC266" s="53"/>
      <c r="MD266" s="53"/>
      <c r="ME266" s="53"/>
      <c r="MF266" s="53"/>
      <c r="MG266" s="53"/>
      <c r="MH266" s="53"/>
      <c r="MI266" s="53"/>
      <c r="MJ266" s="53"/>
      <c r="MK266" s="53"/>
      <c r="ML266" s="53"/>
      <c r="MM266" s="53"/>
      <c r="MN266" s="53"/>
      <c r="MO266" s="53"/>
      <c r="MP266" s="53"/>
      <c r="MQ266" s="53"/>
      <c r="MR266" s="53"/>
      <c r="MS266" s="53"/>
      <c r="MT266" s="53"/>
      <c r="MU266" s="53"/>
      <c r="MV266" s="53"/>
      <c r="MW266" s="53"/>
      <c r="MX266" s="53"/>
      <c r="MY266" s="53"/>
      <c r="MZ266" s="53"/>
      <c r="NA266" s="53"/>
      <c r="NB266" s="53"/>
      <c r="NC266" s="53"/>
      <c r="ND266" s="53"/>
      <c r="NE266" s="53"/>
      <c r="NF266" s="53"/>
      <c r="NG266" s="53"/>
      <c r="NH266" s="53"/>
      <c r="NI266" s="53"/>
      <c r="NJ266" s="53"/>
      <c r="NK266" s="53"/>
      <c r="NL266" s="53"/>
      <c r="NM266" s="53"/>
      <c r="NN266" s="53"/>
      <c r="NO266" s="53"/>
      <c r="NP266" s="53"/>
      <c r="NQ266" s="53"/>
      <c r="NR266" s="53"/>
      <c r="NS266" s="53"/>
      <c r="NT266" s="53"/>
      <c r="NU266" s="53"/>
      <c r="NV266" s="53"/>
      <c r="NW266" s="53"/>
      <c r="NX266" s="53"/>
      <c r="NY266" s="53"/>
      <c r="NZ266" s="53"/>
      <c r="OA266" s="53"/>
      <c r="OB266" s="53"/>
      <c r="OC266" s="53"/>
      <c r="OD266" s="53"/>
      <c r="OE266" s="53"/>
      <c r="OF266" s="53"/>
      <c r="OG266" s="53"/>
      <c r="OH266" s="53"/>
      <c r="OI266" s="53"/>
      <c r="OJ266" s="53"/>
      <c r="OK266" s="53"/>
      <c r="OL266" s="53"/>
      <c r="OM266" s="53"/>
      <c r="ON266" s="53"/>
      <c r="OO266" s="53"/>
      <c r="OP266" s="53"/>
      <c r="OQ266" s="53"/>
      <c r="OR266" s="53"/>
      <c r="OS266" s="53"/>
      <c r="OT266" s="53"/>
      <c r="OU266" s="53"/>
      <c r="OV266" s="53"/>
      <c r="OW266" s="53"/>
      <c r="OX266" s="53"/>
      <c r="OY266" s="53"/>
      <c r="OZ266" s="53"/>
      <c r="PA266" s="53"/>
      <c r="PB266" s="53"/>
      <c r="PC266" s="53"/>
      <c r="PD266" s="53"/>
      <c r="PE266" s="53"/>
      <c r="PF266" s="53"/>
      <c r="PG266" s="53"/>
      <c r="PH266" s="53"/>
      <c r="PI266" s="53"/>
      <c r="PJ266" s="53"/>
      <c r="PK266" s="53"/>
      <c r="PL266" s="53"/>
      <c r="PM266" s="53"/>
      <c r="PN266" s="53"/>
      <c r="PO266" s="53"/>
      <c r="PP266" s="53"/>
      <c r="PQ266" s="53"/>
      <c r="PR266" s="53"/>
      <c r="PS266" s="53"/>
      <c r="PT266" s="53"/>
      <c r="PU266" s="53"/>
      <c r="PV266" s="53"/>
      <c r="PW266" s="53"/>
      <c r="PX266" s="53"/>
      <c r="PY266" s="53"/>
      <c r="PZ266" s="53"/>
      <c r="QA266" s="53"/>
      <c r="QB266" s="53"/>
      <c r="QC266" s="53"/>
      <c r="QD266" s="53"/>
      <c r="QE266" s="53"/>
      <c r="QF266" s="53"/>
      <c r="QG266" s="53"/>
      <c r="QH266" s="53"/>
      <c r="QI266" s="53"/>
      <c r="QJ266" s="53"/>
      <c r="QK266" s="53"/>
      <c r="QL266" s="53"/>
      <c r="QM266" s="53"/>
      <c r="QN266" s="53"/>
      <c r="QO266" s="53"/>
      <c r="QP266" s="53"/>
      <c r="QQ266" s="53"/>
      <c r="QR266" s="53"/>
      <c r="QS266" s="53"/>
      <c r="QT266" s="53"/>
      <c r="QU266" s="53"/>
      <c r="QV266" s="53"/>
      <c r="QW266" s="53"/>
      <c r="QX266" s="53"/>
      <c r="QY266" s="53"/>
      <c r="QZ266" s="53"/>
      <c r="RA266" s="53"/>
      <c r="RB266" s="53"/>
      <c r="RC266" s="53"/>
      <c r="RD266" s="53"/>
      <c r="RE266" s="53"/>
      <c r="RF266" s="53"/>
      <c r="RG266" s="53"/>
      <c r="RH266" s="53"/>
      <c r="RI266" s="53"/>
      <c r="RJ266" s="53"/>
      <c r="RK266" s="53"/>
      <c r="RL266" s="53"/>
      <c r="RM266" s="53"/>
      <c r="RN266" s="53"/>
      <c r="RO266" s="53"/>
      <c r="RP266" s="53"/>
      <c r="RQ266" s="53"/>
      <c r="RR266" s="53"/>
      <c r="RS266" s="53"/>
      <c r="RT266" s="53"/>
      <c r="RU266" s="53"/>
      <c r="RV266" s="53"/>
      <c r="RW266" s="53"/>
      <c r="RX266" s="53"/>
      <c r="RY266" s="53"/>
      <c r="RZ266" s="53"/>
      <c r="SA266" s="53"/>
      <c r="SB266" s="53"/>
      <c r="SC266" s="53"/>
      <c r="SD266" s="53"/>
      <c r="SE266" s="53"/>
      <c r="SF266" s="53"/>
      <c r="SG266" s="53"/>
      <c r="SH266" s="53"/>
      <c r="SI266" s="53"/>
      <c r="SJ266" s="53"/>
      <c r="SK266" s="53"/>
      <c r="SL266" s="53"/>
      <c r="SM266" s="53"/>
      <c r="SN266" s="53"/>
      <c r="SO266" s="53"/>
      <c r="SP266" s="53"/>
      <c r="SQ266" s="53"/>
      <c r="SR266" s="53"/>
      <c r="SS266" s="53"/>
      <c r="ST266" s="53"/>
      <c r="SU266" s="53"/>
      <c r="SV266" s="53"/>
      <c r="SW266" s="53"/>
      <c r="SX266" s="53"/>
      <c r="SY266" s="53"/>
      <c r="SZ266" s="53"/>
      <c r="TA266" s="53"/>
      <c r="TB266" s="53"/>
      <c r="TC266" s="53"/>
      <c r="TD266" s="53"/>
      <c r="TE266" s="53"/>
      <c r="TF266" s="53"/>
      <c r="TG266" s="53"/>
      <c r="TH266" s="53"/>
      <c r="TI266" s="53"/>
      <c r="TJ266" s="53"/>
      <c r="TK266" s="53"/>
      <c r="TL266" s="53"/>
      <c r="TM266" s="53"/>
      <c r="TN266" s="53"/>
      <c r="TO266" s="53"/>
      <c r="TP266" s="53"/>
      <c r="TQ266" s="53"/>
      <c r="TR266" s="53"/>
      <c r="TS266" s="53"/>
      <c r="TT266" s="53"/>
      <c r="TU266" s="53"/>
      <c r="TV266" s="53"/>
      <c r="TW266" s="53"/>
      <c r="TX266" s="53"/>
      <c r="TY266" s="53"/>
      <c r="TZ266" s="53"/>
      <c r="UA266" s="53"/>
      <c r="UB266" s="53"/>
      <c r="UC266" s="53"/>
      <c r="UD266" s="53"/>
      <c r="UE266" s="53"/>
      <c r="UF266" s="53"/>
      <c r="UG266" s="53"/>
      <c r="UH266" s="53"/>
      <c r="UI266" s="53"/>
      <c r="UJ266" s="53"/>
      <c r="UK266" s="53"/>
      <c r="UL266" s="53"/>
      <c r="UM266" s="53"/>
      <c r="UN266" s="53"/>
      <c r="UO266" s="53"/>
      <c r="UP266" s="53"/>
      <c r="UQ266" s="53"/>
      <c r="UR266" s="53"/>
      <c r="US266" s="53"/>
      <c r="UT266" s="53"/>
      <c r="UU266" s="53"/>
      <c r="UV266" s="53"/>
      <c r="UW266" s="53"/>
      <c r="UX266" s="53"/>
      <c r="UY266" s="53"/>
      <c r="UZ266" s="53"/>
      <c r="VA266" s="53"/>
      <c r="VB266" s="53"/>
      <c r="VC266" s="53"/>
      <c r="VD266" s="53"/>
      <c r="VE266" s="53"/>
      <c r="VF266" s="53"/>
      <c r="VG266" s="53"/>
      <c r="VH266" s="53"/>
      <c r="VI266" s="53"/>
      <c r="VJ266" s="53"/>
      <c r="VK266" s="53"/>
      <c r="VL266" s="53"/>
    </row>
    <row r="267" spans="1:584" s="47" customFormat="1" ht="21.75" customHeight="1" x14ac:dyDescent="0.25">
      <c r="A267" s="91"/>
      <c r="B267" s="91"/>
      <c r="C267" s="93"/>
      <c r="D267" s="46" t="s">
        <v>582</v>
      </c>
      <c r="E267" s="115">
        <v>0</v>
      </c>
      <c r="F267" s="115"/>
      <c r="G267" s="115"/>
      <c r="H267" s="115"/>
      <c r="I267" s="115"/>
      <c r="J267" s="115"/>
      <c r="K267" s="164"/>
      <c r="L267" s="115">
        <f t="shared" si="82"/>
        <v>60000</v>
      </c>
      <c r="M267" s="115">
        <f>35000+13000+12000</f>
        <v>60000</v>
      </c>
      <c r="N267" s="115"/>
      <c r="O267" s="115"/>
      <c r="P267" s="115"/>
      <c r="Q267" s="115">
        <f>35000+13000+12000</f>
        <v>60000</v>
      </c>
      <c r="R267" s="115">
        <f t="shared" si="72"/>
        <v>60000</v>
      </c>
      <c r="S267" s="115">
        <v>60000</v>
      </c>
      <c r="T267" s="115"/>
      <c r="U267" s="115"/>
      <c r="V267" s="115"/>
      <c r="W267" s="115">
        <v>60000</v>
      </c>
      <c r="X267" s="166">
        <f t="shared" si="60"/>
        <v>100</v>
      </c>
      <c r="Y267" s="115">
        <f t="shared" si="81"/>
        <v>60000</v>
      </c>
      <c r="Z267" s="187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  <c r="GN267" s="53"/>
      <c r="GO267" s="53"/>
      <c r="GP267" s="53"/>
      <c r="GQ267" s="53"/>
      <c r="GR267" s="53"/>
      <c r="GS267" s="53"/>
      <c r="GT267" s="53"/>
      <c r="GU267" s="53"/>
      <c r="GV267" s="53"/>
      <c r="GW267" s="53"/>
      <c r="GX267" s="53"/>
      <c r="GY267" s="53"/>
      <c r="GZ267" s="53"/>
      <c r="HA267" s="53"/>
      <c r="HB267" s="53"/>
      <c r="HC267" s="53"/>
      <c r="HD267" s="53"/>
      <c r="HE267" s="53"/>
      <c r="HF267" s="53"/>
      <c r="HG267" s="53"/>
      <c r="HH267" s="53"/>
      <c r="HI267" s="53"/>
      <c r="HJ267" s="53"/>
      <c r="HK267" s="53"/>
      <c r="HL267" s="53"/>
      <c r="HM267" s="53"/>
      <c r="HN267" s="53"/>
      <c r="HO267" s="53"/>
      <c r="HP267" s="53"/>
      <c r="HQ267" s="53"/>
      <c r="HR267" s="53"/>
      <c r="HS267" s="53"/>
      <c r="HT267" s="53"/>
      <c r="HU267" s="53"/>
      <c r="HV267" s="53"/>
      <c r="HW267" s="53"/>
      <c r="HX267" s="53"/>
      <c r="HY267" s="53"/>
      <c r="HZ267" s="53"/>
      <c r="IA267" s="53"/>
      <c r="IB267" s="53"/>
      <c r="IC267" s="53"/>
      <c r="ID267" s="53"/>
      <c r="IE267" s="53"/>
      <c r="IF267" s="53"/>
      <c r="IG267" s="53"/>
      <c r="IH267" s="53"/>
      <c r="II267" s="53"/>
      <c r="IJ267" s="53"/>
      <c r="IK267" s="53"/>
      <c r="IL267" s="53"/>
      <c r="IM267" s="53"/>
      <c r="IN267" s="53"/>
      <c r="IO267" s="53"/>
      <c r="IP267" s="53"/>
      <c r="IQ267" s="53"/>
      <c r="IR267" s="53"/>
      <c r="IS267" s="53"/>
      <c r="IT267" s="53"/>
      <c r="IU267" s="53"/>
      <c r="IV267" s="53"/>
      <c r="IW267" s="53"/>
      <c r="IX267" s="53"/>
      <c r="IY267" s="53"/>
      <c r="IZ267" s="53"/>
      <c r="JA267" s="53"/>
      <c r="JB267" s="53"/>
      <c r="JC267" s="53"/>
      <c r="JD267" s="53"/>
      <c r="JE267" s="53"/>
      <c r="JF267" s="53"/>
      <c r="JG267" s="53"/>
      <c r="JH267" s="53"/>
      <c r="JI267" s="53"/>
      <c r="JJ267" s="53"/>
      <c r="JK267" s="53"/>
      <c r="JL267" s="53"/>
      <c r="JM267" s="53"/>
      <c r="JN267" s="53"/>
      <c r="JO267" s="53"/>
      <c r="JP267" s="53"/>
      <c r="JQ267" s="53"/>
      <c r="JR267" s="53"/>
      <c r="JS267" s="53"/>
      <c r="JT267" s="53"/>
      <c r="JU267" s="53"/>
      <c r="JV267" s="53"/>
      <c r="JW267" s="53"/>
      <c r="JX267" s="53"/>
      <c r="JY267" s="53"/>
      <c r="JZ267" s="53"/>
      <c r="KA267" s="53"/>
      <c r="KB267" s="53"/>
      <c r="KC267" s="53"/>
      <c r="KD267" s="53"/>
      <c r="KE267" s="53"/>
      <c r="KF267" s="53"/>
      <c r="KG267" s="53"/>
      <c r="KH267" s="53"/>
      <c r="KI267" s="53"/>
      <c r="KJ267" s="53"/>
      <c r="KK267" s="53"/>
      <c r="KL267" s="53"/>
      <c r="KM267" s="53"/>
      <c r="KN267" s="53"/>
      <c r="KO267" s="53"/>
      <c r="KP267" s="53"/>
      <c r="KQ267" s="53"/>
      <c r="KR267" s="53"/>
      <c r="KS267" s="53"/>
      <c r="KT267" s="53"/>
      <c r="KU267" s="53"/>
      <c r="KV267" s="53"/>
      <c r="KW267" s="53"/>
      <c r="KX267" s="53"/>
      <c r="KY267" s="53"/>
      <c r="KZ267" s="53"/>
      <c r="LA267" s="53"/>
      <c r="LB267" s="53"/>
      <c r="LC267" s="53"/>
      <c r="LD267" s="53"/>
      <c r="LE267" s="53"/>
      <c r="LF267" s="53"/>
      <c r="LG267" s="53"/>
      <c r="LH267" s="53"/>
      <c r="LI267" s="53"/>
      <c r="LJ267" s="53"/>
      <c r="LK267" s="53"/>
      <c r="LL267" s="53"/>
      <c r="LM267" s="53"/>
      <c r="LN267" s="53"/>
      <c r="LO267" s="53"/>
      <c r="LP267" s="53"/>
      <c r="LQ267" s="53"/>
      <c r="LR267" s="53"/>
      <c r="LS267" s="53"/>
      <c r="LT267" s="53"/>
      <c r="LU267" s="53"/>
      <c r="LV267" s="53"/>
      <c r="LW267" s="53"/>
      <c r="LX267" s="53"/>
      <c r="LY267" s="53"/>
      <c r="LZ267" s="53"/>
      <c r="MA267" s="53"/>
      <c r="MB267" s="53"/>
      <c r="MC267" s="53"/>
      <c r="MD267" s="53"/>
      <c r="ME267" s="53"/>
      <c r="MF267" s="53"/>
      <c r="MG267" s="53"/>
      <c r="MH267" s="53"/>
      <c r="MI267" s="53"/>
      <c r="MJ267" s="53"/>
      <c r="MK267" s="53"/>
      <c r="ML267" s="53"/>
      <c r="MM267" s="53"/>
      <c r="MN267" s="53"/>
      <c r="MO267" s="53"/>
      <c r="MP267" s="53"/>
      <c r="MQ267" s="53"/>
      <c r="MR267" s="53"/>
      <c r="MS267" s="53"/>
      <c r="MT267" s="53"/>
      <c r="MU267" s="53"/>
      <c r="MV267" s="53"/>
      <c r="MW267" s="53"/>
      <c r="MX267" s="53"/>
      <c r="MY267" s="53"/>
      <c r="MZ267" s="53"/>
      <c r="NA267" s="53"/>
      <c r="NB267" s="53"/>
      <c r="NC267" s="53"/>
      <c r="ND267" s="53"/>
      <c r="NE267" s="53"/>
      <c r="NF267" s="53"/>
      <c r="NG267" s="53"/>
      <c r="NH267" s="53"/>
      <c r="NI267" s="53"/>
      <c r="NJ267" s="53"/>
      <c r="NK267" s="53"/>
      <c r="NL267" s="53"/>
      <c r="NM267" s="53"/>
      <c r="NN267" s="53"/>
      <c r="NO267" s="53"/>
      <c r="NP267" s="53"/>
      <c r="NQ267" s="53"/>
      <c r="NR267" s="53"/>
      <c r="NS267" s="53"/>
      <c r="NT267" s="53"/>
      <c r="NU267" s="53"/>
      <c r="NV267" s="53"/>
      <c r="NW267" s="53"/>
      <c r="NX267" s="53"/>
      <c r="NY267" s="53"/>
      <c r="NZ267" s="53"/>
      <c r="OA267" s="53"/>
      <c r="OB267" s="53"/>
      <c r="OC267" s="53"/>
      <c r="OD267" s="53"/>
      <c r="OE267" s="53"/>
      <c r="OF267" s="53"/>
      <c r="OG267" s="53"/>
      <c r="OH267" s="53"/>
      <c r="OI267" s="53"/>
      <c r="OJ267" s="53"/>
      <c r="OK267" s="53"/>
      <c r="OL267" s="53"/>
      <c r="OM267" s="53"/>
      <c r="ON267" s="53"/>
      <c r="OO267" s="53"/>
      <c r="OP267" s="53"/>
      <c r="OQ267" s="53"/>
      <c r="OR267" s="53"/>
      <c r="OS267" s="53"/>
      <c r="OT267" s="53"/>
      <c r="OU267" s="53"/>
      <c r="OV267" s="53"/>
      <c r="OW267" s="53"/>
      <c r="OX267" s="53"/>
      <c r="OY267" s="53"/>
      <c r="OZ267" s="53"/>
      <c r="PA267" s="53"/>
      <c r="PB267" s="53"/>
      <c r="PC267" s="53"/>
      <c r="PD267" s="53"/>
      <c r="PE267" s="53"/>
      <c r="PF267" s="53"/>
      <c r="PG267" s="53"/>
      <c r="PH267" s="53"/>
      <c r="PI267" s="53"/>
      <c r="PJ267" s="53"/>
      <c r="PK267" s="53"/>
      <c r="PL267" s="53"/>
      <c r="PM267" s="53"/>
      <c r="PN267" s="53"/>
      <c r="PO267" s="53"/>
      <c r="PP267" s="53"/>
      <c r="PQ267" s="53"/>
      <c r="PR267" s="53"/>
      <c r="PS267" s="53"/>
      <c r="PT267" s="53"/>
      <c r="PU267" s="53"/>
      <c r="PV267" s="53"/>
      <c r="PW267" s="53"/>
      <c r="PX267" s="53"/>
      <c r="PY267" s="53"/>
      <c r="PZ267" s="53"/>
      <c r="QA267" s="53"/>
      <c r="QB267" s="53"/>
      <c r="QC267" s="53"/>
      <c r="QD267" s="53"/>
      <c r="QE267" s="53"/>
      <c r="QF267" s="53"/>
      <c r="QG267" s="53"/>
      <c r="QH267" s="53"/>
      <c r="QI267" s="53"/>
      <c r="QJ267" s="53"/>
      <c r="QK267" s="53"/>
      <c r="QL267" s="53"/>
      <c r="QM267" s="53"/>
      <c r="QN267" s="53"/>
      <c r="QO267" s="53"/>
      <c r="QP267" s="53"/>
      <c r="QQ267" s="53"/>
      <c r="QR267" s="53"/>
      <c r="QS267" s="53"/>
      <c r="QT267" s="53"/>
      <c r="QU267" s="53"/>
      <c r="QV267" s="53"/>
      <c r="QW267" s="53"/>
      <c r="QX267" s="53"/>
      <c r="QY267" s="53"/>
      <c r="QZ267" s="53"/>
      <c r="RA267" s="53"/>
      <c r="RB267" s="53"/>
      <c r="RC267" s="53"/>
      <c r="RD267" s="53"/>
      <c r="RE267" s="53"/>
      <c r="RF267" s="53"/>
      <c r="RG267" s="53"/>
      <c r="RH267" s="53"/>
      <c r="RI267" s="53"/>
      <c r="RJ267" s="53"/>
      <c r="RK267" s="53"/>
      <c r="RL267" s="53"/>
      <c r="RM267" s="53"/>
      <c r="RN267" s="53"/>
      <c r="RO267" s="53"/>
      <c r="RP267" s="53"/>
      <c r="RQ267" s="53"/>
      <c r="RR267" s="53"/>
      <c r="RS267" s="53"/>
      <c r="RT267" s="53"/>
      <c r="RU267" s="53"/>
      <c r="RV267" s="53"/>
      <c r="RW267" s="53"/>
      <c r="RX267" s="53"/>
      <c r="RY267" s="53"/>
      <c r="RZ267" s="53"/>
      <c r="SA267" s="53"/>
      <c r="SB267" s="53"/>
      <c r="SC267" s="53"/>
      <c r="SD267" s="53"/>
      <c r="SE267" s="53"/>
      <c r="SF267" s="53"/>
      <c r="SG267" s="53"/>
      <c r="SH267" s="53"/>
      <c r="SI267" s="53"/>
      <c r="SJ267" s="53"/>
      <c r="SK267" s="53"/>
      <c r="SL267" s="53"/>
      <c r="SM267" s="53"/>
      <c r="SN267" s="53"/>
      <c r="SO267" s="53"/>
      <c r="SP267" s="53"/>
      <c r="SQ267" s="53"/>
      <c r="SR267" s="53"/>
      <c r="SS267" s="53"/>
      <c r="ST267" s="53"/>
      <c r="SU267" s="53"/>
      <c r="SV267" s="53"/>
      <c r="SW267" s="53"/>
      <c r="SX267" s="53"/>
      <c r="SY267" s="53"/>
      <c r="SZ267" s="53"/>
      <c r="TA267" s="53"/>
      <c r="TB267" s="53"/>
      <c r="TC267" s="53"/>
      <c r="TD267" s="53"/>
      <c r="TE267" s="53"/>
      <c r="TF267" s="53"/>
      <c r="TG267" s="53"/>
      <c r="TH267" s="53"/>
      <c r="TI267" s="53"/>
      <c r="TJ267" s="53"/>
      <c r="TK267" s="53"/>
      <c r="TL267" s="53"/>
      <c r="TM267" s="53"/>
      <c r="TN267" s="53"/>
      <c r="TO267" s="53"/>
      <c r="TP267" s="53"/>
      <c r="TQ267" s="53"/>
      <c r="TR267" s="53"/>
      <c r="TS267" s="53"/>
      <c r="TT267" s="53"/>
      <c r="TU267" s="53"/>
      <c r="TV267" s="53"/>
      <c r="TW267" s="53"/>
      <c r="TX267" s="53"/>
      <c r="TY267" s="53"/>
      <c r="TZ267" s="53"/>
      <c r="UA267" s="53"/>
      <c r="UB267" s="53"/>
      <c r="UC267" s="53"/>
      <c r="UD267" s="53"/>
      <c r="UE267" s="53"/>
      <c r="UF267" s="53"/>
      <c r="UG267" s="53"/>
      <c r="UH267" s="53"/>
      <c r="UI267" s="53"/>
      <c r="UJ267" s="53"/>
      <c r="UK267" s="53"/>
      <c r="UL267" s="53"/>
      <c r="UM267" s="53"/>
      <c r="UN267" s="53"/>
      <c r="UO267" s="53"/>
      <c r="UP267" s="53"/>
      <c r="UQ267" s="53"/>
      <c r="UR267" s="53"/>
      <c r="US267" s="53"/>
      <c r="UT267" s="53"/>
      <c r="UU267" s="53"/>
      <c r="UV267" s="53"/>
      <c r="UW267" s="53"/>
      <c r="UX267" s="53"/>
      <c r="UY267" s="53"/>
      <c r="UZ267" s="53"/>
      <c r="VA267" s="53"/>
      <c r="VB267" s="53"/>
      <c r="VC267" s="53"/>
      <c r="VD267" s="53"/>
      <c r="VE267" s="53"/>
      <c r="VF267" s="53"/>
      <c r="VG267" s="53"/>
      <c r="VH267" s="53"/>
      <c r="VI267" s="53"/>
      <c r="VJ267" s="53"/>
      <c r="VK267" s="53"/>
      <c r="VL267" s="53"/>
    </row>
    <row r="268" spans="1:584" s="47" customFormat="1" ht="36.75" customHeight="1" x14ac:dyDescent="0.25">
      <c r="A268" s="91">
        <v>1517370</v>
      </c>
      <c r="B268" s="91">
        <v>7370</v>
      </c>
      <c r="C268" s="93" t="s">
        <v>112</v>
      </c>
      <c r="D268" s="46" t="s">
        <v>562</v>
      </c>
      <c r="E268" s="115">
        <v>84344.6</v>
      </c>
      <c r="F268" s="115"/>
      <c r="G268" s="115"/>
      <c r="H268" s="115">
        <v>24683.599999999999</v>
      </c>
      <c r="I268" s="115"/>
      <c r="J268" s="115"/>
      <c r="K268" s="164">
        <f t="shared" si="59"/>
        <v>29.26518117342426</v>
      </c>
      <c r="L268" s="115">
        <f t="shared" si="82"/>
        <v>0</v>
      </c>
      <c r="M268" s="115"/>
      <c r="N268" s="115"/>
      <c r="O268" s="115"/>
      <c r="P268" s="115"/>
      <c r="Q268" s="115"/>
      <c r="R268" s="115">
        <f t="shared" si="72"/>
        <v>0</v>
      </c>
      <c r="S268" s="115"/>
      <c r="T268" s="115"/>
      <c r="U268" s="115"/>
      <c r="V268" s="115"/>
      <c r="W268" s="115"/>
      <c r="X268" s="166"/>
      <c r="Y268" s="115">
        <f t="shared" si="81"/>
        <v>24683.599999999999</v>
      </c>
      <c r="Z268" s="187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3"/>
      <c r="FD268" s="53"/>
      <c r="FE268" s="53"/>
      <c r="FF268" s="53"/>
      <c r="FG268" s="53"/>
      <c r="FH268" s="53"/>
      <c r="FI268" s="53"/>
      <c r="FJ268" s="53"/>
      <c r="FK268" s="53"/>
      <c r="FL268" s="53"/>
      <c r="FM268" s="53"/>
      <c r="FN268" s="53"/>
      <c r="FO268" s="53"/>
      <c r="FP268" s="53"/>
      <c r="FQ268" s="53"/>
      <c r="FR268" s="53"/>
      <c r="FS268" s="53"/>
      <c r="FT268" s="53"/>
      <c r="FU268" s="53"/>
      <c r="FV268" s="53"/>
      <c r="FW268" s="53"/>
      <c r="FX268" s="53"/>
      <c r="FY268" s="53"/>
      <c r="FZ268" s="53"/>
      <c r="GA268" s="53"/>
      <c r="GB268" s="53"/>
      <c r="GC268" s="53"/>
      <c r="GD268" s="53"/>
      <c r="GE268" s="53"/>
      <c r="GF268" s="53"/>
      <c r="GG268" s="53"/>
      <c r="GH268" s="53"/>
      <c r="GI268" s="53"/>
      <c r="GJ268" s="53"/>
      <c r="GK268" s="53"/>
      <c r="GL268" s="53"/>
      <c r="GM268" s="53"/>
      <c r="GN268" s="53"/>
      <c r="GO268" s="53"/>
      <c r="GP268" s="53"/>
      <c r="GQ268" s="53"/>
      <c r="GR268" s="53"/>
      <c r="GS268" s="53"/>
      <c r="GT268" s="53"/>
      <c r="GU268" s="53"/>
      <c r="GV268" s="53"/>
      <c r="GW268" s="53"/>
      <c r="GX268" s="53"/>
      <c r="GY268" s="53"/>
      <c r="GZ268" s="53"/>
      <c r="HA268" s="53"/>
      <c r="HB268" s="53"/>
      <c r="HC268" s="53"/>
      <c r="HD268" s="53"/>
      <c r="HE268" s="53"/>
      <c r="HF268" s="53"/>
      <c r="HG268" s="53"/>
      <c r="HH268" s="53"/>
      <c r="HI268" s="53"/>
      <c r="HJ268" s="53"/>
      <c r="HK268" s="53"/>
      <c r="HL268" s="53"/>
      <c r="HM268" s="53"/>
      <c r="HN268" s="53"/>
      <c r="HO268" s="53"/>
      <c r="HP268" s="53"/>
      <c r="HQ268" s="53"/>
      <c r="HR268" s="53"/>
      <c r="HS268" s="53"/>
      <c r="HT268" s="53"/>
      <c r="HU268" s="53"/>
      <c r="HV268" s="53"/>
      <c r="HW268" s="53"/>
      <c r="HX268" s="53"/>
      <c r="HY268" s="53"/>
      <c r="HZ268" s="53"/>
      <c r="IA268" s="53"/>
      <c r="IB268" s="53"/>
      <c r="IC268" s="53"/>
      <c r="ID268" s="53"/>
      <c r="IE268" s="53"/>
      <c r="IF268" s="53"/>
      <c r="IG268" s="53"/>
      <c r="IH268" s="53"/>
      <c r="II268" s="53"/>
      <c r="IJ268" s="53"/>
      <c r="IK268" s="53"/>
      <c r="IL268" s="53"/>
      <c r="IM268" s="53"/>
      <c r="IN268" s="53"/>
      <c r="IO268" s="53"/>
      <c r="IP268" s="53"/>
      <c r="IQ268" s="53"/>
      <c r="IR268" s="53"/>
      <c r="IS268" s="53"/>
      <c r="IT268" s="53"/>
      <c r="IU268" s="53"/>
      <c r="IV268" s="53"/>
      <c r="IW268" s="53"/>
      <c r="IX268" s="53"/>
      <c r="IY268" s="53"/>
      <c r="IZ268" s="53"/>
      <c r="JA268" s="53"/>
      <c r="JB268" s="53"/>
      <c r="JC268" s="53"/>
      <c r="JD268" s="53"/>
      <c r="JE268" s="53"/>
      <c r="JF268" s="53"/>
      <c r="JG268" s="53"/>
      <c r="JH268" s="53"/>
      <c r="JI268" s="53"/>
      <c r="JJ268" s="53"/>
      <c r="JK268" s="53"/>
      <c r="JL268" s="53"/>
      <c r="JM268" s="53"/>
      <c r="JN268" s="53"/>
      <c r="JO268" s="53"/>
      <c r="JP268" s="53"/>
      <c r="JQ268" s="53"/>
      <c r="JR268" s="53"/>
      <c r="JS268" s="53"/>
      <c r="JT268" s="53"/>
      <c r="JU268" s="53"/>
      <c r="JV268" s="53"/>
      <c r="JW268" s="53"/>
      <c r="JX268" s="53"/>
      <c r="JY268" s="53"/>
      <c r="JZ268" s="53"/>
      <c r="KA268" s="53"/>
      <c r="KB268" s="53"/>
      <c r="KC268" s="53"/>
      <c r="KD268" s="53"/>
      <c r="KE268" s="53"/>
      <c r="KF268" s="53"/>
      <c r="KG268" s="53"/>
      <c r="KH268" s="53"/>
      <c r="KI268" s="53"/>
      <c r="KJ268" s="53"/>
      <c r="KK268" s="53"/>
      <c r="KL268" s="53"/>
      <c r="KM268" s="53"/>
      <c r="KN268" s="53"/>
      <c r="KO268" s="53"/>
      <c r="KP268" s="53"/>
      <c r="KQ268" s="53"/>
      <c r="KR268" s="53"/>
      <c r="KS268" s="53"/>
      <c r="KT268" s="53"/>
      <c r="KU268" s="53"/>
      <c r="KV268" s="53"/>
      <c r="KW268" s="53"/>
      <c r="KX268" s="53"/>
      <c r="KY268" s="53"/>
      <c r="KZ268" s="53"/>
      <c r="LA268" s="53"/>
      <c r="LB268" s="53"/>
      <c r="LC268" s="53"/>
      <c r="LD268" s="53"/>
      <c r="LE268" s="53"/>
      <c r="LF268" s="53"/>
      <c r="LG268" s="53"/>
      <c r="LH268" s="53"/>
      <c r="LI268" s="53"/>
      <c r="LJ268" s="53"/>
      <c r="LK268" s="53"/>
      <c r="LL268" s="53"/>
      <c r="LM268" s="53"/>
      <c r="LN268" s="53"/>
      <c r="LO268" s="53"/>
      <c r="LP268" s="53"/>
      <c r="LQ268" s="53"/>
      <c r="LR268" s="53"/>
      <c r="LS268" s="53"/>
      <c r="LT268" s="53"/>
      <c r="LU268" s="53"/>
      <c r="LV268" s="53"/>
      <c r="LW268" s="53"/>
      <c r="LX268" s="53"/>
      <c r="LY268" s="53"/>
      <c r="LZ268" s="53"/>
      <c r="MA268" s="53"/>
      <c r="MB268" s="53"/>
      <c r="MC268" s="53"/>
      <c r="MD268" s="53"/>
      <c r="ME268" s="53"/>
      <c r="MF268" s="53"/>
      <c r="MG268" s="53"/>
      <c r="MH268" s="53"/>
      <c r="MI268" s="53"/>
      <c r="MJ268" s="53"/>
      <c r="MK268" s="53"/>
      <c r="ML268" s="53"/>
      <c r="MM268" s="53"/>
      <c r="MN268" s="53"/>
      <c r="MO268" s="53"/>
      <c r="MP268" s="53"/>
      <c r="MQ268" s="53"/>
      <c r="MR268" s="53"/>
      <c r="MS268" s="53"/>
      <c r="MT268" s="53"/>
      <c r="MU268" s="53"/>
      <c r="MV268" s="53"/>
      <c r="MW268" s="53"/>
      <c r="MX268" s="53"/>
      <c r="MY268" s="53"/>
      <c r="MZ268" s="53"/>
      <c r="NA268" s="53"/>
      <c r="NB268" s="53"/>
      <c r="NC268" s="53"/>
      <c r="ND268" s="53"/>
      <c r="NE268" s="53"/>
      <c r="NF268" s="53"/>
      <c r="NG268" s="53"/>
      <c r="NH268" s="53"/>
      <c r="NI268" s="53"/>
      <c r="NJ268" s="53"/>
      <c r="NK268" s="53"/>
      <c r="NL268" s="53"/>
      <c r="NM268" s="53"/>
      <c r="NN268" s="53"/>
      <c r="NO268" s="53"/>
      <c r="NP268" s="53"/>
      <c r="NQ268" s="53"/>
      <c r="NR268" s="53"/>
      <c r="NS268" s="53"/>
      <c r="NT268" s="53"/>
      <c r="NU268" s="53"/>
      <c r="NV268" s="53"/>
      <c r="NW268" s="53"/>
      <c r="NX268" s="53"/>
      <c r="NY268" s="53"/>
      <c r="NZ268" s="53"/>
      <c r="OA268" s="53"/>
      <c r="OB268" s="53"/>
      <c r="OC268" s="53"/>
      <c r="OD268" s="53"/>
      <c r="OE268" s="53"/>
      <c r="OF268" s="53"/>
      <c r="OG268" s="53"/>
      <c r="OH268" s="53"/>
      <c r="OI268" s="53"/>
      <c r="OJ268" s="53"/>
      <c r="OK268" s="53"/>
      <c r="OL268" s="53"/>
      <c r="OM268" s="53"/>
      <c r="ON268" s="53"/>
      <c r="OO268" s="53"/>
      <c r="OP268" s="53"/>
      <c r="OQ268" s="53"/>
      <c r="OR268" s="53"/>
      <c r="OS268" s="53"/>
      <c r="OT268" s="53"/>
      <c r="OU268" s="53"/>
      <c r="OV268" s="53"/>
      <c r="OW268" s="53"/>
      <c r="OX268" s="53"/>
      <c r="OY268" s="53"/>
      <c r="OZ268" s="53"/>
      <c r="PA268" s="53"/>
      <c r="PB268" s="53"/>
      <c r="PC268" s="53"/>
      <c r="PD268" s="53"/>
      <c r="PE268" s="53"/>
      <c r="PF268" s="53"/>
      <c r="PG268" s="53"/>
      <c r="PH268" s="53"/>
      <c r="PI268" s="53"/>
      <c r="PJ268" s="53"/>
      <c r="PK268" s="53"/>
      <c r="PL268" s="53"/>
      <c r="PM268" s="53"/>
      <c r="PN268" s="53"/>
      <c r="PO268" s="53"/>
      <c r="PP268" s="53"/>
      <c r="PQ268" s="53"/>
      <c r="PR268" s="53"/>
      <c r="PS268" s="53"/>
      <c r="PT268" s="53"/>
      <c r="PU268" s="53"/>
      <c r="PV268" s="53"/>
      <c r="PW268" s="53"/>
      <c r="PX268" s="53"/>
      <c r="PY268" s="53"/>
      <c r="PZ268" s="53"/>
      <c r="QA268" s="53"/>
      <c r="QB268" s="53"/>
      <c r="QC268" s="53"/>
      <c r="QD268" s="53"/>
      <c r="QE268" s="53"/>
      <c r="QF268" s="53"/>
      <c r="QG268" s="53"/>
      <c r="QH268" s="53"/>
      <c r="QI268" s="53"/>
      <c r="QJ268" s="53"/>
      <c r="QK268" s="53"/>
      <c r="QL268" s="53"/>
      <c r="QM268" s="53"/>
      <c r="QN268" s="53"/>
      <c r="QO268" s="53"/>
      <c r="QP268" s="53"/>
      <c r="QQ268" s="53"/>
      <c r="QR268" s="53"/>
      <c r="QS268" s="53"/>
      <c r="QT268" s="53"/>
      <c r="QU268" s="53"/>
      <c r="QV268" s="53"/>
      <c r="QW268" s="53"/>
      <c r="QX268" s="53"/>
      <c r="QY268" s="53"/>
      <c r="QZ268" s="53"/>
      <c r="RA268" s="53"/>
      <c r="RB268" s="53"/>
      <c r="RC268" s="53"/>
      <c r="RD268" s="53"/>
      <c r="RE268" s="53"/>
      <c r="RF268" s="53"/>
      <c r="RG268" s="53"/>
      <c r="RH268" s="53"/>
      <c r="RI268" s="53"/>
      <c r="RJ268" s="53"/>
      <c r="RK268" s="53"/>
      <c r="RL268" s="53"/>
      <c r="RM268" s="53"/>
      <c r="RN268" s="53"/>
      <c r="RO268" s="53"/>
      <c r="RP268" s="53"/>
      <c r="RQ268" s="53"/>
      <c r="RR268" s="53"/>
      <c r="RS268" s="53"/>
      <c r="RT268" s="53"/>
      <c r="RU268" s="53"/>
      <c r="RV268" s="53"/>
      <c r="RW268" s="53"/>
      <c r="RX268" s="53"/>
      <c r="RY268" s="53"/>
      <c r="RZ268" s="53"/>
      <c r="SA268" s="53"/>
      <c r="SB268" s="53"/>
      <c r="SC268" s="53"/>
      <c r="SD268" s="53"/>
      <c r="SE268" s="53"/>
      <c r="SF268" s="53"/>
      <c r="SG268" s="53"/>
      <c r="SH268" s="53"/>
      <c r="SI268" s="53"/>
      <c r="SJ268" s="53"/>
      <c r="SK268" s="53"/>
      <c r="SL268" s="53"/>
      <c r="SM268" s="53"/>
      <c r="SN268" s="53"/>
      <c r="SO268" s="53"/>
      <c r="SP268" s="53"/>
      <c r="SQ268" s="53"/>
      <c r="SR268" s="53"/>
      <c r="SS268" s="53"/>
      <c r="ST268" s="53"/>
      <c r="SU268" s="53"/>
      <c r="SV268" s="53"/>
      <c r="SW268" s="53"/>
      <c r="SX268" s="53"/>
      <c r="SY268" s="53"/>
      <c r="SZ268" s="53"/>
      <c r="TA268" s="53"/>
      <c r="TB268" s="53"/>
      <c r="TC268" s="53"/>
      <c r="TD268" s="53"/>
      <c r="TE268" s="53"/>
      <c r="TF268" s="53"/>
      <c r="TG268" s="53"/>
      <c r="TH268" s="53"/>
      <c r="TI268" s="53"/>
      <c r="TJ268" s="53"/>
      <c r="TK268" s="53"/>
      <c r="TL268" s="53"/>
      <c r="TM268" s="53"/>
      <c r="TN268" s="53"/>
      <c r="TO268" s="53"/>
      <c r="TP268" s="53"/>
      <c r="TQ268" s="53"/>
      <c r="TR268" s="53"/>
      <c r="TS268" s="53"/>
      <c r="TT268" s="53"/>
      <c r="TU268" s="53"/>
      <c r="TV268" s="53"/>
      <c r="TW268" s="53"/>
      <c r="TX268" s="53"/>
      <c r="TY268" s="53"/>
      <c r="TZ268" s="53"/>
      <c r="UA268" s="53"/>
      <c r="UB268" s="53"/>
      <c r="UC268" s="53"/>
      <c r="UD268" s="53"/>
      <c r="UE268" s="53"/>
      <c r="UF268" s="53"/>
      <c r="UG268" s="53"/>
      <c r="UH268" s="53"/>
      <c r="UI268" s="53"/>
      <c r="UJ268" s="53"/>
      <c r="UK268" s="53"/>
      <c r="UL268" s="53"/>
      <c r="UM268" s="53"/>
      <c r="UN268" s="53"/>
      <c r="UO268" s="53"/>
      <c r="UP268" s="53"/>
      <c r="UQ268" s="53"/>
      <c r="UR268" s="53"/>
      <c r="US268" s="53"/>
      <c r="UT268" s="53"/>
      <c r="UU268" s="53"/>
      <c r="UV268" s="53"/>
      <c r="UW268" s="53"/>
      <c r="UX268" s="53"/>
      <c r="UY268" s="53"/>
      <c r="UZ268" s="53"/>
      <c r="VA268" s="53"/>
      <c r="VB268" s="53"/>
      <c r="VC268" s="53"/>
      <c r="VD268" s="53"/>
      <c r="VE268" s="53"/>
      <c r="VF268" s="53"/>
      <c r="VG268" s="53"/>
      <c r="VH268" s="53"/>
      <c r="VI268" s="53"/>
      <c r="VJ268" s="53"/>
      <c r="VK268" s="53"/>
      <c r="VL268" s="53"/>
    </row>
    <row r="269" spans="1:584" s="47" customFormat="1" ht="35.25" hidden="1" customHeight="1" x14ac:dyDescent="0.25">
      <c r="A269" s="91">
        <v>1517442</v>
      </c>
      <c r="B269" s="91">
        <v>7442</v>
      </c>
      <c r="C269" s="91" t="s">
        <v>408</v>
      </c>
      <c r="D269" s="48" t="s">
        <v>508</v>
      </c>
      <c r="E269" s="115">
        <v>0</v>
      </c>
      <c r="F269" s="115"/>
      <c r="G269" s="115"/>
      <c r="H269" s="115"/>
      <c r="I269" s="115"/>
      <c r="J269" s="115"/>
      <c r="K269" s="164" t="e">
        <f t="shared" ref="K269:K315" si="83">H269/E269*100</f>
        <v>#DIV/0!</v>
      </c>
      <c r="L269" s="115">
        <f t="shared" si="71"/>
        <v>0</v>
      </c>
      <c r="M269" s="115"/>
      <c r="N269" s="115"/>
      <c r="O269" s="115"/>
      <c r="P269" s="115"/>
      <c r="Q269" s="115">
        <f>70472.47-70472.47</f>
        <v>0</v>
      </c>
      <c r="R269" s="115">
        <f t="shared" si="72"/>
        <v>0</v>
      </c>
      <c r="S269" s="115"/>
      <c r="T269" s="115"/>
      <c r="U269" s="115"/>
      <c r="V269" s="115"/>
      <c r="W269" s="115"/>
      <c r="X269" s="166" t="e">
        <f t="shared" ref="X269:X315" si="84">R269/L269*100</f>
        <v>#DIV/0!</v>
      </c>
      <c r="Y269" s="115">
        <f t="shared" si="81"/>
        <v>0</v>
      </c>
      <c r="Z269" s="187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  <c r="GQ269" s="53"/>
      <c r="GR269" s="53"/>
      <c r="GS269" s="53"/>
      <c r="GT269" s="53"/>
      <c r="GU269" s="53"/>
      <c r="GV269" s="53"/>
      <c r="GW269" s="53"/>
      <c r="GX269" s="53"/>
      <c r="GY269" s="53"/>
      <c r="GZ269" s="53"/>
      <c r="HA269" s="53"/>
      <c r="HB269" s="53"/>
      <c r="HC269" s="53"/>
      <c r="HD269" s="53"/>
      <c r="HE269" s="53"/>
      <c r="HF269" s="53"/>
      <c r="HG269" s="53"/>
      <c r="HH269" s="53"/>
      <c r="HI269" s="53"/>
      <c r="HJ269" s="53"/>
      <c r="HK269" s="53"/>
      <c r="HL269" s="53"/>
      <c r="HM269" s="53"/>
      <c r="HN269" s="53"/>
      <c r="HO269" s="53"/>
      <c r="HP269" s="53"/>
      <c r="HQ269" s="53"/>
      <c r="HR269" s="53"/>
      <c r="HS269" s="53"/>
      <c r="HT269" s="53"/>
      <c r="HU269" s="53"/>
      <c r="HV269" s="53"/>
      <c r="HW269" s="53"/>
      <c r="HX269" s="53"/>
      <c r="HY269" s="53"/>
      <c r="HZ269" s="53"/>
      <c r="IA269" s="53"/>
      <c r="IB269" s="53"/>
      <c r="IC269" s="53"/>
      <c r="ID269" s="53"/>
      <c r="IE269" s="53"/>
      <c r="IF269" s="53"/>
      <c r="IG269" s="53"/>
      <c r="IH269" s="53"/>
      <c r="II269" s="53"/>
      <c r="IJ269" s="53"/>
      <c r="IK269" s="53"/>
      <c r="IL269" s="53"/>
      <c r="IM269" s="53"/>
      <c r="IN269" s="53"/>
      <c r="IO269" s="53"/>
      <c r="IP269" s="53"/>
      <c r="IQ269" s="53"/>
      <c r="IR269" s="53"/>
      <c r="IS269" s="53"/>
      <c r="IT269" s="53"/>
      <c r="IU269" s="53"/>
      <c r="IV269" s="53"/>
      <c r="IW269" s="53"/>
      <c r="IX269" s="53"/>
      <c r="IY269" s="53"/>
      <c r="IZ269" s="53"/>
      <c r="JA269" s="53"/>
      <c r="JB269" s="53"/>
      <c r="JC269" s="53"/>
      <c r="JD269" s="53"/>
      <c r="JE269" s="53"/>
      <c r="JF269" s="53"/>
      <c r="JG269" s="53"/>
      <c r="JH269" s="53"/>
      <c r="JI269" s="53"/>
      <c r="JJ269" s="53"/>
      <c r="JK269" s="53"/>
      <c r="JL269" s="53"/>
      <c r="JM269" s="53"/>
      <c r="JN269" s="53"/>
      <c r="JO269" s="53"/>
      <c r="JP269" s="53"/>
      <c r="JQ269" s="53"/>
      <c r="JR269" s="53"/>
      <c r="JS269" s="53"/>
      <c r="JT269" s="53"/>
      <c r="JU269" s="53"/>
      <c r="JV269" s="53"/>
      <c r="JW269" s="53"/>
      <c r="JX269" s="53"/>
      <c r="JY269" s="53"/>
      <c r="JZ269" s="53"/>
      <c r="KA269" s="53"/>
      <c r="KB269" s="53"/>
      <c r="KC269" s="53"/>
      <c r="KD269" s="53"/>
      <c r="KE269" s="53"/>
      <c r="KF269" s="53"/>
      <c r="KG269" s="53"/>
      <c r="KH269" s="53"/>
      <c r="KI269" s="53"/>
      <c r="KJ269" s="53"/>
      <c r="KK269" s="53"/>
      <c r="KL269" s="53"/>
      <c r="KM269" s="53"/>
      <c r="KN269" s="53"/>
      <c r="KO269" s="53"/>
      <c r="KP269" s="53"/>
      <c r="KQ269" s="53"/>
      <c r="KR269" s="53"/>
      <c r="KS269" s="53"/>
      <c r="KT269" s="53"/>
      <c r="KU269" s="53"/>
      <c r="KV269" s="53"/>
      <c r="KW269" s="53"/>
      <c r="KX269" s="53"/>
      <c r="KY269" s="53"/>
      <c r="KZ269" s="53"/>
      <c r="LA269" s="53"/>
      <c r="LB269" s="53"/>
      <c r="LC269" s="53"/>
      <c r="LD269" s="53"/>
      <c r="LE269" s="53"/>
      <c r="LF269" s="53"/>
      <c r="LG269" s="53"/>
      <c r="LH269" s="53"/>
      <c r="LI269" s="53"/>
      <c r="LJ269" s="53"/>
      <c r="LK269" s="53"/>
      <c r="LL269" s="53"/>
      <c r="LM269" s="53"/>
      <c r="LN269" s="53"/>
      <c r="LO269" s="53"/>
      <c r="LP269" s="53"/>
      <c r="LQ269" s="53"/>
      <c r="LR269" s="53"/>
      <c r="LS269" s="53"/>
      <c r="LT269" s="53"/>
      <c r="LU269" s="53"/>
      <c r="LV269" s="53"/>
      <c r="LW269" s="53"/>
      <c r="LX269" s="53"/>
      <c r="LY269" s="53"/>
      <c r="LZ269" s="53"/>
      <c r="MA269" s="53"/>
      <c r="MB269" s="53"/>
      <c r="MC269" s="53"/>
      <c r="MD269" s="53"/>
      <c r="ME269" s="53"/>
      <c r="MF269" s="53"/>
      <c r="MG269" s="53"/>
      <c r="MH269" s="53"/>
      <c r="MI269" s="53"/>
      <c r="MJ269" s="53"/>
      <c r="MK269" s="53"/>
      <c r="ML269" s="53"/>
      <c r="MM269" s="53"/>
      <c r="MN269" s="53"/>
      <c r="MO269" s="53"/>
      <c r="MP269" s="53"/>
      <c r="MQ269" s="53"/>
      <c r="MR269" s="53"/>
      <c r="MS269" s="53"/>
      <c r="MT269" s="53"/>
      <c r="MU269" s="53"/>
      <c r="MV269" s="53"/>
      <c r="MW269" s="53"/>
      <c r="MX269" s="53"/>
      <c r="MY269" s="53"/>
      <c r="MZ269" s="53"/>
      <c r="NA269" s="53"/>
      <c r="NB269" s="53"/>
      <c r="NC269" s="53"/>
      <c r="ND269" s="53"/>
      <c r="NE269" s="53"/>
      <c r="NF269" s="53"/>
      <c r="NG269" s="53"/>
      <c r="NH269" s="53"/>
      <c r="NI269" s="53"/>
      <c r="NJ269" s="53"/>
      <c r="NK269" s="53"/>
      <c r="NL269" s="53"/>
      <c r="NM269" s="53"/>
      <c r="NN269" s="53"/>
      <c r="NO269" s="53"/>
      <c r="NP269" s="53"/>
      <c r="NQ269" s="53"/>
      <c r="NR269" s="53"/>
      <c r="NS269" s="53"/>
      <c r="NT269" s="53"/>
      <c r="NU269" s="53"/>
      <c r="NV269" s="53"/>
      <c r="NW269" s="53"/>
      <c r="NX269" s="53"/>
      <c r="NY269" s="53"/>
      <c r="NZ269" s="53"/>
      <c r="OA269" s="53"/>
      <c r="OB269" s="53"/>
      <c r="OC269" s="53"/>
      <c r="OD269" s="53"/>
      <c r="OE269" s="53"/>
      <c r="OF269" s="53"/>
      <c r="OG269" s="53"/>
      <c r="OH269" s="53"/>
      <c r="OI269" s="53"/>
      <c r="OJ269" s="53"/>
      <c r="OK269" s="53"/>
      <c r="OL269" s="53"/>
      <c r="OM269" s="53"/>
      <c r="ON269" s="53"/>
      <c r="OO269" s="53"/>
      <c r="OP269" s="53"/>
      <c r="OQ269" s="53"/>
      <c r="OR269" s="53"/>
      <c r="OS269" s="53"/>
      <c r="OT269" s="53"/>
      <c r="OU269" s="53"/>
      <c r="OV269" s="53"/>
      <c r="OW269" s="53"/>
      <c r="OX269" s="53"/>
      <c r="OY269" s="53"/>
      <c r="OZ269" s="53"/>
      <c r="PA269" s="53"/>
      <c r="PB269" s="53"/>
      <c r="PC269" s="53"/>
      <c r="PD269" s="53"/>
      <c r="PE269" s="53"/>
      <c r="PF269" s="53"/>
      <c r="PG269" s="53"/>
      <c r="PH269" s="53"/>
      <c r="PI269" s="53"/>
      <c r="PJ269" s="53"/>
      <c r="PK269" s="53"/>
      <c r="PL269" s="53"/>
      <c r="PM269" s="53"/>
      <c r="PN269" s="53"/>
      <c r="PO269" s="53"/>
      <c r="PP269" s="53"/>
      <c r="PQ269" s="53"/>
      <c r="PR269" s="53"/>
      <c r="PS269" s="53"/>
      <c r="PT269" s="53"/>
      <c r="PU269" s="53"/>
      <c r="PV269" s="53"/>
      <c r="PW269" s="53"/>
      <c r="PX269" s="53"/>
      <c r="PY269" s="53"/>
      <c r="PZ269" s="53"/>
      <c r="QA269" s="53"/>
      <c r="QB269" s="53"/>
      <c r="QC269" s="53"/>
      <c r="QD269" s="53"/>
      <c r="QE269" s="53"/>
      <c r="QF269" s="53"/>
      <c r="QG269" s="53"/>
      <c r="QH269" s="53"/>
      <c r="QI269" s="53"/>
      <c r="QJ269" s="53"/>
      <c r="QK269" s="53"/>
      <c r="QL269" s="53"/>
      <c r="QM269" s="53"/>
      <c r="QN269" s="53"/>
      <c r="QO269" s="53"/>
      <c r="QP269" s="53"/>
      <c r="QQ269" s="53"/>
      <c r="QR269" s="53"/>
      <c r="QS269" s="53"/>
      <c r="QT269" s="53"/>
      <c r="QU269" s="53"/>
      <c r="QV269" s="53"/>
      <c r="QW269" s="53"/>
      <c r="QX269" s="53"/>
      <c r="QY269" s="53"/>
      <c r="QZ269" s="53"/>
      <c r="RA269" s="53"/>
      <c r="RB269" s="53"/>
      <c r="RC269" s="53"/>
      <c r="RD269" s="53"/>
      <c r="RE269" s="53"/>
      <c r="RF269" s="53"/>
      <c r="RG269" s="53"/>
      <c r="RH269" s="53"/>
      <c r="RI269" s="53"/>
      <c r="RJ269" s="53"/>
      <c r="RK269" s="53"/>
      <c r="RL269" s="53"/>
      <c r="RM269" s="53"/>
      <c r="RN269" s="53"/>
      <c r="RO269" s="53"/>
      <c r="RP269" s="53"/>
      <c r="RQ269" s="53"/>
      <c r="RR269" s="53"/>
      <c r="RS269" s="53"/>
      <c r="RT269" s="53"/>
      <c r="RU269" s="53"/>
      <c r="RV269" s="53"/>
      <c r="RW269" s="53"/>
      <c r="RX269" s="53"/>
      <c r="RY269" s="53"/>
      <c r="RZ269" s="53"/>
      <c r="SA269" s="53"/>
      <c r="SB269" s="53"/>
      <c r="SC269" s="53"/>
      <c r="SD269" s="53"/>
      <c r="SE269" s="53"/>
      <c r="SF269" s="53"/>
      <c r="SG269" s="53"/>
      <c r="SH269" s="53"/>
      <c r="SI269" s="53"/>
      <c r="SJ269" s="53"/>
      <c r="SK269" s="53"/>
      <c r="SL269" s="53"/>
      <c r="SM269" s="53"/>
      <c r="SN269" s="53"/>
      <c r="SO269" s="53"/>
      <c r="SP269" s="53"/>
      <c r="SQ269" s="53"/>
      <c r="SR269" s="53"/>
      <c r="SS269" s="53"/>
      <c r="ST269" s="53"/>
      <c r="SU269" s="53"/>
      <c r="SV269" s="53"/>
      <c r="SW269" s="53"/>
      <c r="SX269" s="53"/>
      <c r="SY269" s="53"/>
      <c r="SZ269" s="53"/>
      <c r="TA269" s="53"/>
      <c r="TB269" s="53"/>
      <c r="TC269" s="53"/>
      <c r="TD269" s="53"/>
      <c r="TE269" s="53"/>
      <c r="TF269" s="53"/>
      <c r="TG269" s="53"/>
      <c r="TH269" s="53"/>
      <c r="TI269" s="53"/>
      <c r="TJ269" s="53"/>
      <c r="TK269" s="53"/>
      <c r="TL269" s="53"/>
      <c r="TM269" s="53"/>
      <c r="TN269" s="53"/>
      <c r="TO269" s="53"/>
      <c r="TP269" s="53"/>
      <c r="TQ269" s="53"/>
      <c r="TR269" s="53"/>
      <c r="TS269" s="53"/>
      <c r="TT269" s="53"/>
      <c r="TU269" s="53"/>
      <c r="TV269" s="53"/>
      <c r="TW269" s="53"/>
      <c r="TX269" s="53"/>
      <c r="TY269" s="53"/>
      <c r="TZ269" s="53"/>
      <c r="UA269" s="53"/>
      <c r="UB269" s="53"/>
      <c r="UC269" s="53"/>
      <c r="UD269" s="53"/>
      <c r="UE269" s="53"/>
      <c r="UF269" s="53"/>
      <c r="UG269" s="53"/>
      <c r="UH269" s="53"/>
      <c r="UI269" s="53"/>
      <c r="UJ269" s="53"/>
      <c r="UK269" s="53"/>
      <c r="UL269" s="53"/>
      <c r="UM269" s="53"/>
      <c r="UN269" s="53"/>
      <c r="UO269" s="53"/>
      <c r="UP269" s="53"/>
      <c r="UQ269" s="53"/>
      <c r="UR269" s="53"/>
      <c r="US269" s="53"/>
      <c r="UT269" s="53"/>
      <c r="UU269" s="53"/>
      <c r="UV269" s="53"/>
      <c r="UW269" s="53"/>
      <c r="UX269" s="53"/>
      <c r="UY269" s="53"/>
      <c r="UZ269" s="53"/>
      <c r="VA269" s="53"/>
      <c r="VB269" s="53"/>
      <c r="VC269" s="53"/>
      <c r="VD269" s="53"/>
      <c r="VE269" s="53"/>
      <c r="VF269" s="53"/>
      <c r="VG269" s="53"/>
      <c r="VH269" s="53"/>
      <c r="VI269" s="53"/>
      <c r="VJ269" s="53"/>
      <c r="VK269" s="53"/>
      <c r="VL269" s="53"/>
    </row>
    <row r="270" spans="1:584" s="47" customFormat="1" ht="45" hidden="1" customHeight="1" x14ac:dyDescent="0.25">
      <c r="A270" s="45" t="s">
        <v>525</v>
      </c>
      <c r="B270" s="91" t="s">
        <v>526</v>
      </c>
      <c r="C270" s="93" t="s">
        <v>408</v>
      </c>
      <c r="D270" s="57" t="s">
        <v>527</v>
      </c>
      <c r="E270" s="115">
        <v>0</v>
      </c>
      <c r="F270" s="115"/>
      <c r="G270" s="115"/>
      <c r="H270" s="115"/>
      <c r="I270" s="115"/>
      <c r="J270" s="115"/>
      <c r="K270" s="164" t="e">
        <f t="shared" si="83"/>
        <v>#DIV/0!</v>
      </c>
      <c r="L270" s="115">
        <f t="shared" si="71"/>
        <v>0</v>
      </c>
      <c r="M270" s="115"/>
      <c r="N270" s="115"/>
      <c r="O270" s="115"/>
      <c r="P270" s="115"/>
      <c r="Q270" s="115">
        <f>30000000-30000000</f>
        <v>0</v>
      </c>
      <c r="R270" s="115">
        <f t="shared" si="72"/>
        <v>0</v>
      </c>
      <c r="S270" s="115"/>
      <c r="T270" s="115"/>
      <c r="U270" s="115"/>
      <c r="V270" s="115"/>
      <c r="W270" s="115"/>
      <c r="X270" s="166" t="e">
        <f t="shared" si="84"/>
        <v>#DIV/0!</v>
      </c>
      <c r="Y270" s="115">
        <f t="shared" si="81"/>
        <v>0</v>
      </c>
      <c r="Z270" s="187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  <c r="GN270" s="53"/>
      <c r="GO270" s="53"/>
      <c r="GP270" s="53"/>
      <c r="GQ270" s="53"/>
      <c r="GR270" s="53"/>
      <c r="GS270" s="53"/>
      <c r="GT270" s="53"/>
      <c r="GU270" s="53"/>
      <c r="GV270" s="53"/>
      <c r="GW270" s="53"/>
      <c r="GX270" s="53"/>
      <c r="GY270" s="53"/>
      <c r="GZ270" s="53"/>
      <c r="HA270" s="53"/>
      <c r="HB270" s="53"/>
      <c r="HC270" s="53"/>
      <c r="HD270" s="53"/>
      <c r="HE270" s="53"/>
      <c r="HF270" s="53"/>
      <c r="HG270" s="53"/>
      <c r="HH270" s="53"/>
      <c r="HI270" s="53"/>
      <c r="HJ270" s="53"/>
      <c r="HK270" s="53"/>
      <c r="HL270" s="53"/>
      <c r="HM270" s="53"/>
      <c r="HN270" s="53"/>
      <c r="HO270" s="53"/>
      <c r="HP270" s="53"/>
      <c r="HQ270" s="53"/>
      <c r="HR270" s="53"/>
      <c r="HS270" s="53"/>
      <c r="HT270" s="53"/>
      <c r="HU270" s="53"/>
      <c r="HV270" s="53"/>
      <c r="HW270" s="53"/>
      <c r="HX270" s="53"/>
      <c r="HY270" s="53"/>
      <c r="HZ270" s="53"/>
      <c r="IA270" s="53"/>
      <c r="IB270" s="53"/>
      <c r="IC270" s="53"/>
      <c r="ID270" s="53"/>
      <c r="IE270" s="53"/>
      <c r="IF270" s="53"/>
      <c r="IG270" s="53"/>
      <c r="IH270" s="53"/>
      <c r="II270" s="53"/>
      <c r="IJ270" s="53"/>
      <c r="IK270" s="53"/>
      <c r="IL270" s="53"/>
      <c r="IM270" s="53"/>
      <c r="IN270" s="53"/>
      <c r="IO270" s="53"/>
      <c r="IP270" s="53"/>
      <c r="IQ270" s="53"/>
      <c r="IR270" s="53"/>
      <c r="IS270" s="53"/>
      <c r="IT270" s="53"/>
      <c r="IU270" s="53"/>
      <c r="IV270" s="53"/>
      <c r="IW270" s="53"/>
      <c r="IX270" s="53"/>
      <c r="IY270" s="53"/>
      <c r="IZ270" s="53"/>
      <c r="JA270" s="53"/>
      <c r="JB270" s="53"/>
      <c r="JC270" s="53"/>
      <c r="JD270" s="53"/>
      <c r="JE270" s="53"/>
      <c r="JF270" s="53"/>
      <c r="JG270" s="53"/>
      <c r="JH270" s="53"/>
      <c r="JI270" s="53"/>
      <c r="JJ270" s="53"/>
      <c r="JK270" s="53"/>
      <c r="JL270" s="53"/>
      <c r="JM270" s="53"/>
      <c r="JN270" s="53"/>
      <c r="JO270" s="53"/>
      <c r="JP270" s="53"/>
      <c r="JQ270" s="53"/>
      <c r="JR270" s="53"/>
      <c r="JS270" s="53"/>
      <c r="JT270" s="53"/>
      <c r="JU270" s="53"/>
      <c r="JV270" s="53"/>
      <c r="JW270" s="53"/>
      <c r="JX270" s="53"/>
      <c r="JY270" s="53"/>
      <c r="JZ270" s="53"/>
      <c r="KA270" s="53"/>
      <c r="KB270" s="53"/>
      <c r="KC270" s="53"/>
      <c r="KD270" s="53"/>
      <c r="KE270" s="53"/>
      <c r="KF270" s="53"/>
      <c r="KG270" s="53"/>
      <c r="KH270" s="53"/>
      <c r="KI270" s="53"/>
      <c r="KJ270" s="53"/>
      <c r="KK270" s="53"/>
      <c r="KL270" s="53"/>
      <c r="KM270" s="53"/>
      <c r="KN270" s="53"/>
      <c r="KO270" s="53"/>
      <c r="KP270" s="53"/>
      <c r="KQ270" s="53"/>
      <c r="KR270" s="53"/>
      <c r="KS270" s="53"/>
      <c r="KT270" s="53"/>
      <c r="KU270" s="53"/>
      <c r="KV270" s="53"/>
      <c r="KW270" s="53"/>
      <c r="KX270" s="53"/>
      <c r="KY270" s="53"/>
      <c r="KZ270" s="53"/>
      <c r="LA270" s="53"/>
      <c r="LB270" s="53"/>
      <c r="LC270" s="53"/>
      <c r="LD270" s="53"/>
      <c r="LE270" s="53"/>
      <c r="LF270" s="53"/>
      <c r="LG270" s="53"/>
      <c r="LH270" s="53"/>
      <c r="LI270" s="53"/>
      <c r="LJ270" s="53"/>
      <c r="LK270" s="53"/>
      <c r="LL270" s="53"/>
      <c r="LM270" s="53"/>
      <c r="LN270" s="53"/>
      <c r="LO270" s="53"/>
      <c r="LP270" s="53"/>
      <c r="LQ270" s="53"/>
      <c r="LR270" s="53"/>
      <c r="LS270" s="53"/>
      <c r="LT270" s="53"/>
      <c r="LU270" s="53"/>
      <c r="LV270" s="53"/>
      <c r="LW270" s="53"/>
      <c r="LX270" s="53"/>
      <c r="LY270" s="53"/>
      <c r="LZ270" s="53"/>
      <c r="MA270" s="53"/>
      <c r="MB270" s="53"/>
      <c r="MC270" s="53"/>
      <c r="MD270" s="53"/>
      <c r="ME270" s="53"/>
      <c r="MF270" s="53"/>
      <c r="MG270" s="53"/>
      <c r="MH270" s="53"/>
      <c r="MI270" s="53"/>
      <c r="MJ270" s="53"/>
      <c r="MK270" s="53"/>
      <c r="ML270" s="53"/>
      <c r="MM270" s="53"/>
      <c r="MN270" s="53"/>
      <c r="MO270" s="53"/>
      <c r="MP270" s="53"/>
      <c r="MQ270" s="53"/>
      <c r="MR270" s="53"/>
      <c r="MS270" s="53"/>
      <c r="MT270" s="53"/>
      <c r="MU270" s="53"/>
      <c r="MV270" s="53"/>
      <c r="MW270" s="53"/>
      <c r="MX270" s="53"/>
      <c r="MY270" s="53"/>
      <c r="MZ270" s="53"/>
      <c r="NA270" s="53"/>
      <c r="NB270" s="53"/>
      <c r="NC270" s="53"/>
      <c r="ND270" s="53"/>
      <c r="NE270" s="53"/>
      <c r="NF270" s="53"/>
      <c r="NG270" s="53"/>
      <c r="NH270" s="53"/>
      <c r="NI270" s="53"/>
      <c r="NJ270" s="53"/>
      <c r="NK270" s="53"/>
      <c r="NL270" s="53"/>
      <c r="NM270" s="53"/>
      <c r="NN270" s="53"/>
      <c r="NO270" s="53"/>
      <c r="NP270" s="53"/>
      <c r="NQ270" s="53"/>
      <c r="NR270" s="53"/>
      <c r="NS270" s="53"/>
      <c r="NT270" s="53"/>
      <c r="NU270" s="53"/>
      <c r="NV270" s="53"/>
      <c r="NW270" s="53"/>
      <c r="NX270" s="53"/>
      <c r="NY270" s="53"/>
      <c r="NZ270" s="53"/>
      <c r="OA270" s="53"/>
      <c r="OB270" s="53"/>
      <c r="OC270" s="53"/>
      <c r="OD270" s="53"/>
      <c r="OE270" s="53"/>
      <c r="OF270" s="53"/>
      <c r="OG270" s="53"/>
      <c r="OH270" s="53"/>
      <c r="OI270" s="53"/>
      <c r="OJ270" s="53"/>
      <c r="OK270" s="53"/>
      <c r="OL270" s="53"/>
      <c r="OM270" s="53"/>
      <c r="ON270" s="53"/>
      <c r="OO270" s="53"/>
      <c r="OP270" s="53"/>
      <c r="OQ270" s="53"/>
      <c r="OR270" s="53"/>
      <c r="OS270" s="53"/>
      <c r="OT270" s="53"/>
      <c r="OU270" s="53"/>
      <c r="OV270" s="53"/>
      <c r="OW270" s="53"/>
      <c r="OX270" s="53"/>
      <c r="OY270" s="53"/>
      <c r="OZ270" s="53"/>
      <c r="PA270" s="53"/>
      <c r="PB270" s="53"/>
      <c r="PC270" s="53"/>
      <c r="PD270" s="53"/>
      <c r="PE270" s="53"/>
      <c r="PF270" s="53"/>
      <c r="PG270" s="53"/>
      <c r="PH270" s="53"/>
      <c r="PI270" s="53"/>
      <c r="PJ270" s="53"/>
      <c r="PK270" s="53"/>
      <c r="PL270" s="53"/>
      <c r="PM270" s="53"/>
      <c r="PN270" s="53"/>
      <c r="PO270" s="53"/>
      <c r="PP270" s="53"/>
      <c r="PQ270" s="53"/>
      <c r="PR270" s="53"/>
      <c r="PS270" s="53"/>
      <c r="PT270" s="53"/>
      <c r="PU270" s="53"/>
      <c r="PV270" s="53"/>
      <c r="PW270" s="53"/>
      <c r="PX270" s="53"/>
      <c r="PY270" s="53"/>
      <c r="PZ270" s="53"/>
      <c r="QA270" s="53"/>
      <c r="QB270" s="53"/>
      <c r="QC270" s="53"/>
      <c r="QD270" s="53"/>
      <c r="QE270" s="53"/>
      <c r="QF270" s="53"/>
      <c r="QG270" s="53"/>
      <c r="QH270" s="53"/>
      <c r="QI270" s="53"/>
      <c r="QJ270" s="53"/>
      <c r="QK270" s="53"/>
      <c r="QL270" s="53"/>
      <c r="QM270" s="53"/>
      <c r="QN270" s="53"/>
      <c r="QO270" s="53"/>
      <c r="QP270" s="53"/>
      <c r="QQ270" s="53"/>
      <c r="QR270" s="53"/>
      <c r="QS270" s="53"/>
      <c r="QT270" s="53"/>
      <c r="QU270" s="53"/>
      <c r="QV270" s="53"/>
      <c r="QW270" s="53"/>
      <c r="QX270" s="53"/>
      <c r="QY270" s="53"/>
      <c r="QZ270" s="53"/>
      <c r="RA270" s="53"/>
      <c r="RB270" s="53"/>
      <c r="RC270" s="53"/>
      <c r="RD270" s="53"/>
      <c r="RE270" s="53"/>
      <c r="RF270" s="53"/>
      <c r="RG270" s="53"/>
      <c r="RH270" s="53"/>
      <c r="RI270" s="53"/>
      <c r="RJ270" s="53"/>
      <c r="RK270" s="53"/>
      <c r="RL270" s="53"/>
      <c r="RM270" s="53"/>
      <c r="RN270" s="53"/>
      <c r="RO270" s="53"/>
      <c r="RP270" s="53"/>
      <c r="RQ270" s="53"/>
      <c r="RR270" s="53"/>
      <c r="RS270" s="53"/>
      <c r="RT270" s="53"/>
      <c r="RU270" s="53"/>
      <c r="RV270" s="53"/>
      <c r="RW270" s="53"/>
      <c r="RX270" s="53"/>
      <c r="RY270" s="53"/>
      <c r="RZ270" s="53"/>
      <c r="SA270" s="53"/>
      <c r="SB270" s="53"/>
      <c r="SC270" s="53"/>
      <c r="SD270" s="53"/>
      <c r="SE270" s="53"/>
      <c r="SF270" s="53"/>
      <c r="SG270" s="53"/>
      <c r="SH270" s="53"/>
      <c r="SI270" s="53"/>
      <c r="SJ270" s="53"/>
      <c r="SK270" s="53"/>
      <c r="SL270" s="53"/>
      <c r="SM270" s="53"/>
      <c r="SN270" s="53"/>
      <c r="SO270" s="53"/>
      <c r="SP270" s="53"/>
      <c r="SQ270" s="53"/>
      <c r="SR270" s="53"/>
      <c r="SS270" s="53"/>
      <c r="ST270" s="53"/>
      <c r="SU270" s="53"/>
      <c r="SV270" s="53"/>
      <c r="SW270" s="53"/>
      <c r="SX270" s="53"/>
      <c r="SY270" s="53"/>
      <c r="SZ270" s="53"/>
      <c r="TA270" s="53"/>
      <c r="TB270" s="53"/>
      <c r="TC270" s="53"/>
      <c r="TD270" s="53"/>
      <c r="TE270" s="53"/>
      <c r="TF270" s="53"/>
      <c r="TG270" s="53"/>
      <c r="TH270" s="53"/>
      <c r="TI270" s="53"/>
      <c r="TJ270" s="53"/>
      <c r="TK270" s="53"/>
      <c r="TL270" s="53"/>
      <c r="TM270" s="53"/>
      <c r="TN270" s="53"/>
      <c r="TO270" s="53"/>
      <c r="TP270" s="53"/>
      <c r="TQ270" s="53"/>
      <c r="TR270" s="53"/>
      <c r="TS270" s="53"/>
      <c r="TT270" s="53"/>
      <c r="TU270" s="53"/>
      <c r="TV270" s="53"/>
      <c r="TW270" s="53"/>
      <c r="TX270" s="53"/>
      <c r="TY270" s="53"/>
      <c r="TZ270" s="53"/>
      <c r="UA270" s="53"/>
      <c r="UB270" s="53"/>
      <c r="UC270" s="53"/>
      <c r="UD270" s="53"/>
      <c r="UE270" s="53"/>
      <c r="UF270" s="53"/>
      <c r="UG270" s="53"/>
      <c r="UH270" s="53"/>
      <c r="UI270" s="53"/>
      <c r="UJ270" s="53"/>
      <c r="UK270" s="53"/>
      <c r="UL270" s="53"/>
      <c r="UM270" s="53"/>
      <c r="UN270" s="53"/>
      <c r="UO270" s="53"/>
      <c r="UP270" s="53"/>
      <c r="UQ270" s="53"/>
      <c r="UR270" s="53"/>
      <c r="US270" s="53"/>
      <c r="UT270" s="53"/>
      <c r="UU270" s="53"/>
      <c r="UV270" s="53"/>
      <c r="UW270" s="53"/>
      <c r="UX270" s="53"/>
      <c r="UY270" s="53"/>
      <c r="UZ270" s="53"/>
      <c r="VA270" s="53"/>
      <c r="VB270" s="53"/>
      <c r="VC270" s="53"/>
      <c r="VD270" s="53"/>
      <c r="VE270" s="53"/>
      <c r="VF270" s="53"/>
      <c r="VG270" s="53"/>
      <c r="VH270" s="53"/>
      <c r="VI270" s="53"/>
      <c r="VJ270" s="53"/>
      <c r="VK270" s="53"/>
      <c r="VL270" s="53"/>
    </row>
    <row r="271" spans="1:584" s="47" customFormat="1" ht="15" hidden="1" customHeight="1" x14ac:dyDescent="0.25">
      <c r="A271" s="45"/>
      <c r="B271" s="91"/>
      <c r="C271" s="93"/>
      <c r="D271" s="46" t="s">
        <v>342</v>
      </c>
      <c r="E271" s="115">
        <v>0</v>
      </c>
      <c r="F271" s="115"/>
      <c r="G271" s="115"/>
      <c r="H271" s="115"/>
      <c r="I271" s="115"/>
      <c r="J271" s="115"/>
      <c r="K271" s="164" t="e">
        <f t="shared" si="83"/>
        <v>#DIV/0!</v>
      </c>
      <c r="L271" s="115">
        <f t="shared" si="71"/>
        <v>0</v>
      </c>
      <c r="M271" s="115"/>
      <c r="N271" s="115"/>
      <c r="O271" s="115"/>
      <c r="P271" s="115"/>
      <c r="Q271" s="115">
        <f>30000000-30000000</f>
        <v>0</v>
      </c>
      <c r="R271" s="115">
        <f t="shared" si="72"/>
        <v>0</v>
      </c>
      <c r="S271" s="115"/>
      <c r="T271" s="115"/>
      <c r="U271" s="115"/>
      <c r="V271" s="115"/>
      <c r="W271" s="115"/>
      <c r="X271" s="166" t="e">
        <f t="shared" si="84"/>
        <v>#DIV/0!</v>
      </c>
      <c r="Y271" s="115">
        <f t="shared" si="81"/>
        <v>0</v>
      </c>
      <c r="Z271" s="187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  <c r="GQ271" s="53"/>
      <c r="GR271" s="53"/>
      <c r="GS271" s="53"/>
      <c r="GT271" s="53"/>
      <c r="GU271" s="53"/>
      <c r="GV271" s="53"/>
      <c r="GW271" s="53"/>
      <c r="GX271" s="53"/>
      <c r="GY271" s="53"/>
      <c r="GZ271" s="53"/>
      <c r="HA271" s="53"/>
      <c r="HB271" s="53"/>
      <c r="HC271" s="53"/>
      <c r="HD271" s="53"/>
      <c r="HE271" s="53"/>
      <c r="HF271" s="53"/>
      <c r="HG271" s="53"/>
      <c r="HH271" s="53"/>
      <c r="HI271" s="53"/>
      <c r="HJ271" s="53"/>
      <c r="HK271" s="53"/>
      <c r="HL271" s="53"/>
      <c r="HM271" s="53"/>
      <c r="HN271" s="53"/>
      <c r="HO271" s="53"/>
      <c r="HP271" s="53"/>
      <c r="HQ271" s="53"/>
      <c r="HR271" s="53"/>
      <c r="HS271" s="53"/>
      <c r="HT271" s="53"/>
      <c r="HU271" s="53"/>
      <c r="HV271" s="53"/>
      <c r="HW271" s="53"/>
      <c r="HX271" s="53"/>
      <c r="HY271" s="53"/>
      <c r="HZ271" s="53"/>
      <c r="IA271" s="53"/>
      <c r="IB271" s="53"/>
      <c r="IC271" s="53"/>
      <c r="ID271" s="53"/>
      <c r="IE271" s="53"/>
      <c r="IF271" s="53"/>
      <c r="IG271" s="53"/>
      <c r="IH271" s="53"/>
      <c r="II271" s="53"/>
      <c r="IJ271" s="53"/>
      <c r="IK271" s="53"/>
      <c r="IL271" s="53"/>
      <c r="IM271" s="53"/>
      <c r="IN271" s="53"/>
      <c r="IO271" s="53"/>
      <c r="IP271" s="53"/>
      <c r="IQ271" s="53"/>
      <c r="IR271" s="53"/>
      <c r="IS271" s="53"/>
      <c r="IT271" s="53"/>
      <c r="IU271" s="53"/>
      <c r="IV271" s="53"/>
      <c r="IW271" s="53"/>
      <c r="IX271" s="53"/>
      <c r="IY271" s="53"/>
      <c r="IZ271" s="53"/>
      <c r="JA271" s="53"/>
      <c r="JB271" s="53"/>
      <c r="JC271" s="53"/>
      <c r="JD271" s="53"/>
      <c r="JE271" s="53"/>
      <c r="JF271" s="53"/>
      <c r="JG271" s="53"/>
      <c r="JH271" s="53"/>
      <c r="JI271" s="53"/>
      <c r="JJ271" s="53"/>
      <c r="JK271" s="53"/>
      <c r="JL271" s="53"/>
      <c r="JM271" s="53"/>
      <c r="JN271" s="53"/>
      <c r="JO271" s="53"/>
      <c r="JP271" s="53"/>
      <c r="JQ271" s="53"/>
      <c r="JR271" s="53"/>
      <c r="JS271" s="53"/>
      <c r="JT271" s="53"/>
      <c r="JU271" s="53"/>
      <c r="JV271" s="53"/>
      <c r="JW271" s="53"/>
      <c r="JX271" s="53"/>
      <c r="JY271" s="53"/>
      <c r="JZ271" s="53"/>
      <c r="KA271" s="53"/>
      <c r="KB271" s="53"/>
      <c r="KC271" s="53"/>
      <c r="KD271" s="53"/>
      <c r="KE271" s="53"/>
      <c r="KF271" s="53"/>
      <c r="KG271" s="53"/>
      <c r="KH271" s="53"/>
      <c r="KI271" s="53"/>
      <c r="KJ271" s="53"/>
      <c r="KK271" s="53"/>
      <c r="KL271" s="53"/>
      <c r="KM271" s="53"/>
      <c r="KN271" s="53"/>
      <c r="KO271" s="53"/>
      <c r="KP271" s="53"/>
      <c r="KQ271" s="53"/>
      <c r="KR271" s="53"/>
      <c r="KS271" s="53"/>
      <c r="KT271" s="53"/>
      <c r="KU271" s="53"/>
      <c r="KV271" s="53"/>
      <c r="KW271" s="53"/>
      <c r="KX271" s="53"/>
      <c r="KY271" s="53"/>
      <c r="KZ271" s="53"/>
      <c r="LA271" s="53"/>
      <c r="LB271" s="53"/>
      <c r="LC271" s="53"/>
      <c r="LD271" s="53"/>
      <c r="LE271" s="53"/>
      <c r="LF271" s="53"/>
      <c r="LG271" s="53"/>
      <c r="LH271" s="53"/>
      <c r="LI271" s="53"/>
      <c r="LJ271" s="53"/>
      <c r="LK271" s="53"/>
      <c r="LL271" s="53"/>
      <c r="LM271" s="53"/>
      <c r="LN271" s="53"/>
      <c r="LO271" s="53"/>
      <c r="LP271" s="53"/>
      <c r="LQ271" s="53"/>
      <c r="LR271" s="53"/>
      <c r="LS271" s="53"/>
      <c r="LT271" s="53"/>
      <c r="LU271" s="53"/>
      <c r="LV271" s="53"/>
      <c r="LW271" s="53"/>
      <c r="LX271" s="53"/>
      <c r="LY271" s="53"/>
      <c r="LZ271" s="53"/>
      <c r="MA271" s="53"/>
      <c r="MB271" s="53"/>
      <c r="MC271" s="53"/>
      <c r="MD271" s="53"/>
      <c r="ME271" s="53"/>
      <c r="MF271" s="53"/>
      <c r="MG271" s="53"/>
      <c r="MH271" s="53"/>
      <c r="MI271" s="53"/>
      <c r="MJ271" s="53"/>
      <c r="MK271" s="53"/>
      <c r="ML271" s="53"/>
      <c r="MM271" s="53"/>
      <c r="MN271" s="53"/>
      <c r="MO271" s="53"/>
      <c r="MP271" s="53"/>
      <c r="MQ271" s="53"/>
      <c r="MR271" s="53"/>
      <c r="MS271" s="53"/>
      <c r="MT271" s="53"/>
      <c r="MU271" s="53"/>
      <c r="MV271" s="53"/>
      <c r="MW271" s="53"/>
      <c r="MX271" s="53"/>
      <c r="MY271" s="53"/>
      <c r="MZ271" s="53"/>
      <c r="NA271" s="53"/>
      <c r="NB271" s="53"/>
      <c r="NC271" s="53"/>
      <c r="ND271" s="53"/>
      <c r="NE271" s="53"/>
      <c r="NF271" s="53"/>
      <c r="NG271" s="53"/>
      <c r="NH271" s="53"/>
      <c r="NI271" s="53"/>
      <c r="NJ271" s="53"/>
      <c r="NK271" s="53"/>
      <c r="NL271" s="53"/>
      <c r="NM271" s="53"/>
      <c r="NN271" s="53"/>
      <c r="NO271" s="53"/>
      <c r="NP271" s="53"/>
      <c r="NQ271" s="53"/>
      <c r="NR271" s="53"/>
      <c r="NS271" s="53"/>
      <c r="NT271" s="53"/>
      <c r="NU271" s="53"/>
      <c r="NV271" s="53"/>
      <c r="NW271" s="53"/>
      <c r="NX271" s="53"/>
      <c r="NY271" s="53"/>
      <c r="NZ271" s="53"/>
      <c r="OA271" s="53"/>
      <c r="OB271" s="53"/>
      <c r="OC271" s="53"/>
      <c r="OD271" s="53"/>
      <c r="OE271" s="53"/>
      <c r="OF271" s="53"/>
      <c r="OG271" s="53"/>
      <c r="OH271" s="53"/>
      <c r="OI271" s="53"/>
      <c r="OJ271" s="53"/>
      <c r="OK271" s="53"/>
      <c r="OL271" s="53"/>
      <c r="OM271" s="53"/>
      <c r="ON271" s="53"/>
      <c r="OO271" s="53"/>
      <c r="OP271" s="53"/>
      <c r="OQ271" s="53"/>
      <c r="OR271" s="53"/>
      <c r="OS271" s="53"/>
      <c r="OT271" s="53"/>
      <c r="OU271" s="53"/>
      <c r="OV271" s="53"/>
      <c r="OW271" s="53"/>
      <c r="OX271" s="53"/>
      <c r="OY271" s="53"/>
      <c r="OZ271" s="53"/>
      <c r="PA271" s="53"/>
      <c r="PB271" s="53"/>
      <c r="PC271" s="53"/>
      <c r="PD271" s="53"/>
      <c r="PE271" s="53"/>
      <c r="PF271" s="53"/>
      <c r="PG271" s="53"/>
      <c r="PH271" s="53"/>
      <c r="PI271" s="53"/>
      <c r="PJ271" s="53"/>
      <c r="PK271" s="53"/>
      <c r="PL271" s="53"/>
      <c r="PM271" s="53"/>
      <c r="PN271" s="53"/>
      <c r="PO271" s="53"/>
      <c r="PP271" s="53"/>
      <c r="PQ271" s="53"/>
      <c r="PR271" s="53"/>
      <c r="PS271" s="53"/>
      <c r="PT271" s="53"/>
      <c r="PU271" s="53"/>
      <c r="PV271" s="53"/>
      <c r="PW271" s="53"/>
      <c r="PX271" s="53"/>
      <c r="PY271" s="53"/>
      <c r="PZ271" s="53"/>
      <c r="QA271" s="53"/>
      <c r="QB271" s="53"/>
      <c r="QC271" s="53"/>
      <c r="QD271" s="53"/>
      <c r="QE271" s="53"/>
      <c r="QF271" s="53"/>
      <c r="QG271" s="53"/>
      <c r="QH271" s="53"/>
      <c r="QI271" s="53"/>
      <c r="QJ271" s="53"/>
      <c r="QK271" s="53"/>
      <c r="QL271" s="53"/>
      <c r="QM271" s="53"/>
      <c r="QN271" s="53"/>
      <c r="QO271" s="53"/>
      <c r="QP271" s="53"/>
      <c r="QQ271" s="53"/>
      <c r="QR271" s="53"/>
      <c r="QS271" s="53"/>
      <c r="QT271" s="53"/>
      <c r="QU271" s="53"/>
      <c r="QV271" s="53"/>
      <c r="QW271" s="53"/>
      <c r="QX271" s="53"/>
      <c r="QY271" s="53"/>
      <c r="QZ271" s="53"/>
      <c r="RA271" s="53"/>
      <c r="RB271" s="53"/>
      <c r="RC271" s="53"/>
      <c r="RD271" s="53"/>
      <c r="RE271" s="53"/>
      <c r="RF271" s="53"/>
      <c r="RG271" s="53"/>
      <c r="RH271" s="53"/>
      <c r="RI271" s="53"/>
      <c r="RJ271" s="53"/>
      <c r="RK271" s="53"/>
      <c r="RL271" s="53"/>
      <c r="RM271" s="53"/>
      <c r="RN271" s="53"/>
      <c r="RO271" s="53"/>
      <c r="RP271" s="53"/>
      <c r="RQ271" s="53"/>
      <c r="RR271" s="53"/>
      <c r="RS271" s="53"/>
      <c r="RT271" s="53"/>
      <c r="RU271" s="53"/>
      <c r="RV271" s="53"/>
      <c r="RW271" s="53"/>
      <c r="RX271" s="53"/>
      <c r="RY271" s="53"/>
      <c r="RZ271" s="53"/>
      <c r="SA271" s="53"/>
      <c r="SB271" s="53"/>
      <c r="SC271" s="53"/>
      <c r="SD271" s="53"/>
      <c r="SE271" s="53"/>
      <c r="SF271" s="53"/>
      <c r="SG271" s="53"/>
      <c r="SH271" s="53"/>
      <c r="SI271" s="53"/>
      <c r="SJ271" s="53"/>
      <c r="SK271" s="53"/>
      <c r="SL271" s="53"/>
      <c r="SM271" s="53"/>
      <c r="SN271" s="53"/>
      <c r="SO271" s="53"/>
      <c r="SP271" s="53"/>
      <c r="SQ271" s="53"/>
      <c r="SR271" s="53"/>
      <c r="SS271" s="53"/>
      <c r="ST271" s="53"/>
      <c r="SU271" s="53"/>
      <c r="SV271" s="53"/>
      <c r="SW271" s="53"/>
      <c r="SX271" s="53"/>
      <c r="SY271" s="53"/>
      <c r="SZ271" s="53"/>
      <c r="TA271" s="53"/>
      <c r="TB271" s="53"/>
      <c r="TC271" s="53"/>
      <c r="TD271" s="53"/>
      <c r="TE271" s="53"/>
      <c r="TF271" s="53"/>
      <c r="TG271" s="53"/>
      <c r="TH271" s="53"/>
      <c r="TI271" s="53"/>
      <c r="TJ271" s="53"/>
      <c r="TK271" s="53"/>
      <c r="TL271" s="53"/>
      <c r="TM271" s="53"/>
      <c r="TN271" s="53"/>
      <c r="TO271" s="53"/>
      <c r="TP271" s="53"/>
      <c r="TQ271" s="53"/>
      <c r="TR271" s="53"/>
      <c r="TS271" s="53"/>
      <c r="TT271" s="53"/>
      <c r="TU271" s="53"/>
      <c r="TV271" s="53"/>
      <c r="TW271" s="53"/>
      <c r="TX271" s="53"/>
      <c r="TY271" s="53"/>
      <c r="TZ271" s="53"/>
      <c r="UA271" s="53"/>
      <c r="UB271" s="53"/>
      <c r="UC271" s="53"/>
      <c r="UD271" s="53"/>
      <c r="UE271" s="53"/>
      <c r="UF271" s="53"/>
      <c r="UG271" s="53"/>
      <c r="UH271" s="53"/>
      <c r="UI271" s="53"/>
      <c r="UJ271" s="53"/>
      <c r="UK271" s="53"/>
      <c r="UL271" s="53"/>
      <c r="UM271" s="53"/>
      <c r="UN271" s="53"/>
      <c r="UO271" s="53"/>
      <c r="UP271" s="53"/>
      <c r="UQ271" s="53"/>
      <c r="UR271" s="53"/>
      <c r="US271" s="53"/>
      <c r="UT271" s="53"/>
      <c r="UU271" s="53"/>
      <c r="UV271" s="53"/>
      <c r="UW271" s="53"/>
      <c r="UX271" s="53"/>
      <c r="UY271" s="53"/>
      <c r="UZ271" s="53"/>
      <c r="VA271" s="53"/>
      <c r="VB271" s="53"/>
      <c r="VC271" s="53"/>
      <c r="VD271" s="53"/>
      <c r="VE271" s="53"/>
      <c r="VF271" s="53"/>
      <c r="VG271" s="53"/>
      <c r="VH271" s="53"/>
      <c r="VI271" s="53"/>
      <c r="VJ271" s="53"/>
      <c r="VK271" s="53"/>
      <c r="VL271" s="53"/>
    </row>
    <row r="272" spans="1:584" s="47" customFormat="1" ht="21.75" customHeight="1" x14ac:dyDescent="0.25">
      <c r="A272" s="45" t="s">
        <v>198</v>
      </c>
      <c r="B272" s="91" t="str">
        <f>'дод 3'!A189</f>
        <v>7640</v>
      </c>
      <c r="C272" s="91" t="str">
        <f>'дод 3'!B189</f>
        <v>0470</v>
      </c>
      <c r="D272" s="48" t="str">
        <f>'дод 3'!C189</f>
        <v>Заходи з енергозбереження</v>
      </c>
      <c r="E272" s="115">
        <v>417000</v>
      </c>
      <c r="F272" s="115"/>
      <c r="G272" s="115"/>
      <c r="H272" s="115">
        <v>410259.61</v>
      </c>
      <c r="I272" s="115"/>
      <c r="J272" s="115"/>
      <c r="K272" s="164">
        <f t="shared" si="83"/>
        <v>98.383599520383697</v>
      </c>
      <c r="L272" s="115">
        <f t="shared" si="71"/>
        <v>86691500.049999997</v>
      </c>
      <c r="M272" s="115">
        <f>6550020+22810180+48093527-2000000+154500-3232000+500000-7800000+2000000+2000000-9106470.95-500000-500000-1000000-512229-1349480-360000</f>
        <v>55748047.049999997</v>
      </c>
      <c r="N272" s="115"/>
      <c r="O272" s="115"/>
      <c r="P272" s="115"/>
      <c r="Q272" s="115">
        <f>6550020+22810180+48093527+30943453-2000000+154500-3232000+500000-7800000+2000000+2000000-9106470.95-500000-500000-1000000-512229-1349480-360000</f>
        <v>86691500.049999997</v>
      </c>
      <c r="R272" s="115">
        <f t="shared" si="72"/>
        <v>7513936</v>
      </c>
      <c r="S272" s="115">
        <v>7154225</v>
      </c>
      <c r="T272" s="115"/>
      <c r="U272" s="115"/>
      <c r="V272" s="115"/>
      <c r="W272" s="115">
        <v>7513936</v>
      </c>
      <c r="X272" s="166">
        <f t="shared" si="84"/>
        <v>8.6674425931795831</v>
      </c>
      <c r="Y272" s="115">
        <f t="shared" si="81"/>
        <v>7924195.6100000003</v>
      </c>
      <c r="Z272" s="187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  <c r="GN272" s="53"/>
      <c r="GO272" s="53"/>
      <c r="GP272" s="53"/>
      <c r="GQ272" s="53"/>
      <c r="GR272" s="53"/>
      <c r="GS272" s="53"/>
      <c r="GT272" s="53"/>
      <c r="GU272" s="53"/>
      <c r="GV272" s="53"/>
      <c r="GW272" s="53"/>
      <c r="GX272" s="53"/>
      <c r="GY272" s="53"/>
      <c r="GZ272" s="53"/>
      <c r="HA272" s="53"/>
      <c r="HB272" s="53"/>
      <c r="HC272" s="53"/>
      <c r="HD272" s="53"/>
      <c r="HE272" s="53"/>
      <c r="HF272" s="53"/>
      <c r="HG272" s="53"/>
      <c r="HH272" s="53"/>
      <c r="HI272" s="53"/>
      <c r="HJ272" s="53"/>
      <c r="HK272" s="53"/>
      <c r="HL272" s="53"/>
      <c r="HM272" s="53"/>
      <c r="HN272" s="53"/>
      <c r="HO272" s="53"/>
      <c r="HP272" s="53"/>
      <c r="HQ272" s="53"/>
      <c r="HR272" s="53"/>
      <c r="HS272" s="53"/>
      <c r="HT272" s="53"/>
      <c r="HU272" s="53"/>
      <c r="HV272" s="53"/>
      <c r="HW272" s="53"/>
      <c r="HX272" s="53"/>
      <c r="HY272" s="53"/>
      <c r="HZ272" s="53"/>
      <c r="IA272" s="53"/>
      <c r="IB272" s="53"/>
      <c r="IC272" s="53"/>
      <c r="ID272" s="53"/>
      <c r="IE272" s="53"/>
      <c r="IF272" s="53"/>
      <c r="IG272" s="53"/>
      <c r="IH272" s="53"/>
      <c r="II272" s="53"/>
      <c r="IJ272" s="53"/>
      <c r="IK272" s="53"/>
      <c r="IL272" s="53"/>
      <c r="IM272" s="53"/>
      <c r="IN272" s="53"/>
      <c r="IO272" s="53"/>
      <c r="IP272" s="53"/>
      <c r="IQ272" s="53"/>
      <c r="IR272" s="53"/>
      <c r="IS272" s="53"/>
      <c r="IT272" s="53"/>
      <c r="IU272" s="53"/>
      <c r="IV272" s="53"/>
      <c r="IW272" s="53"/>
      <c r="IX272" s="53"/>
      <c r="IY272" s="53"/>
      <c r="IZ272" s="53"/>
      <c r="JA272" s="53"/>
      <c r="JB272" s="53"/>
      <c r="JC272" s="53"/>
      <c r="JD272" s="53"/>
      <c r="JE272" s="53"/>
      <c r="JF272" s="53"/>
      <c r="JG272" s="53"/>
      <c r="JH272" s="53"/>
      <c r="JI272" s="53"/>
      <c r="JJ272" s="53"/>
      <c r="JK272" s="53"/>
      <c r="JL272" s="53"/>
      <c r="JM272" s="53"/>
      <c r="JN272" s="53"/>
      <c r="JO272" s="53"/>
      <c r="JP272" s="53"/>
      <c r="JQ272" s="53"/>
      <c r="JR272" s="53"/>
      <c r="JS272" s="53"/>
      <c r="JT272" s="53"/>
      <c r="JU272" s="53"/>
      <c r="JV272" s="53"/>
      <c r="JW272" s="53"/>
      <c r="JX272" s="53"/>
      <c r="JY272" s="53"/>
      <c r="JZ272" s="53"/>
      <c r="KA272" s="53"/>
      <c r="KB272" s="53"/>
      <c r="KC272" s="53"/>
      <c r="KD272" s="53"/>
      <c r="KE272" s="53"/>
      <c r="KF272" s="53"/>
      <c r="KG272" s="53"/>
      <c r="KH272" s="53"/>
      <c r="KI272" s="53"/>
      <c r="KJ272" s="53"/>
      <c r="KK272" s="53"/>
      <c r="KL272" s="53"/>
      <c r="KM272" s="53"/>
      <c r="KN272" s="53"/>
      <c r="KO272" s="53"/>
      <c r="KP272" s="53"/>
      <c r="KQ272" s="53"/>
      <c r="KR272" s="53"/>
      <c r="KS272" s="53"/>
      <c r="KT272" s="53"/>
      <c r="KU272" s="53"/>
      <c r="KV272" s="53"/>
      <c r="KW272" s="53"/>
      <c r="KX272" s="53"/>
      <c r="KY272" s="53"/>
      <c r="KZ272" s="53"/>
      <c r="LA272" s="53"/>
      <c r="LB272" s="53"/>
      <c r="LC272" s="53"/>
      <c r="LD272" s="53"/>
      <c r="LE272" s="53"/>
      <c r="LF272" s="53"/>
      <c r="LG272" s="53"/>
      <c r="LH272" s="53"/>
      <c r="LI272" s="53"/>
      <c r="LJ272" s="53"/>
      <c r="LK272" s="53"/>
      <c r="LL272" s="53"/>
      <c r="LM272" s="53"/>
      <c r="LN272" s="53"/>
      <c r="LO272" s="53"/>
      <c r="LP272" s="53"/>
      <c r="LQ272" s="53"/>
      <c r="LR272" s="53"/>
      <c r="LS272" s="53"/>
      <c r="LT272" s="53"/>
      <c r="LU272" s="53"/>
      <c r="LV272" s="53"/>
      <c r="LW272" s="53"/>
      <c r="LX272" s="53"/>
      <c r="LY272" s="53"/>
      <c r="LZ272" s="53"/>
      <c r="MA272" s="53"/>
      <c r="MB272" s="53"/>
      <c r="MC272" s="53"/>
      <c r="MD272" s="53"/>
      <c r="ME272" s="53"/>
      <c r="MF272" s="53"/>
      <c r="MG272" s="53"/>
      <c r="MH272" s="53"/>
      <c r="MI272" s="53"/>
      <c r="MJ272" s="53"/>
      <c r="MK272" s="53"/>
      <c r="ML272" s="53"/>
      <c r="MM272" s="53"/>
      <c r="MN272" s="53"/>
      <c r="MO272" s="53"/>
      <c r="MP272" s="53"/>
      <c r="MQ272" s="53"/>
      <c r="MR272" s="53"/>
      <c r="MS272" s="53"/>
      <c r="MT272" s="53"/>
      <c r="MU272" s="53"/>
      <c r="MV272" s="53"/>
      <c r="MW272" s="53"/>
      <c r="MX272" s="53"/>
      <c r="MY272" s="53"/>
      <c r="MZ272" s="53"/>
      <c r="NA272" s="53"/>
      <c r="NB272" s="53"/>
      <c r="NC272" s="53"/>
      <c r="ND272" s="53"/>
      <c r="NE272" s="53"/>
      <c r="NF272" s="53"/>
      <c r="NG272" s="53"/>
      <c r="NH272" s="53"/>
      <c r="NI272" s="53"/>
      <c r="NJ272" s="53"/>
      <c r="NK272" s="53"/>
      <c r="NL272" s="53"/>
      <c r="NM272" s="53"/>
      <c r="NN272" s="53"/>
      <c r="NO272" s="53"/>
      <c r="NP272" s="53"/>
      <c r="NQ272" s="53"/>
      <c r="NR272" s="53"/>
      <c r="NS272" s="53"/>
      <c r="NT272" s="53"/>
      <c r="NU272" s="53"/>
      <c r="NV272" s="53"/>
      <c r="NW272" s="53"/>
      <c r="NX272" s="53"/>
      <c r="NY272" s="53"/>
      <c r="NZ272" s="53"/>
      <c r="OA272" s="53"/>
      <c r="OB272" s="53"/>
      <c r="OC272" s="53"/>
      <c r="OD272" s="53"/>
      <c r="OE272" s="53"/>
      <c r="OF272" s="53"/>
      <c r="OG272" s="53"/>
      <c r="OH272" s="53"/>
      <c r="OI272" s="53"/>
      <c r="OJ272" s="53"/>
      <c r="OK272" s="53"/>
      <c r="OL272" s="53"/>
      <c r="OM272" s="53"/>
      <c r="ON272" s="53"/>
      <c r="OO272" s="53"/>
      <c r="OP272" s="53"/>
      <c r="OQ272" s="53"/>
      <c r="OR272" s="53"/>
      <c r="OS272" s="53"/>
      <c r="OT272" s="53"/>
      <c r="OU272" s="53"/>
      <c r="OV272" s="53"/>
      <c r="OW272" s="53"/>
      <c r="OX272" s="53"/>
      <c r="OY272" s="53"/>
      <c r="OZ272" s="53"/>
      <c r="PA272" s="53"/>
      <c r="PB272" s="53"/>
      <c r="PC272" s="53"/>
      <c r="PD272" s="53"/>
      <c r="PE272" s="53"/>
      <c r="PF272" s="53"/>
      <c r="PG272" s="53"/>
      <c r="PH272" s="53"/>
      <c r="PI272" s="53"/>
      <c r="PJ272" s="53"/>
      <c r="PK272" s="53"/>
      <c r="PL272" s="53"/>
      <c r="PM272" s="53"/>
      <c r="PN272" s="53"/>
      <c r="PO272" s="53"/>
      <c r="PP272" s="53"/>
      <c r="PQ272" s="53"/>
      <c r="PR272" s="53"/>
      <c r="PS272" s="53"/>
      <c r="PT272" s="53"/>
      <c r="PU272" s="53"/>
      <c r="PV272" s="53"/>
      <c r="PW272" s="53"/>
      <c r="PX272" s="53"/>
      <c r="PY272" s="53"/>
      <c r="PZ272" s="53"/>
      <c r="QA272" s="53"/>
      <c r="QB272" s="53"/>
      <c r="QC272" s="53"/>
      <c r="QD272" s="53"/>
      <c r="QE272" s="53"/>
      <c r="QF272" s="53"/>
      <c r="QG272" s="53"/>
      <c r="QH272" s="53"/>
      <c r="QI272" s="53"/>
      <c r="QJ272" s="53"/>
      <c r="QK272" s="53"/>
      <c r="QL272" s="53"/>
      <c r="QM272" s="53"/>
      <c r="QN272" s="53"/>
      <c r="QO272" s="53"/>
      <c r="QP272" s="53"/>
      <c r="QQ272" s="53"/>
      <c r="QR272" s="53"/>
      <c r="QS272" s="53"/>
      <c r="QT272" s="53"/>
      <c r="QU272" s="53"/>
      <c r="QV272" s="53"/>
      <c r="QW272" s="53"/>
      <c r="QX272" s="53"/>
      <c r="QY272" s="53"/>
      <c r="QZ272" s="53"/>
      <c r="RA272" s="53"/>
      <c r="RB272" s="53"/>
      <c r="RC272" s="53"/>
      <c r="RD272" s="53"/>
      <c r="RE272" s="53"/>
      <c r="RF272" s="53"/>
      <c r="RG272" s="53"/>
      <c r="RH272" s="53"/>
      <c r="RI272" s="53"/>
      <c r="RJ272" s="53"/>
      <c r="RK272" s="53"/>
      <c r="RL272" s="53"/>
      <c r="RM272" s="53"/>
      <c r="RN272" s="53"/>
      <c r="RO272" s="53"/>
      <c r="RP272" s="53"/>
      <c r="RQ272" s="53"/>
      <c r="RR272" s="53"/>
      <c r="RS272" s="53"/>
      <c r="RT272" s="53"/>
      <c r="RU272" s="53"/>
      <c r="RV272" s="53"/>
      <c r="RW272" s="53"/>
      <c r="RX272" s="53"/>
      <c r="RY272" s="53"/>
      <c r="RZ272" s="53"/>
      <c r="SA272" s="53"/>
      <c r="SB272" s="53"/>
      <c r="SC272" s="53"/>
      <c r="SD272" s="53"/>
      <c r="SE272" s="53"/>
      <c r="SF272" s="53"/>
      <c r="SG272" s="53"/>
      <c r="SH272" s="53"/>
      <c r="SI272" s="53"/>
      <c r="SJ272" s="53"/>
      <c r="SK272" s="53"/>
      <c r="SL272" s="53"/>
      <c r="SM272" s="53"/>
      <c r="SN272" s="53"/>
      <c r="SO272" s="53"/>
      <c r="SP272" s="53"/>
      <c r="SQ272" s="53"/>
      <c r="SR272" s="53"/>
      <c r="SS272" s="53"/>
      <c r="ST272" s="53"/>
      <c r="SU272" s="53"/>
      <c r="SV272" s="53"/>
      <c r="SW272" s="53"/>
      <c r="SX272" s="53"/>
      <c r="SY272" s="53"/>
      <c r="SZ272" s="53"/>
      <c r="TA272" s="53"/>
      <c r="TB272" s="53"/>
      <c r="TC272" s="53"/>
      <c r="TD272" s="53"/>
      <c r="TE272" s="53"/>
      <c r="TF272" s="53"/>
      <c r="TG272" s="53"/>
      <c r="TH272" s="53"/>
      <c r="TI272" s="53"/>
      <c r="TJ272" s="53"/>
      <c r="TK272" s="53"/>
      <c r="TL272" s="53"/>
      <c r="TM272" s="53"/>
      <c r="TN272" s="53"/>
      <c r="TO272" s="53"/>
      <c r="TP272" s="53"/>
      <c r="TQ272" s="53"/>
      <c r="TR272" s="53"/>
      <c r="TS272" s="53"/>
      <c r="TT272" s="53"/>
      <c r="TU272" s="53"/>
      <c r="TV272" s="53"/>
      <c r="TW272" s="53"/>
      <c r="TX272" s="53"/>
      <c r="TY272" s="53"/>
      <c r="TZ272" s="53"/>
      <c r="UA272" s="53"/>
      <c r="UB272" s="53"/>
      <c r="UC272" s="53"/>
      <c r="UD272" s="53"/>
      <c r="UE272" s="53"/>
      <c r="UF272" s="53"/>
      <c r="UG272" s="53"/>
      <c r="UH272" s="53"/>
      <c r="UI272" s="53"/>
      <c r="UJ272" s="53"/>
      <c r="UK272" s="53"/>
      <c r="UL272" s="53"/>
      <c r="UM272" s="53"/>
      <c r="UN272" s="53"/>
      <c r="UO272" s="53"/>
      <c r="UP272" s="53"/>
      <c r="UQ272" s="53"/>
      <c r="UR272" s="53"/>
      <c r="US272" s="53"/>
      <c r="UT272" s="53"/>
      <c r="UU272" s="53"/>
      <c r="UV272" s="53"/>
      <c r="UW272" s="53"/>
      <c r="UX272" s="53"/>
      <c r="UY272" s="53"/>
      <c r="UZ272" s="53"/>
      <c r="VA272" s="53"/>
      <c r="VB272" s="53"/>
      <c r="VC272" s="53"/>
      <c r="VD272" s="53"/>
      <c r="VE272" s="53"/>
      <c r="VF272" s="53"/>
      <c r="VG272" s="53"/>
      <c r="VH272" s="53"/>
      <c r="VI272" s="53"/>
      <c r="VJ272" s="53"/>
      <c r="VK272" s="53"/>
      <c r="VL272" s="53"/>
    </row>
    <row r="273" spans="1:584" s="47" customFormat="1" ht="90" x14ac:dyDescent="0.25">
      <c r="A273" s="45" t="s">
        <v>506</v>
      </c>
      <c r="B273" s="91" t="str">
        <f>'дод 3'!A194</f>
        <v>7691</v>
      </c>
      <c r="C273" s="91" t="str">
        <f>'дод 3'!B194</f>
        <v>0490</v>
      </c>
      <c r="D273" s="46" t="s">
        <v>413</v>
      </c>
      <c r="E273" s="115">
        <v>0</v>
      </c>
      <c r="F273" s="115"/>
      <c r="G273" s="115"/>
      <c r="H273" s="115"/>
      <c r="I273" s="115"/>
      <c r="J273" s="115"/>
      <c r="K273" s="164"/>
      <c r="L273" s="115">
        <f t="shared" si="71"/>
        <v>833117.12</v>
      </c>
      <c r="M273" s="115"/>
      <c r="N273" s="115"/>
      <c r="O273" s="115"/>
      <c r="P273" s="115"/>
      <c r="Q273" s="115">
        <v>833117.12</v>
      </c>
      <c r="R273" s="115">
        <f t="shared" si="72"/>
        <v>0</v>
      </c>
      <c r="S273" s="115"/>
      <c r="T273" s="115"/>
      <c r="U273" s="115"/>
      <c r="V273" s="115"/>
      <c r="W273" s="115"/>
      <c r="X273" s="166">
        <f t="shared" si="84"/>
        <v>0</v>
      </c>
      <c r="Y273" s="115">
        <f t="shared" si="81"/>
        <v>0</v>
      </c>
      <c r="Z273" s="187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  <c r="IG273" s="53"/>
      <c r="IH273" s="53"/>
      <c r="II273" s="53"/>
      <c r="IJ273" s="53"/>
      <c r="IK273" s="53"/>
      <c r="IL273" s="53"/>
      <c r="IM273" s="53"/>
      <c r="IN273" s="53"/>
      <c r="IO273" s="53"/>
      <c r="IP273" s="53"/>
      <c r="IQ273" s="53"/>
      <c r="IR273" s="53"/>
      <c r="IS273" s="53"/>
      <c r="IT273" s="53"/>
      <c r="IU273" s="53"/>
      <c r="IV273" s="53"/>
      <c r="IW273" s="53"/>
      <c r="IX273" s="53"/>
      <c r="IY273" s="53"/>
      <c r="IZ273" s="53"/>
      <c r="JA273" s="53"/>
      <c r="JB273" s="53"/>
      <c r="JC273" s="53"/>
      <c r="JD273" s="53"/>
      <c r="JE273" s="53"/>
      <c r="JF273" s="53"/>
      <c r="JG273" s="53"/>
      <c r="JH273" s="53"/>
      <c r="JI273" s="53"/>
      <c r="JJ273" s="53"/>
      <c r="JK273" s="53"/>
      <c r="JL273" s="53"/>
      <c r="JM273" s="53"/>
      <c r="JN273" s="53"/>
      <c r="JO273" s="53"/>
      <c r="JP273" s="53"/>
      <c r="JQ273" s="53"/>
      <c r="JR273" s="53"/>
      <c r="JS273" s="53"/>
      <c r="JT273" s="53"/>
      <c r="JU273" s="53"/>
      <c r="JV273" s="53"/>
      <c r="JW273" s="53"/>
      <c r="JX273" s="53"/>
      <c r="JY273" s="53"/>
      <c r="JZ273" s="53"/>
      <c r="KA273" s="53"/>
      <c r="KB273" s="53"/>
      <c r="KC273" s="53"/>
      <c r="KD273" s="53"/>
      <c r="KE273" s="53"/>
      <c r="KF273" s="53"/>
      <c r="KG273" s="53"/>
      <c r="KH273" s="53"/>
      <c r="KI273" s="53"/>
      <c r="KJ273" s="53"/>
      <c r="KK273" s="53"/>
      <c r="KL273" s="53"/>
      <c r="KM273" s="53"/>
      <c r="KN273" s="53"/>
      <c r="KO273" s="53"/>
      <c r="KP273" s="53"/>
      <c r="KQ273" s="53"/>
      <c r="KR273" s="53"/>
      <c r="KS273" s="53"/>
      <c r="KT273" s="53"/>
      <c r="KU273" s="53"/>
      <c r="KV273" s="53"/>
      <c r="KW273" s="53"/>
      <c r="KX273" s="53"/>
      <c r="KY273" s="53"/>
      <c r="KZ273" s="53"/>
      <c r="LA273" s="53"/>
      <c r="LB273" s="53"/>
      <c r="LC273" s="53"/>
      <c r="LD273" s="53"/>
      <c r="LE273" s="53"/>
      <c r="LF273" s="53"/>
      <c r="LG273" s="53"/>
      <c r="LH273" s="53"/>
      <c r="LI273" s="53"/>
      <c r="LJ273" s="53"/>
      <c r="LK273" s="53"/>
      <c r="LL273" s="53"/>
      <c r="LM273" s="53"/>
      <c r="LN273" s="53"/>
      <c r="LO273" s="53"/>
      <c r="LP273" s="53"/>
      <c r="LQ273" s="53"/>
      <c r="LR273" s="53"/>
      <c r="LS273" s="53"/>
      <c r="LT273" s="53"/>
      <c r="LU273" s="53"/>
      <c r="LV273" s="53"/>
      <c r="LW273" s="53"/>
      <c r="LX273" s="53"/>
      <c r="LY273" s="53"/>
      <c r="LZ273" s="53"/>
      <c r="MA273" s="53"/>
      <c r="MB273" s="53"/>
      <c r="MC273" s="53"/>
      <c r="MD273" s="53"/>
      <c r="ME273" s="53"/>
      <c r="MF273" s="53"/>
      <c r="MG273" s="53"/>
      <c r="MH273" s="53"/>
      <c r="MI273" s="53"/>
      <c r="MJ273" s="53"/>
      <c r="MK273" s="53"/>
      <c r="ML273" s="53"/>
      <c r="MM273" s="53"/>
      <c r="MN273" s="53"/>
      <c r="MO273" s="53"/>
      <c r="MP273" s="53"/>
      <c r="MQ273" s="53"/>
      <c r="MR273" s="53"/>
      <c r="MS273" s="53"/>
      <c r="MT273" s="53"/>
      <c r="MU273" s="53"/>
      <c r="MV273" s="53"/>
      <c r="MW273" s="53"/>
      <c r="MX273" s="53"/>
      <c r="MY273" s="53"/>
      <c r="MZ273" s="53"/>
      <c r="NA273" s="53"/>
      <c r="NB273" s="53"/>
      <c r="NC273" s="53"/>
      <c r="ND273" s="53"/>
      <c r="NE273" s="53"/>
      <c r="NF273" s="53"/>
      <c r="NG273" s="53"/>
      <c r="NH273" s="53"/>
      <c r="NI273" s="53"/>
      <c r="NJ273" s="53"/>
      <c r="NK273" s="53"/>
      <c r="NL273" s="53"/>
      <c r="NM273" s="53"/>
      <c r="NN273" s="53"/>
      <c r="NO273" s="53"/>
      <c r="NP273" s="53"/>
      <c r="NQ273" s="53"/>
      <c r="NR273" s="53"/>
      <c r="NS273" s="53"/>
      <c r="NT273" s="53"/>
      <c r="NU273" s="53"/>
      <c r="NV273" s="53"/>
      <c r="NW273" s="53"/>
      <c r="NX273" s="53"/>
      <c r="NY273" s="53"/>
      <c r="NZ273" s="53"/>
      <c r="OA273" s="53"/>
      <c r="OB273" s="53"/>
      <c r="OC273" s="53"/>
      <c r="OD273" s="53"/>
      <c r="OE273" s="53"/>
      <c r="OF273" s="53"/>
      <c r="OG273" s="53"/>
      <c r="OH273" s="53"/>
      <c r="OI273" s="53"/>
      <c r="OJ273" s="53"/>
      <c r="OK273" s="53"/>
      <c r="OL273" s="53"/>
      <c r="OM273" s="53"/>
      <c r="ON273" s="53"/>
      <c r="OO273" s="53"/>
      <c r="OP273" s="53"/>
      <c r="OQ273" s="53"/>
      <c r="OR273" s="53"/>
      <c r="OS273" s="53"/>
      <c r="OT273" s="53"/>
      <c r="OU273" s="53"/>
      <c r="OV273" s="53"/>
      <c r="OW273" s="53"/>
      <c r="OX273" s="53"/>
      <c r="OY273" s="53"/>
      <c r="OZ273" s="53"/>
      <c r="PA273" s="53"/>
      <c r="PB273" s="53"/>
      <c r="PC273" s="53"/>
      <c r="PD273" s="53"/>
      <c r="PE273" s="53"/>
      <c r="PF273" s="53"/>
      <c r="PG273" s="53"/>
      <c r="PH273" s="53"/>
      <c r="PI273" s="53"/>
      <c r="PJ273" s="53"/>
      <c r="PK273" s="53"/>
      <c r="PL273" s="53"/>
      <c r="PM273" s="53"/>
      <c r="PN273" s="53"/>
      <c r="PO273" s="53"/>
      <c r="PP273" s="53"/>
      <c r="PQ273" s="53"/>
      <c r="PR273" s="53"/>
      <c r="PS273" s="53"/>
      <c r="PT273" s="53"/>
      <c r="PU273" s="53"/>
      <c r="PV273" s="53"/>
      <c r="PW273" s="53"/>
      <c r="PX273" s="53"/>
      <c r="PY273" s="53"/>
      <c r="PZ273" s="53"/>
      <c r="QA273" s="53"/>
      <c r="QB273" s="53"/>
      <c r="QC273" s="53"/>
      <c r="QD273" s="53"/>
      <c r="QE273" s="53"/>
      <c r="QF273" s="53"/>
      <c r="QG273" s="53"/>
      <c r="QH273" s="53"/>
      <c r="QI273" s="53"/>
      <c r="QJ273" s="53"/>
      <c r="QK273" s="53"/>
      <c r="QL273" s="53"/>
      <c r="QM273" s="53"/>
      <c r="QN273" s="53"/>
      <c r="QO273" s="53"/>
      <c r="QP273" s="53"/>
      <c r="QQ273" s="53"/>
      <c r="QR273" s="53"/>
      <c r="QS273" s="53"/>
      <c r="QT273" s="53"/>
      <c r="QU273" s="53"/>
      <c r="QV273" s="53"/>
      <c r="QW273" s="53"/>
      <c r="QX273" s="53"/>
      <c r="QY273" s="53"/>
      <c r="QZ273" s="53"/>
      <c r="RA273" s="53"/>
      <c r="RB273" s="53"/>
      <c r="RC273" s="53"/>
      <c r="RD273" s="53"/>
      <c r="RE273" s="53"/>
      <c r="RF273" s="53"/>
      <c r="RG273" s="53"/>
      <c r="RH273" s="53"/>
      <c r="RI273" s="53"/>
      <c r="RJ273" s="53"/>
      <c r="RK273" s="53"/>
      <c r="RL273" s="53"/>
      <c r="RM273" s="53"/>
      <c r="RN273" s="53"/>
      <c r="RO273" s="53"/>
      <c r="RP273" s="53"/>
      <c r="RQ273" s="53"/>
      <c r="RR273" s="53"/>
      <c r="RS273" s="53"/>
      <c r="RT273" s="53"/>
      <c r="RU273" s="53"/>
      <c r="RV273" s="53"/>
      <c r="RW273" s="53"/>
      <c r="RX273" s="53"/>
      <c r="RY273" s="53"/>
      <c r="RZ273" s="53"/>
      <c r="SA273" s="53"/>
      <c r="SB273" s="53"/>
      <c r="SC273" s="53"/>
      <c r="SD273" s="53"/>
      <c r="SE273" s="53"/>
      <c r="SF273" s="53"/>
      <c r="SG273" s="53"/>
      <c r="SH273" s="53"/>
      <c r="SI273" s="53"/>
      <c r="SJ273" s="53"/>
      <c r="SK273" s="53"/>
      <c r="SL273" s="53"/>
      <c r="SM273" s="53"/>
      <c r="SN273" s="53"/>
      <c r="SO273" s="53"/>
      <c r="SP273" s="53"/>
      <c r="SQ273" s="53"/>
      <c r="SR273" s="53"/>
      <c r="SS273" s="53"/>
      <c r="ST273" s="53"/>
      <c r="SU273" s="53"/>
      <c r="SV273" s="53"/>
      <c r="SW273" s="53"/>
      <c r="SX273" s="53"/>
      <c r="SY273" s="53"/>
      <c r="SZ273" s="53"/>
      <c r="TA273" s="53"/>
      <c r="TB273" s="53"/>
      <c r="TC273" s="53"/>
      <c r="TD273" s="53"/>
      <c r="TE273" s="53"/>
      <c r="TF273" s="53"/>
      <c r="TG273" s="53"/>
      <c r="TH273" s="53"/>
      <c r="TI273" s="53"/>
      <c r="TJ273" s="53"/>
      <c r="TK273" s="53"/>
      <c r="TL273" s="53"/>
      <c r="TM273" s="53"/>
      <c r="TN273" s="53"/>
      <c r="TO273" s="53"/>
      <c r="TP273" s="53"/>
      <c r="TQ273" s="53"/>
      <c r="TR273" s="53"/>
      <c r="TS273" s="53"/>
      <c r="TT273" s="53"/>
      <c r="TU273" s="53"/>
      <c r="TV273" s="53"/>
      <c r="TW273" s="53"/>
      <c r="TX273" s="53"/>
      <c r="TY273" s="53"/>
      <c r="TZ273" s="53"/>
      <c r="UA273" s="53"/>
      <c r="UB273" s="53"/>
      <c r="UC273" s="53"/>
      <c r="UD273" s="53"/>
      <c r="UE273" s="53"/>
      <c r="UF273" s="53"/>
      <c r="UG273" s="53"/>
      <c r="UH273" s="53"/>
      <c r="UI273" s="53"/>
      <c r="UJ273" s="53"/>
      <c r="UK273" s="53"/>
      <c r="UL273" s="53"/>
      <c r="UM273" s="53"/>
      <c r="UN273" s="53"/>
      <c r="UO273" s="53"/>
      <c r="UP273" s="53"/>
      <c r="UQ273" s="53"/>
      <c r="UR273" s="53"/>
      <c r="US273" s="53"/>
      <c r="UT273" s="53"/>
      <c r="UU273" s="53"/>
      <c r="UV273" s="53"/>
      <c r="UW273" s="53"/>
      <c r="UX273" s="53"/>
      <c r="UY273" s="53"/>
      <c r="UZ273" s="53"/>
      <c r="VA273" s="53"/>
      <c r="VB273" s="53"/>
      <c r="VC273" s="53"/>
      <c r="VD273" s="53"/>
      <c r="VE273" s="53"/>
      <c r="VF273" s="53"/>
      <c r="VG273" s="53"/>
      <c r="VH273" s="53"/>
      <c r="VI273" s="53"/>
      <c r="VJ273" s="53"/>
      <c r="VK273" s="53"/>
      <c r="VL273" s="53"/>
    </row>
    <row r="274" spans="1:584" s="47" customFormat="1" ht="20.25" customHeight="1" x14ac:dyDescent="0.25">
      <c r="A274" s="91">
        <v>1517693</v>
      </c>
      <c r="B274" s="91">
        <v>7693</v>
      </c>
      <c r="C274" s="71" t="s">
        <v>112</v>
      </c>
      <c r="D274" s="7" t="s">
        <v>29</v>
      </c>
      <c r="E274" s="115">
        <v>150000</v>
      </c>
      <c r="F274" s="115"/>
      <c r="G274" s="115"/>
      <c r="H274" s="115">
        <v>133367.82999999999</v>
      </c>
      <c r="I274" s="115"/>
      <c r="J274" s="115"/>
      <c r="K274" s="164">
        <f t="shared" si="83"/>
        <v>88.911886666666661</v>
      </c>
      <c r="L274" s="115">
        <f t="shared" si="71"/>
        <v>0</v>
      </c>
      <c r="M274" s="115"/>
      <c r="N274" s="115"/>
      <c r="O274" s="115"/>
      <c r="P274" s="115"/>
      <c r="Q274" s="115"/>
      <c r="R274" s="115">
        <f t="shared" si="72"/>
        <v>0</v>
      </c>
      <c r="S274" s="115"/>
      <c r="T274" s="115"/>
      <c r="U274" s="115"/>
      <c r="V274" s="115"/>
      <c r="W274" s="115"/>
      <c r="X274" s="166"/>
      <c r="Y274" s="115">
        <f t="shared" si="81"/>
        <v>133367.82999999999</v>
      </c>
      <c r="Z274" s="187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  <c r="GN274" s="53"/>
      <c r="GO274" s="53"/>
      <c r="GP274" s="53"/>
      <c r="GQ274" s="53"/>
      <c r="GR274" s="53"/>
      <c r="GS274" s="53"/>
      <c r="GT274" s="53"/>
      <c r="GU274" s="53"/>
      <c r="GV274" s="53"/>
      <c r="GW274" s="53"/>
      <c r="GX274" s="53"/>
      <c r="GY274" s="53"/>
      <c r="GZ274" s="53"/>
      <c r="HA274" s="53"/>
      <c r="HB274" s="53"/>
      <c r="HC274" s="53"/>
      <c r="HD274" s="53"/>
      <c r="HE274" s="53"/>
      <c r="HF274" s="53"/>
      <c r="HG274" s="53"/>
      <c r="HH274" s="53"/>
      <c r="HI274" s="53"/>
      <c r="HJ274" s="53"/>
      <c r="HK274" s="53"/>
      <c r="HL274" s="53"/>
      <c r="HM274" s="53"/>
      <c r="HN274" s="53"/>
      <c r="HO274" s="53"/>
      <c r="HP274" s="53"/>
      <c r="HQ274" s="53"/>
      <c r="HR274" s="53"/>
      <c r="HS274" s="53"/>
      <c r="HT274" s="53"/>
      <c r="HU274" s="53"/>
      <c r="HV274" s="53"/>
      <c r="HW274" s="53"/>
      <c r="HX274" s="53"/>
      <c r="HY274" s="53"/>
      <c r="HZ274" s="53"/>
      <c r="IA274" s="53"/>
      <c r="IB274" s="53"/>
      <c r="IC274" s="53"/>
      <c r="ID274" s="53"/>
      <c r="IE274" s="53"/>
      <c r="IF274" s="53"/>
      <c r="IG274" s="53"/>
      <c r="IH274" s="53"/>
      <c r="II274" s="53"/>
      <c r="IJ274" s="53"/>
      <c r="IK274" s="53"/>
      <c r="IL274" s="53"/>
      <c r="IM274" s="53"/>
      <c r="IN274" s="53"/>
      <c r="IO274" s="53"/>
      <c r="IP274" s="53"/>
      <c r="IQ274" s="53"/>
      <c r="IR274" s="53"/>
      <c r="IS274" s="53"/>
      <c r="IT274" s="53"/>
      <c r="IU274" s="53"/>
      <c r="IV274" s="53"/>
      <c r="IW274" s="53"/>
      <c r="IX274" s="53"/>
      <c r="IY274" s="53"/>
      <c r="IZ274" s="53"/>
      <c r="JA274" s="53"/>
      <c r="JB274" s="53"/>
      <c r="JC274" s="53"/>
      <c r="JD274" s="53"/>
      <c r="JE274" s="53"/>
      <c r="JF274" s="53"/>
      <c r="JG274" s="53"/>
      <c r="JH274" s="53"/>
      <c r="JI274" s="53"/>
      <c r="JJ274" s="53"/>
      <c r="JK274" s="53"/>
      <c r="JL274" s="53"/>
      <c r="JM274" s="53"/>
      <c r="JN274" s="53"/>
      <c r="JO274" s="53"/>
      <c r="JP274" s="53"/>
      <c r="JQ274" s="53"/>
      <c r="JR274" s="53"/>
      <c r="JS274" s="53"/>
      <c r="JT274" s="53"/>
      <c r="JU274" s="53"/>
      <c r="JV274" s="53"/>
      <c r="JW274" s="53"/>
      <c r="JX274" s="53"/>
      <c r="JY274" s="53"/>
      <c r="JZ274" s="53"/>
      <c r="KA274" s="53"/>
      <c r="KB274" s="53"/>
      <c r="KC274" s="53"/>
      <c r="KD274" s="53"/>
      <c r="KE274" s="53"/>
      <c r="KF274" s="53"/>
      <c r="KG274" s="53"/>
      <c r="KH274" s="53"/>
      <c r="KI274" s="53"/>
      <c r="KJ274" s="53"/>
      <c r="KK274" s="53"/>
      <c r="KL274" s="53"/>
      <c r="KM274" s="53"/>
      <c r="KN274" s="53"/>
      <c r="KO274" s="53"/>
      <c r="KP274" s="53"/>
      <c r="KQ274" s="53"/>
      <c r="KR274" s="53"/>
      <c r="KS274" s="53"/>
      <c r="KT274" s="53"/>
      <c r="KU274" s="53"/>
      <c r="KV274" s="53"/>
      <c r="KW274" s="53"/>
      <c r="KX274" s="53"/>
      <c r="KY274" s="53"/>
      <c r="KZ274" s="53"/>
      <c r="LA274" s="53"/>
      <c r="LB274" s="53"/>
      <c r="LC274" s="53"/>
      <c r="LD274" s="53"/>
      <c r="LE274" s="53"/>
      <c r="LF274" s="53"/>
      <c r="LG274" s="53"/>
      <c r="LH274" s="53"/>
      <c r="LI274" s="53"/>
      <c r="LJ274" s="53"/>
      <c r="LK274" s="53"/>
      <c r="LL274" s="53"/>
      <c r="LM274" s="53"/>
      <c r="LN274" s="53"/>
      <c r="LO274" s="53"/>
      <c r="LP274" s="53"/>
      <c r="LQ274" s="53"/>
      <c r="LR274" s="53"/>
      <c r="LS274" s="53"/>
      <c r="LT274" s="53"/>
      <c r="LU274" s="53"/>
      <c r="LV274" s="53"/>
      <c r="LW274" s="53"/>
      <c r="LX274" s="53"/>
      <c r="LY274" s="53"/>
      <c r="LZ274" s="53"/>
      <c r="MA274" s="53"/>
      <c r="MB274" s="53"/>
      <c r="MC274" s="53"/>
      <c r="MD274" s="53"/>
      <c r="ME274" s="53"/>
      <c r="MF274" s="53"/>
      <c r="MG274" s="53"/>
      <c r="MH274" s="53"/>
      <c r="MI274" s="53"/>
      <c r="MJ274" s="53"/>
      <c r="MK274" s="53"/>
      <c r="ML274" s="53"/>
      <c r="MM274" s="53"/>
      <c r="MN274" s="53"/>
      <c r="MO274" s="53"/>
      <c r="MP274" s="53"/>
      <c r="MQ274" s="53"/>
      <c r="MR274" s="53"/>
      <c r="MS274" s="53"/>
      <c r="MT274" s="53"/>
      <c r="MU274" s="53"/>
      <c r="MV274" s="53"/>
      <c r="MW274" s="53"/>
      <c r="MX274" s="53"/>
      <c r="MY274" s="53"/>
      <c r="MZ274" s="53"/>
      <c r="NA274" s="53"/>
      <c r="NB274" s="53"/>
      <c r="NC274" s="53"/>
      <c r="ND274" s="53"/>
      <c r="NE274" s="53"/>
      <c r="NF274" s="53"/>
      <c r="NG274" s="53"/>
      <c r="NH274" s="53"/>
      <c r="NI274" s="53"/>
      <c r="NJ274" s="53"/>
      <c r="NK274" s="53"/>
      <c r="NL274" s="53"/>
      <c r="NM274" s="53"/>
      <c r="NN274" s="53"/>
      <c r="NO274" s="53"/>
      <c r="NP274" s="53"/>
      <c r="NQ274" s="53"/>
      <c r="NR274" s="53"/>
      <c r="NS274" s="53"/>
      <c r="NT274" s="53"/>
      <c r="NU274" s="53"/>
      <c r="NV274" s="53"/>
      <c r="NW274" s="53"/>
      <c r="NX274" s="53"/>
      <c r="NY274" s="53"/>
      <c r="NZ274" s="53"/>
      <c r="OA274" s="53"/>
      <c r="OB274" s="53"/>
      <c r="OC274" s="53"/>
      <c r="OD274" s="53"/>
      <c r="OE274" s="53"/>
      <c r="OF274" s="53"/>
      <c r="OG274" s="53"/>
      <c r="OH274" s="53"/>
      <c r="OI274" s="53"/>
      <c r="OJ274" s="53"/>
      <c r="OK274" s="53"/>
      <c r="OL274" s="53"/>
      <c r="OM274" s="53"/>
      <c r="ON274" s="53"/>
      <c r="OO274" s="53"/>
      <c r="OP274" s="53"/>
      <c r="OQ274" s="53"/>
      <c r="OR274" s="53"/>
      <c r="OS274" s="53"/>
      <c r="OT274" s="53"/>
      <c r="OU274" s="53"/>
      <c r="OV274" s="53"/>
      <c r="OW274" s="53"/>
      <c r="OX274" s="53"/>
      <c r="OY274" s="53"/>
      <c r="OZ274" s="53"/>
      <c r="PA274" s="53"/>
      <c r="PB274" s="53"/>
      <c r="PC274" s="53"/>
      <c r="PD274" s="53"/>
      <c r="PE274" s="53"/>
      <c r="PF274" s="53"/>
      <c r="PG274" s="53"/>
      <c r="PH274" s="53"/>
      <c r="PI274" s="53"/>
      <c r="PJ274" s="53"/>
      <c r="PK274" s="53"/>
      <c r="PL274" s="53"/>
      <c r="PM274" s="53"/>
      <c r="PN274" s="53"/>
      <c r="PO274" s="53"/>
      <c r="PP274" s="53"/>
      <c r="PQ274" s="53"/>
      <c r="PR274" s="53"/>
      <c r="PS274" s="53"/>
      <c r="PT274" s="53"/>
      <c r="PU274" s="53"/>
      <c r="PV274" s="53"/>
      <c r="PW274" s="53"/>
      <c r="PX274" s="53"/>
      <c r="PY274" s="53"/>
      <c r="PZ274" s="53"/>
      <c r="QA274" s="53"/>
      <c r="QB274" s="53"/>
      <c r="QC274" s="53"/>
      <c r="QD274" s="53"/>
      <c r="QE274" s="53"/>
      <c r="QF274" s="53"/>
      <c r="QG274" s="53"/>
      <c r="QH274" s="53"/>
      <c r="QI274" s="53"/>
      <c r="QJ274" s="53"/>
      <c r="QK274" s="53"/>
      <c r="QL274" s="53"/>
      <c r="QM274" s="53"/>
      <c r="QN274" s="53"/>
      <c r="QO274" s="53"/>
      <c r="QP274" s="53"/>
      <c r="QQ274" s="53"/>
      <c r="QR274" s="53"/>
      <c r="QS274" s="53"/>
      <c r="QT274" s="53"/>
      <c r="QU274" s="53"/>
      <c r="QV274" s="53"/>
      <c r="QW274" s="53"/>
      <c r="QX274" s="53"/>
      <c r="QY274" s="53"/>
      <c r="QZ274" s="53"/>
      <c r="RA274" s="53"/>
      <c r="RB274" s="53"/>
      <c r="RC274" s="53"/>
      <c r="RD274" s="53"/>
      <c r="RE274" s="53"/>
      <c r="RF274" s="53"/>
      <c r="RG274" s="53"/>
      <c r="RH274" s="53"/>
      <c r="RI274" s="53"/>
      <c r="RJ274" s="53"/>
      <c r="RK274" s="53"/>
      <c r="RL274" s="53"/>
      <c r="RM274" s="53"/>
      <c r="RN274" s="53"/>
      <c r="RO274" s="53"/>
      <c r="RP274" s="53"/>
      <c r="RQ274" s="53"/>
      <c r="RR274" s="53"/>
      <c r="RS274" s="53"/>
      <c r="RT274" s="53"/>
      <c r="RU274" s="53"/>
      <c r="RV274" s="53"/>
      <c r="RW274" s="53"/>
      <c r="RX274" s="53"/>
      <c r="RY274" s="53"/>
      <c r="RZ274" s="53"/>
      <c r="SA274" s="53"/>
      <c r="SB274" s="53"/>
      <c r="SC274" s="53"/>
      <c r="SD274" s="53"/>
      <c r="SE274" s="53"/>
      <c r="SF274" s="53"/>
      <c r="SG274" s="53"/>
      <c r="SH274" s="53"/>
      <c r="SI274" s="53"/>
      <c r="SJ274" s="53"/>
      <c r="SK274" s="53"/>
      <c r="SL274" s="53"/>
      <c r="SM274" s="53"/>
      <c r="SN274" s="53"/>
      <c r="SO274" s="53"/>
      <c r="SP274" s="53"/>
      <c r="SQ274" s="53"/>
      <c r="SR274" s="53"/>
      <c r="SS274" s="53"/>
      <c r="ST274" s="53"/>
      <c r="SU274" s="53"/>
      <c r="SV274" s="53"/>
      <c r="SW274" s="53"/>
      <c r="SX274" s="53"/>
      <c r="SY274" s="53"/>
      <c r="SZ274" s="53"/>
      <c r="TA274" s="53"/>
      <c r="TB274" s="53"/>
      <c r="TC274" s="53"/>
      <c r="TD274" s="53"/>
      <c r="TE274" s="53"/>
      <c r="TF274" s="53"/>
      <c r="TG274" s="53"/>
      <c r="TH274" s="53"/>
      <c r="TI274" s="53"/>
      <c r="TJ274" s="53"/>
      <c r="TK274" s="53"/>
      <c r="TL274" s="53"/>
      <c r="TM274" s="53"/>
      <c r="TN274" s="53"/>
      <c r="TO274" s="53"/>
      <c r="TP274" s="53"/>
      <c r="TQ274" s="53"/>
      <c r="TR274" s="53"/>
      <c r="TS274" s="53"/>
      <c r="TT274" s="53"/>
      <c r="TU274" s="53"/>
      <c r="TV274" s="53"/>
      <c r="TW274" s="53"/>
      <c r="TX274" s="53"/>
      <c r="TY274" s="53"/>
      <c r="TZ274" s="53"/>
      <c r="UA274" s="53"/>
      <c r="UB274" s="53"/>
      <c r="UC274" s="53"/>
      <c r="UD274" s="53"/>
      <c r="UE274" s="53"/>
      <c r="UF274" s="53"/>
      <c r="UG274" s="53"/>
      <c r="UH274" s="53"/>
      <c r="UI274" s="53"/>
      <c r="UJ274" s="53"/>
      <c r="UK274" s="53"/>
      <c r="UL274" s="53"/>
      <c r="UM274" s="53"/>
      <c r="UN274" s="53"/>
      <c r="UO274" s="53"/>
      <c r="UP274" s="53"/>
      <c r="UQ274" s="53"/>
      <c r="UR274" s="53"/>
      <c r="US274" s="53"/>
      <c r="UT274" s="53"/>
      <c r="UU274" s="53"/>
      <c r="UV274" s="53"/>
      <c r="UW274" s="53"/>
      <c r="UX274" s="53"/>
      <c r="UY274" s="53"/>
      <c r="UZ274" s="53"/>
      <c r="VA274" s="53"/>
      <c r="VB274" s="53"/>
      <c r="VC274" s="53"/>
      <c r="VD274" s="53"/>
      <c r="VE274" s="53"/>
      <c r="VF274" s="53"/>
      <c r="VG274" s="53"/>
      <c r="VH274" s="53"/>
      <c r="VI274" s="53"/>
      <c r="VJ274" s="53"/>
      <c r="VK274" s="53"/>
      <c r="VL274" s="53"/>
    </row>
    <row r="275" spans="1:584" s="64" customFormat="1" ht="35.25" customHeight="1" x14ac:dyDescent="0.25">
      <c r="A275" s="62" t="s">
        <v>273</v>
      </c>
      <c r="B275" s="97"/>
      <c r="C275" s="97"/>
      <c r="D275" s="63" t="s">
        <v>62</v>
      </c>
      <c r="E275" s="116">
        <f>E276</f>
        <v>9178715</v>
      </c>
      <c r="F275" s="116">
        <f t="shared" ref="F275:Y275" si="85">F276</f>
        <v>6278039</v>
      </c>
      <c r="G275" s="116">
        <f t="shared" si="85"/>
        <v>108163</v>
      </c>
      <c r="H275" s="116">
        <f>H276</f>
        <v>8760009.8100000005</v>
      </c>
      <c r="I275" s="116">
        <f t="shared" si="85"/>
        <v>6051463.4100000001</v>
      </c>
      <c r="J275" s="116">
        <f t="shared" si="85"/>
        <v>89666.46</v>
      </c>
      <c r="K275" s="135">
        <f t="shared" si="83"/>
        <v>95.438302747171051</v>
      </c>
      <c r="L275" s="116">
        <f t="shared" si="85"/>
        <v>2019807.3399999999</v>
      </c>
      <c r="M275" s="116">
        <f t="shared" si="85"/>
        <v>0</v>
      </c>
      <c r="N275" s="116">
        <f t="shared" si="85"/>
        <v>1088807.3399999999</v>
      </c>
      <c r="O275" s="116">
        <f t="shared" si="85"/>
        <v>0</v>
      </c>
      <c r="P275" s="116">
        <f t="shared" si="85"/>
        <v>0</v>
      </c>
      <c r="Q275" s="116">
        <f t="shared" si="85"/>
        <v>931000</v>
      </c>
      <c r="R275" s="116">
        <f t="shared" si="85"/>
        <v>877044.51</v>
      </c>
      <c r="S275" s="116">
        <f t="shared" si="85"/>
        <v>0</v>
      </c>
      <c r="T275" s="116">
        <f t="shared" si="85"/>
        <v>42</v>
      </c>
      <c r="U275" s="116">
        <f t="shared" si="85"/>
        <v>0</v>
      </c>
      <c r="V275" s="116">
        <f t="shared" si="85"/>
        <v>0</v>
      </c>
      <c r="W275" s="116">
        <f t="shared" si="85"/>
        <v>877002.51</v>
      </c>
      <c r="X275" s="149">
        <f t="shared" si="84"/>
        <v>43.42218649428218</v>
      </c>
      <c r="Y275" s="116">
        <f t="shared" si="85"/>
        <v>9637054.3200000003</v>
      </c>
      <c r="Z275" s="187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/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79"/>
      <c r="CQ275" s="79"/>
      <c r="CR275" s="79"/>
      <c r="CS275" s="79"/>
      <c r="CT275" s="79"/>
      <c r="CU275" s="79"/>
      <c r="CV275" s="79"/>
      <c r="CW275" s="79"/>
      <c r="CX275" s="79"/>
      <c r="CY275" s="79"/>
      <c r="CZ275" s="79"/>
      <c r="DA275" s="79"/>
      <c r="DB275" s="79"/>
      <c r="DC275" s="79"/>
      <c r="DD275" s="79"/>
      <c r="DE275" s="79"/>
      <c r="DF275" s="79"/>
      <c r="DG275" s="79"/>
      <c r="DH275" s="79"/>
      <c r="DI275" s="79"/>
      <c r="DJ275" s="79"/>
      <c r="DK275" s="79"/>
      <c r="DL275" s="79"/>
      <c r="DM275" s="79"/>
      <c r="DN275" s="79"/>
      <c r="DO275" s="79"/>
      <c r="DP275" s="79"/>
      <c r="DQ275" s="79"/>
      <c r="DR275" s="79"/>
      <c r="DS275" s="79"/>
      <c r="DT275" s="79"/>
      <c r="DU275" s="79"/>
      <c r="DV275" s="79"/>
      <c r="DW275" s="79"/>
      <c r="DX275" s="79"/>
      <c r="DY275" s="79"/>
      <c r="DZ275" s="79"/>
      <c r="EA275" s="79"/>
      <c r="EB275" s="79"/>
      <c r="EC275" s="79"/>
      <c r="ED275" s="79"/>
      <c r="EE275" s="79"/>
      <c r="EF275" s="79"/>
      <c r="EG275" s="79"/>
      <c r="EH275" s="79"/>
      <c r="EI275" s="79"/>
      <c r="EJ275" s="79"/>
      <c r="EK275" s="79"/>
      <c r="EL275" s="79"/>
      <c r="EM275" s="79"/>
      <c r="EN275" s="79"/>
      <c r="EO275" s="79"/>
      <c r="EP275" s="79"/>
      <c r="EQ275" s="79"/>
      <c r="ER275" s="79"/>
      <c r="ES275" s="79"/>
      <c r="ET275" s="79"/>
      <c r="EU275" s="79"/>
      <c r="EV275" s="79"/>
      <c r="EW275" s="79"/>
      <c r="EX275" s="79"/>
      <c r="EY275" s="79"/>
      <c r="EZ275" s="79"/>
      <c r="FA275" s="79"/>
      <c r="FB275" s="79"/>
      <c r="FC275" s="79"/>
      <c r="FD275" s="79"/>
      <c r="FE275" s="79"/>
      <c r="FF275" s="79"/>
      <c r="FG275" s="79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79"/>
      <c r="FU275" s="79"/>
      <c r="FV275" s="79"/>
      <c r="FW275" s="79"/>
      <c r="FX275" s="79"/>
      <c r="FY275" s="79"/>
      <c r="FZ275" s="79"/>
      <c r="GA275" s="79"/>
      <c r="GB275" s="79"/>
      <c r="GC275" s="79"/>
      <c r="GD275" s="79"/>
      <c r="GE275" s="79"/>
      <c r="GF275" s="79"/>
      <c r="GG275" s="79"/>
      <c r="GH275" s="79"/>
      <c r="GI275" s="79"/>
      <c r="GJ275" s="79"/>
      <c r="GK275" s="79"/>
      <c r="GL275" s="79"/>
      <c r="GM275" s="79"/>
      <c r="GN275" s="79"/>
      <c r="GO275" s="79"/>
      <c r="GP275" s="79"/>
      <c r="GQ275" s="79"/>
      <c r="GR275" s="79"/>
      <c r="GS275" s="79"/>
      <c r="GT275" s="79"/>
      <c r="GU275" s="79"/>
      <c r="GV275" s="79"/>
      <c r="GW275" s="79"/>
      <c r="GX275" s="79"/>
      <c r="GY275" s="79"/>
      <c r="GZ275" s="79"/>
      <c r="HA275" s="79"/>
      <c r="HB275" s="79"/>
      <c r="HC275" s="79"/>
      <c r="HD275" s="79"/>
      <c r="HE275" s="79"/>
      <c r="HF275" s="79"/>
      <c r="HG275" s="79"/>
      <c r="HH275" s="79"/>
      <c r="HI275" s="79"/>
      <c r="HJ275" s="79"/>
      <c r="HK275" s="79"/>
      <c r="HL275" s="79"/>
      <c r="HM275" s="79"/>
      <c r="HN275" s="79"/>
      <c r="HO275" s="79"/>
      <c r="HP275" s="79"/>
      <c r="HQ275" s="79"/>
      <c r="HR275" s="79"/>
      <c r="HS275" s="79"/>
      <c r="HT275" s="79"/>
      <c r="HU275" s="79"/>
      <c r="HV275" s="79"/>
      <c r="HW275" s="79"/>
      <c r="HX275" s="79"/>
      <c r="HY275" s="79"/>
      <c r="HZ275" s="79"/>
      <c r="IA275" s="79"/>
      <c r="IB275" s="79"/>
      <c r="IC275" s="79"/>
      <c r="ID275" s="79"/>
      <c r="IE275" s="79"/>
      <c r="IF275" s="79"/>
      <c r="IG275" s="79"/>
      <c r="IH275" s="79"/>
      <c r="II275" s="79"/>
      <c r="IJ275" s="79"/>
      <c r="IK275" s="79"/>
      <c r="IL275" s="79"/>
      <c r="IM275" s="79"/>
      <c r="IN275" s="79"/>
      <c r="IO275" s="79"/>
      <c r="IP275" s="79"/>
      <c r="IQ275" s="79"/>
      <c r="IR275" s="79"/>
      <c r="IS275" s="79"/>
      <c r="IT275" s="79"/>
      <c r="IU275" s="79"/>
      <c r="IV275" s="79"/>
      <c r="IW275" s="79"/>
      <c r="IX275" s="79"/>
      <c r="IY275" s="79"/>
      <c r="IZ275" s="79"/>
      <c r="JA275" s="79"/>
      <c r="JB275" s="79"/>
      <c r="JC275" s="79"/>
      <c r="JD275" s="79"/>
      <c r="JE275" s="79"/>
      <c r="JF275" s="79"/>
      <c r="JG275" s="79"/>
      <c r="JH275" s="79"/>
      <c r="JI275" s="79"/>
      <c r="JJ275" s="79"/>
      <c r="JK275" s="79"/>
      <c r="JL275" s="79"/>
      <c r="JM275" s="79"/>
      <c r="JN275" s="79"/>
      <c r="JO275" s="79"/>
      <c r="JP275" s="79"/>
      <c r="JQ275" s="79"/>
      <c r="JR275" s="79"/>
      <c r="JS275" s="79"/>
      <c r="JT275" s="79"/>
      <c r="JU275" s="79"/>
      <c r="JV275" s="79"/>
      <c r="JW275" s="79"/>
      <c r="JX275" s="79"/>
      <c r="JY275" s="79"/>
      <c r="JZ275" s="79"/>
      <c r="KA275" s="79"/>
      <c r="KB275" s="79"/>
      <c r="KC275" s="79"/>
      <c r="KD275" s="79"/>
      <c r="KE275" s="79"/>
      <c r="KF275" s="79"/>
      <c r="KG275" s="79"/>
      <c r="KH275" s="79"/>
      <c r="KI275" s="79"/>
      <c r="KJ275" s="79"/>
      <c r="KK275" s="79"/>
      <c r="KL275" s="79"/>
      <c r="KM275" s="79"/>
      <c r="KN275" s="79"/>
      <c r="KO275" s="79"/>
      <c r="KP275" s="79"/>
      <c r="KQ275" s="79"/>
      <c r="KR275" s="79"/>
      <c r="KS275" s="79"/>
      <c r="KT275" s="79"/>
      <c r="KU275" s="79"/>
      <c r="KV275" s="79"/>
      <c r="KW275" s="79"/>
      <c r="KX275" s="79"/>
      <c r="KY275" s="79"/>
      <c r="KZ275" s="79"/>
      <c r="LA275" s="79"/>
      <c r="LB275" s="79"/>
      <c r="LC275" s="79"/>
      <c r="LD275" s="79"/>
      <c r="LE275" s="79"/>
      <c r="LF275" s="79"/>
      <c r="LG275" s="79"/>
      <c r="LH275" s="79"/>
      <c r="LI275" s="79"/>
      <c r="LJ275" s="79"/>
      <c r="LK275" s="79"/>
      <c r="LL275" s="79"/>
      <c r="LM275" s="79"/>
      <c r="LN275" s="79"/>
      <c r="LO275" s="79"/>
      <c r="LP275" s="79"/>
      <c r="LQ275" s="79"/>
      <c r="LR275" s="79"/>
      <c r="LS275" s="79"/>
      <c r="LT275" s="79"/>
      <c r="LU275" s="79"/>
      <c r="LV275" s="79"/>
      <c r="LW275" s="79"/>
      <c r="LX275" s="79"/>
      <c r="LY275" s="79"/>
      <c r="LZ275" s="79"/>
      <c r="MA275" s="79"/>
      <c r="MB275" s="79"/>
      <c r="MC275" s="79"/>
      <c r="MD275" s="79"/>
      <c r="ME275" s="79"/>
      <c r="MF275" s="79"/>
      <c r="MG275" s="79"/>
      <c r="MH275" s="79"/>
      <c r="MI275" s="79"/>
      <c r="MJ275" s="79"/>
      <c r="MK275" s="79"/>
      <c r="ML275" s="79"/>
      <c r="MM275" s="79"/>
      <c r="MN275" s="79"/>
      <c r="MO275" s="79"/>
      <c r="MP275" s="79"/>
      <c r="MQ275" s="79"/>
      <c r="MR275" s="79"/>
      <c r="MS275" s="79"/>
      <c r="MT275" s="79"/>
      <c r="MU275" s="79"/>
      <c r="MV275" s="79"/>
      <c r="MW275" s="79"/>
      <c r="MX275" s="79"/>
      <c r="MY275" s="79"/>
      <c r="MZ275" s="79"/>
      <c r="NA275" s="79"/>
      <c r="NB275" s="79"/>
      <c r="NC275" s="79"/>
      <c r="ND275" s="79"/>
      <c r="NE275" s="79"/>
      <c r="NF275" s="79"/>
      <c r="NG275" s="79"/>
      <c r="NH275" s="79"/>
      <c r="NI275" s="79"/>
      <c r="NJ275" s="79"/>
      <c r="NK275" s="79"/>
      <c r="NL275" s="79"/>
      <c r="NM275" s="79"/>
      <c r="NN275" s="79"/>
      <c r="NO275" s="79"/>
      <c r="NP275" s="79"/>
      <c r="NQ275" s="79"/>
      <c r="NR275" s="79"/>
      <c r="NS275" s="79"/>
      <c r="NT275" s="79"/>
      <c r="NU275" s="79"/>
      <c r="NV275" s="79"/>
      <c r="NW275" s="79"/>
      <c r="NX275" s="79"/>
      <c r="NY275" s="79"/>
      <c r="NZ275" s="79"/>
      <c r="OA275" s="79"/>
      <c r="OB275" s="79"/>
      <c r="OC275" s="79"/>
      <c r="OD275" s="79"/>
      <c r="OE275" s="79"/>
      <c r="OF275" s="79"/>
      <c r="OG275" s="79"/>
      <c r="OH275" s="79"/>
      <c r="OI275" s="79"/>
      <c r="OJ275" s="79"/>
      <c r="OK275" s="79"/>
      <c r="OL275" s="79"/>
      <c r="OM275" s="79"/>
      <c r="ON275" s="79"/>
      <c r="OO275" s="79"/>
      <c r="OP275" s="79"/>
      <c r="OQ275" s="79"/>
      <c r="OR275" s="79"/>
      <c r="OS275" s="79"/>
      <c r="OT275" s="79"/>
      <c r="OU275" s="79"/>
      <c r="OV275" s="79"/>
      <c r="OW275" s="79"/>
      <c r="OX275" s="79"/>
      <c r="OY275" s="79"/>
      <c r="OZ275" s="79"/>
      <c r="PA275" s="79"/>
      <c r="PB275" s="79"/>
      <c r="PC275" s="79"/>
      <c r="PD275" s="79"/>
      <c r="PE275" s="79"/>
      <c r="PF275" s="79"/>
      <c r="PG275" s="79"/>
      <c r="PH275" s="79"/>
      <c r="PI275" s="79"/>
      <c r="PJ275" s="79"/>
      <c r="PK275" s="79"/>
      <c r="PL275" s="79"/>
      <c r="PM275" s="79"/>
      <c r="PN275" s="79"/>
      <c r="PO275" s="79"/>
      <c r="PP275" s="79"/>
      <c r="PQ275" s="79"/>
      <c r="PR275" s="79"/>
      <c r="PS275" s="79"/>
      <c r="PT275" s="79"/>
      <c r="PU275" s="79"/>
      <c r="PV275" s="79"/>
      <c r="PW275" s="79"/>
      <c r="PX275" s="79"/>
      <c r="PY275" s="79"/>
      <c r="PZ275" s="79"/>
      <c r="QA275" s="79"/>
      <c r="QB275" s="79"/>
      <c r="QC275" s="79"/>
      <c r="QD275" s="79"/>
      <c r="QE275" s="79"/>
      <c r="QF275" s="79"/>
      <c r="QG275" s="79"/>
      <c r="QH275" s="79"/>
      <c r="QI275" s="79"/>
      <c r="QJ275" s="79"/>
      <c r="QK275" s="79"/>
      <c r="QL275" s="79"/>
      <c r="QM275" s="79"/>
      <c r="QN275" s="79"/>
      <c r="QO275" s="79"/>
      <c r="QP275" s="79"/>
      <c r="QQ275" s="79"/>
      <c r="QR275" s="79"/>
      <c r="QS275" s="79"/>
      <c r="QT275" s="79"/>
      <c r="QU275" s="79"/>
      <c r="QV275" s="79"/>
      <c r="QW275" s="79"/>
      <c r="QX275" s="79"/>
      <c r="QY275" s="79"/>
      <c r="QZ275" s="79"/>
      <c r="RA275" s="79"/>
      <c r="RB275" s="79"/>
      <c r="RC275" s="79"/>
      <c r="RD275" s="79"/>
      <c r="RE275" s="79"/>
      <c r="RF275" s="79"/>
      <c r="RG275" s="79"/>
      <c r="RH275" s="79"/>
      <c r="RI275" s="79"/>
      <c r="RJ275" s="79"/>
      <c r="RK275" s="79"/>
      <c r="RL275" s="79"/>
      <c r="RM275" s="79"/>
      <c r="RN275" s="79"/>
      <c r="RO275" s="79"/>
      <c r="RP275" s="79"/>
      <c r="RQ275" s="79"/>
      <c r="RR275" s="79"/>
      <c r="RS275" s="79"/>
      <c r="RT275" s="79"/>
      <c r="RU275" s="79"/>
      <c r="RV275" s="79"/>
      <c r="RW275" s="79"/>
      <c r="RX275" s="79"/>
      <c r="RY275" s="79"/>
      <c r="RZ275" s="79"/>
      <c r="SA275" s="79"/>
      <c r="SB275" s="79"/>
      <c r="SC275" s="79"/>
      <c r="SD275" s="79"/>
      <c r="SE275" s="79"/>
      <c r="SF275" s="79"/>
      <c r="SG275" s="79"/>
      <c r="SH275" s="79"/>
      <c r="SI275" s="79"/>
      <c r="SJ275" s="79"/>
      <c r="SK275" s="79"/>
      <c r="SL275" s="79"/>
      <c r="SM275" s="79"/>
      <c r="SN275" s="79"/>
      <c r="SO275" s="79"/>
      <c r="SP275" s="79"/>
      <c r="SQ275" s="79"/>
      <c r="SR275" s="79"/>
      <c r="SS275" s="79"/>
      <c r="ST275" s="79"/>
      <c r="SU275" s="79"/>
      <c r="SV275" s="79"/>
      <c r="SW275" s="79"/>
      <c r="SX275" s="79"/>
      <c r="SY275" s="79"/>
      <c r="SZ275" s="79"/>
      <c r="TA275" s="79"/>
      <c r="TB275" s="79"/>
      <c r="TC275" s="79"/>
      <c r="TD275" s="79"/>
      <c r="TE275" s="79"/>
      <c r="TF275" s="79"/>
      <c r="TG275" s="79"/>
      <c r="TH275" s="79"/>
      <c r="TI275" s="79"/>
      <c r="TJ275" s="79"/>
      <c r="TK275" s="79"/>
      <c r="TL275" s="79"/>
      <c r="TM275" s="79"/>
      <c r="TN275" s="79"/>
      <c r="TO275" s="79"/>
      <c r="TP275" s="79"/>
      <c r="TQ275" s="79"/>
      <c r="TR275" s="79"/>
      <c r="TS275" s="79"/>
      <c r="TT275" s="79"/>
      <c r="TU275" s="79"/>
      <c r="TV275" s="79"/>
      <c r="TW275" s="79"/>
      <c r="TX275" s="79"/>
      <c r="TY275" s="79"/>
      <c r="TZ275" s="79"/>
      <c r="UA275" s="79"/>
      <c r="UB275" s="79"/>
      <c r="UC275" s="79"/>
      <c r="UD275" s="79"/>
      <c r="UE275" s="79"/>
      <c r="UF275" s="79"/>
      <c r="UG275" s="79"/>
      <c r="UH275" s="79"/>
      <c r="UI275" s="79"/>
      <c r="UJ275" s="79"/>
      <c r="UK275" s="79"/>
      <c r="UL275" s="79"/>
      <c r="UM275" s="79"/>
      <c r="UN275" s="79"/>
      <c r="UO275" s="79"/>
      <c r="UP275" s="79"/>
      <c r="UQ275" s="79"/>
      <c r="UR275" s="79"/>
      <c r="US275" s="79"/>
      <c r="UT275" s="79"/>
      <c r="UU275" s="79"/>
      <c r="UV275" s="79"/>
      <c r="UW275" s="79"/>
      <c r="UX275" s="79"/>
      <c r="UY275" s="79"/>
      <c r="UZ275" s="79"/>
      <c r="VA275" s="79"/>
      <c r="VB275" s="79"/>
      <c r="VC275" s="79"/>
      <c r="VD275" s="79"/>
      <c r="VE275" s="79"/>
      <c r="VF275" s="79"/>
      <c r="VG275" s="79"/>
      <c r="VH275" s="79"/>
      <c r="VI275" s="79"/>
      <c r="VJ275" s="79"/>
      <c r="VK275" s="79"/>
      <c r="VL275" s="79"/>
    </row>
    <row r="276" spans="1:584" s="81" customFormat="1" ht="36" customHeight="1" x14ac:dyDescent="0.25">
      <c r="A276" s="67" t="s">
        <v>274</v>
      </c>
      <c r="B276" s="98"/>
      <c r="C276" s="98"/>
      <c r="D276" s="68" t="s">
        <v>62</v>
      </c>
      <c r="E276" s="114">
        <f>E277+E278+E279+E280+E281</f>
        <v>9178715</v>
      </c>
      <c r="F276" s="114">
        <f t="shared" ref="F276:Y276" si="86">F277+F278+F279+F280+F281</f>
        <v>6278039</v>
      </c>
      <c r="G276" s="114">
        <f t="shared" si="86"/>
        <v>108163</v>
      </c>
      <c r="H276" s="114">
        <f>H277+H278+H279+H280+H281</f>
        <v>8760009.8100000005</v>
      </c>
      <c r="I276" s="114">
        <f t="shared" ref="I276:J276" si="87">I277+I278+I279+I280+I281</f>
        <v>6051463.4100000001</v>
      </c>
      <c r="J276" s="114">
        <f t="shared" si="87"/>
        <v>89666.46</v>
      </c>
      <c r="K276" s="153">
        <f t="shared" si="83"/>
        <v>95.438302747171051</v>
      </c>
      <c r="L276" s="114">
        <f t="shared" si="86"/>
        <v>2019807.3399999999</v>
      </c>
      <c r="M276" s="114">
        <f t="shared" si="86"/>
        <v>0</v>
      </c>
      <c r="N276" s="114">
        <f t="shared" si="86"/>
        <v>1088807.3399999999</v>
      </c>
      <c r="O276" s="114">
        <f t="shared" si="86"/>
        <v>0</v>
      </c>
      <c r="P276" s="114">
        <f t="shared" si="86"/>
        <v>0</v>
      </c>
      <c r="Q276" s="114">
        <f t="shared" si="86"/>
        <v>931000</v>
      </c>
      <c r="R276" s="114">
        <f t="shared" ref="R276:W276" si="88">R277+R278+R279+R280+R281</f>
        <v>877044.51</v>
      </c>
      <c r="S276" s="114">
        <f t="shared" si="88"/>
        <v>0</v>
      </c>
      <c r="T276" s="114">
        <f t="shared" si="88"/>
        <v>42</v>
      </c>
      <c r="U276" s="114">
        <f t="shared" si="88"/>
        <v>0</v>
      </c>
      <c r="V276" s="114">
        <f t="shared" si="88"/>
        <v>0</v>
      </c>
      <c r="W276" s="114">
        <f t="shared" si="88"/>
        <v>877002.51</v>
      </c>
      <c r="X276" s="165">
        <f t="shared" si="84"/>
        <v>43.42218649428218</v>
      </c>
      <c r="Y276" s="114">
        <f t="shared" si="86"/>
        <v>9637054.3200000003</v>
      </c>
      <c r="Z276" s="187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80"/>
      <c r="EL276" s="80"/>
      <c r="EM276" s="80"/>
      <c r="EN276" s="80"/>
      <c r="EO276" s="80"/>
      <c r="EP276" s="80"/>
      <c r="EQ276" s="80"/>
      <c r="ER276" s="80"/>
      <c r="ES276" s="80"/>
      <c r="ET276" s="80"/>
      <c r="EU276" s="80"/>
      <c r="EV276" s="80"/>
      <c r="EW276" s="80"/>
      <c r="EX276" s="80"/>
      <c r="EY276" s="80"/>
      <c r="EZ276" s="80"/>
      <c r="FA276" s="80"/>
      <c r="FB276" s="80"/>
      <c r="FC276" s="80"/>
      <c r="FD276" s="80"/>
      <c r="FE276" s="80"/>
      <c r="FF276" s="80"/>
      <c r="FG276" s="80"/>
      <c r="FH276" s="80"/>
      <c r="FI276" s="80"/>
      <c r="FJ276" s="80"/>
      <c r="FK276" s="80"/>
      <c r="FL276" s="80"/>
      <c r="FM276" s="80"/>
      <c r="FN276" s="80"/>
      <c r="FO276" s="80"/>
      <c r="FP276" s="80"/>
      <c r="FQ276" s="80"/>
      <c r="FR276" s="80"/>
      <c r="FS276" s="80"/>
      <c r="FT276" s="80"/>
      <c r="FU276" s="80"/>
      <c r="FV276" s="80"/>
      <c r="FW276" s="80"/>
      <c r="FX276" s="80"/>
      <c r="FY276" s="80"/>
      <c r="FZ276" s="80"/>
      <c r="GA276" s="80"/>
      <c r="GB276" s="80"/>
      <c r="GC276" s="80"/>
      <c r="GD276" s="80"/>
      <c r="GE276" s="80"/>
      <c r="GF276" s="80"/>
      <c r="GG276" s="80"/>
      <c r="GH276" s="80"/>
      <c r="GI276" s="80"/>
      <c r="GJ276" s="80"/>
      <c r="GK276" s="80"/>
      <c r="GL276" s="80"/>
      <c r="GM276" s="80"/>
      <c r="GN276" s="80"/>
      <c r="GO276" s="80"/>
      <c r="GP276" s="80"/>
      <c r="GQ276" s="80"/>
      <c r="GR276" s="80"/>
      <c r="GS276" s="80"/>
      <c r="GT276" s="80"/>
      <c r="GU276" s="80"/>
      <c r="GV276" s="80"/>
      <c r="GW276" s="80"/>
      <c r="GX276" s="80"/>
      <c r="GY276" s="80"/>
      <c r="GZ276" s="80"/>
      <c r="HA276" s="80"/>
      <c r="HB276" s="80"/>
      <c r="HC276" s="80"/>
      <c r="HD276" s="80"/>
      <c r="HE276" s="80"/>
      <c r="HF276" s="80"/>
      <c r="HG276" s="80"/>
      <c r="HH276" s="80"/>
      <c r="HI276" s="80"/>
      <c r="HJ276" s="80"/>
      <c r="HK276" s="80"/>
      <c r="HL276" s="80"/>
      <c r="HM276" s="80"/>
      <c r="HN276" s="80"/>
      <c r="HO276" s="80"/>
      <c r="HP276" s="80"/>
      <c r="HQ276" s="80"/>
      <c r="HR276" s="80"/>
      <c r="HS276" s="80"/>
      <c r="HT276" s="80"/>
      <c r="HU276" s="80"/>
      <c r="HV276" s="80"/>
      <c r="HW276" s="80"/>
      <c r="HX276" s="80"/>
      <c r="HY276" s="80"/>
      <c r="HZ276" s="80"/>
      <c r="IA276" s="80"/>
      <c r="IB276" s="80"/>
      <c r="IC276" s="80"/>
      <c r="ID276" s="80"/>
      <c r="IE276" s="80"/>
      <c r="IF276" s="80"/>
      <c r="IG276" s="80"/>
      <c r="IH276" s="80"/>
      <c r="II276" s="80"/>
      <c r="IJ276" s="80"/>
      <c r="IK276" s="80"/>
      <c r="IL276" s="80"/>
      <c r="IM276" s="80"/>
      <c r="IN276" s="80"/>
      <c r="IO276" s="80"/>
      <c r="IP276" s="80"/>
      <c r="IQ276" s="80"/>
      <c r="IR276" s="80"/>
      <c r="IS276" s="80"/>
      <c r="IT276" s="80"/>
      <c r="IU276" s="80"/>
      <c r="IV276" s="80"/>
      <c r="IW276" s="80"/>
      <c r="IX276" s="80"/>
      <c r="IY276" s="80"/>
      <c r="IZ276" s="80"/>
      <c r="JA276" s="80"/>
      <c r="JB276" s="80"/>
      <c r="JC276" s="80"/>
      <c r="JD276" s="80"/>
      <c r="JE276" s="80"/>
      <c r="JF276" s="80"/>
      <c r="JG276" s="80"/>
      <c r="JH276" s="80"/>
      <c r="JI276" s="80"/>
      <c r="JJ276" s="80"/>
      <c r="JK276" s="80"/>
      <c r="JL276" s="80"/>
      <c r="JM276" s="80"/>
      <c r="JN276" s="80"/>
      <c r="JO276" s="80"/>
      <c r="JP276" s="80"/>
      <c r="JQ276" s="80"/>
      <c r="JR276" s="80"/>
      <c r="JS276" s="80"/>
      <c r="JT276" s="80"/>
      <c r="JU276" s="80"/>
      <c r="JV276" s="80"/>
      <c r="JW276" s="80"/>
      <c r="JX276" s="80"/>
      <c r="JY276" s="80"/>
      <c r="JZ276" s="80"/>
      <c r="KA276" s="80"/>
      <c r="KB276" s="80"/>
      <c r="KC276" s="80"/>
      <c r="KD276" s="80"/>
      <c r="KE276" s="80"/>
      <c r="KF276" s="80"/>
      <c r="KG276" s="80"/>
      <c r="KH276" s="80"/>
      <c r="KI276" s="80"/>
      <c r="KJ276" s="80"/>
      <c r="KK276" s="80"/>
      <c r="KL276" s="80"/>
      <c r="KM276" s="80"/>
      <c r="KN276" s="80"/>
      <c r="KO276" s="80"/>
      <c r="KP276" s="80"/>
      <c r="KQ276" s="80"/>
      <c r="KR276" s="80"/>
      <c r="KS276" s="80"/>
      <c r="KT276" s="80"/>
      <c r="KU276" s="80"/>
      <c r="KV276" s="80"/>
      <c r="KW276" s="80"/>
      <c r="KX276" s="80"/>
      <c r="KY276" s="80"/>
      <c r="KZ276" s="80"/>
      <c r="LA276" s="80"/>
      <c r="LB276" s="80"/>
      <c r="LC276" s="80"/>
      <c r="LD276" s="80"/>
      <c r="LE276" s="80"/>
      <c r="LF276" s="80"/>
      <c r="LG276" s="80"/>
      <c r="LH276" s="80"/>
      <c r="LI276" s="80"/>
      <c r="LJ276" s="80"/>
      <c r="LK276" s="80"/>
      <c r="LL276" s="80"/>
      <c r="LM276" s="80"/>
      <c r="LN276" s="80"/>
      <c r="LO276" s="80"/>
      <c r="LP276" s="80"/>
      <c r="LQ276" s="80"/>
      <c r="LR276" s="80"/>
      <c r="LS276" s="80"/>
      <c r="LT276" s="80"/>
      <c r="LU276" s="80"/>
      <c r="LV276" s="80"/>
      <c r="LW276" s="80"/>
      <c r="LX276" s="80"/>
      <c r="LY276" s="80"/>
      <c r="LZ276" s="80"/>
      <c r="MA276" s="80"/>
      <c r="MB276" s="80"/>
      <c r="MC276" s="80"/>
      <c r="MD276" s="80"/>
      <c r="ME276" s="80"/>
      <c r="MF276" s="80"/>
      <c r="MG276" s="80"/>
      <c r="MH276" s="80"/>
      <c r="MI276" s="80"/>
      <c r="MJ276" s="80"/>
      <c r="MK276" s="80"/>
      <c r="ML276" s="80"/>
      <c r="MM276" s="80"/>
      <c r="MN276" s="80"/>
      <c r="MO276" s="80"/>
      <c r="MP276" s="80"/>
      <c r="MQ276" s="80"/>
      <c r="MR276" s="80"/>
      <c r="MS276" s="80"/>
      <c r="MT276" s="80"/>
      <c r="MU276" s="80"/>
      <c r="MV276" s="80"/>
      <c r="MW276" s="80"/>
      <c r="MX276" s="80"/>
      <c r="MY276" s="80"/>
      <c r="MZ276" s="80"/>
      <c r="NA276" s="80"/>
      <c r="NB276" s="80"/>
      <c r="NC276" s="80"/>
      <c r="ND276" s="80"/>
      <c r="NE276" s="80"/>
      <c r="NF276" s="80"/>
      <c r="NG276" s="80"/>
      <c r="NH276" s="80"/>
      <c r="NI276" s="80"/>
      <c r="NJ276" s="80"/>
      <c r="NK276" s="80"/>
      <c r="NL276" s="80"/>
      <c r="NM276" s="80"/>
      <c r="NN276" s="80"/>
      <c r="NO276" s="80"/>
      <c r="NP276" s="80"/>
      <c r="NQ276" s="80"/>
      <c r="NR276" s="80"/>
      <c r="NS276" s="80"/>
      <c r="NT276" s="80"/>
      <c r="NU276" s="80"/>
      <c r="NV276" s="80"/>
      <c r="NW276" s="80"/>
      <c r="NX276" s="80"/>
      <c r="NY276" s="80"/>
      <c r="NZ276" s="80"/>
      <c r="OA276" s="80"/>
      <c r="OB276" s="80"/>
      <c r="OC276" s="80"/>
      <c r="OD276" s="80"/>
      <c r="OE276" s="80"/>
      <c r="OF276" s="80"/>
      <c r="OG276" s="80"/>
      <c r="OH276" s="80"/>
      <c r="OI276" s="80"/>
      <c r="OJ276" s="80"/>
      <c r="OK276" s="80"/>
      <c r="OL276" s="80"/>
      <c r="OM276" s="80"/>
      <c r="ON276" s="80"/>
      <c r="OO276" s="80"/>
      <c r="OP276" s="80"/>
      <c r="OQ276" s="80"/>
      <c r="OR276" s="80"/>
      <c r="OS276" s="80"/>
      <c r="OT276" s="80"/>
      <c r="OU276" s="80"/>
      <c r="OV276" s="80"/>
      <c r="OW276" s="80"/>
      <c r="OX276" s="80"/>
      <c r="OY276" s="80"/>
      <c r="OZ276" s="80"/>
      <c r="PA276" s="80"/>
      <c r="PB276" s="80"/>
      <c r="PC276" s="80"/>
      <c r="PD276" s="80"/>
      <c r="PE276" s="80"/>
      <c r="PF276" s="80"/>
      <c r="PG276" s="80"/>
      <c r="PH276" s="80"/>
      <c r="PI276" s="80"/>
      <c r="PJ276" s="80"/>
      <c r="PK276" s="80"/>
      <c r="PL276" s="80"/>
      <c r="PM276" s="80"/>
      <c r="PN276" s="80"/>
      <c r="PO276" s="80"/>
      <c r="PP276" s="80"/>
      <c r="PQ276" s="80"/>
      <c r="PR276" s="80"/>
      <c r="PS276" s="80"/>
      <c r="PT276" s="80"/>
      <c r="PU276" s="80"/>
      <c r="PV276" s="80"/>
      <c r="PW276" s="80"/>
      <c r="PX276" s="80"/>
      <c r="PY276" s="80"/>
      <c r="PZ276" s="80"/>
      <c r="QA276" s="80"/>
      <c r="QB276" s="80"/>
      <c r="QC276" s="80"/>
      <c r="QD276" s="80"/>
      <c r="QE276" s="80"/>
      <c r="QF276" s="80"/>
      <c r="QG276" s="80"/>
      <c r="QH276" s="80"/>
      <c r="QI276" s="80"/>
      <c r="QJ276" s="80"/>
      <c r="QK276" s="80"/>
      <c r="QL276" s="80"/>
      <c r="QM276" s="80"/>
      <c r="QN276" s="80"/>
      <c r="QO276" s="80"/>
      <c r="QP276" s="80"/>
      <c r="QQ276" s="80"/>
      <c r="QR276" s="80"/>
      <c r="QS276" s="80"/>
      <c r="QT276" s="80"/>
      <c r="QU276" s="80"/>
      <c r="QV276" s="80"/>
      <c r="QW276" s="80"/>
      <c r="QX276" s="80"/>
      <c r="QY276" s="80"/>
      <c r="QZ276" s="80"/>
      <c r="RA276" s="80"/>
      <c r="RB276" s="80"/>
      <c r="RC276" s="80"/>
      <c r="RD276" s="80"/>
      <c r="RE276" s="80"/>
      <c r="RF276" s="80"/>
      <c r="RG276" s="80"/>
      <c r="RH276" s="80"/>
      <c r="RI276" s="80"/>
      <c r="RJ276" s="80"/>
      <c r="RK276" s="80"/>
      <c r="RL276" s="80"/>
      <c r="RM276" s="80"/>
      <c r="RN276" s="80"/>
      <c r="RO276" s="80"/>
      <c r="RP276" s="80"/>
      <c r="RQ276" s="80"/>
      <c r="RR276" s="80"/>
      <c r="RS276" s="80"/>
      <c r="RT276" s="80"/>
      <c r="RU276" s="80"/>
      <c r="RV276" s="80"/>
      <c r="RW276" s="80"/>
      <c r="RX276" s="80"/>
      <c r="RY276" s="80"/>
      <c r="RZ276" s="80"/>
      <c r="SA276" s="80"/>
      <c r="SB276" s="80"/>
      <c r="SC276" s="80"/>
      <c r="SD276" s="80"/>
      <c r="SE276" s="80"/>
      <c r="SF276" s="80"/>
      <c r="SG276" s="80"/>
      <c r="SH276" s="80"/>
      <c r="SI276" s="80"/>
      <c r="SJ276" s="80"/>
      <c r="SK276" s="80"/>
      <c r="SL276" s="80"/>
      <c r="SM276" s="80"/>
      <c r="SN276" s="80"/>
      <c r="SO276" s="80"/>
      <c r="SP276" s="80"/>
      <c r="SQ276" s="80"/>
      <c r="SR276" s="80"/>
      <c r="SS276" s="80"/>
      <c r="ST276" s="80"/>
      <c r="SU276" s="80"/>
      <c r="SV276" s="80"/>
      <c r="SW276" s="80"/>
      <c r="SX276" s="80"/>
      <c r="SY276" s="80"/>
      <c r="SZ276" s="80"/>
      <c r="TA276" s="80"/>
      <c r="TB276" s="80"/>
      <c r="TC276" s="80"/>
      <c r="TD276" s="80"/>
      <c r="TE276" s="80"/>
      <c r="TF276" s="80"/>
      <c r="TG276" s="80"/>
      <c r="TH276" s="80"/>
      <c r="TI276" s="80"/>
      <c r="TJ276" s="80"/>
      <c r="TK276" s="80"/>
      <c r="TL276" s="80"/>
      <c r="TM276" s="80"/>
      <c r="TN276" s="80"/>
      <c r="TO276" s="80"/>
      <c r="TP276" s="80"/>
      <c r="TQ276" s="80"/>
      <c r="TR276" s="80"/>
      <c r="TS276" s="80"/>
      <c r="TT276" s="80"/>
      <c r="TU276" s="80"/>
      <c r="TV276" s="80"/>
      <c r="TW276" s="80"/>
      <c r="TX276" s="80"/>
      <c r="TY276" s="80"/>
      <c r="TZ276" s="80"/>
      <c r="UA276" s="80"/>
      <c r="UB276" s="80"/>
      <c r="UC276" s="80"/>
      <c r="UD276" s="80"/>
      <c r="UE276" s="80"/>
      <c r="UF276" s="80"/>
      <c r="UG276" s="80"/>
      <c r="UH276" s="80"/>
      <c r="UI276" s="80"/>
      <c r="UJ276" s="80"/>
      <c r="UK276" s="80"/>
      <c r="UL276" s="80"/>
      <c r="UM276" s="80"/>
      <c r="UN276" s="80"/>
      <c r="UO276" s="80"/>
      <c r="UP276" s="80"/>
      <c r="UQ276" s="80"/>
      <c r="UR276" s="80"/>
      <c r="US276" s="80"/>
      <c r="UT276" s="80"/>
      <c r="UU276" s="80"/>
      <c r="UV276" s="80"/>
      <c r="UW276" s="80"/>
      <c r="UX276" s="80"/>
      <c r="UY276" s="80"/>
      <c r="UZ276" s="80"/>
      <c r="VA276" s="80"/>
      <c r="VB276" s="80"/>
      <c r="VC276" s="80"/>
      <c r="VD276" s="80"/>
      <c r="VE276" s="80"/>
      <c r="VF276" s="80"/>
      <c r="VG276" s="80"/>
      <c r="VH276" s="80"/>
      <c r="VI276" s="80"/>
      <c r="VJ276" s="80"/>
      <c r="VK276" s="80"/>
      <c r="VL276" s="80"/>
    </row>
    <row r="277" spans="1:584" s="47" customFormat="1" ht="37.5" customHeight="1" x14ac:dyDescent="0.25">
      <c r="A277" s="45" t="s">
        <v>275</v>
      </c>
      <c r="B277" s="91" t="str">
        <f>'дод 3'!A13</f>
        <v>0160</v>
      </c>
      <c r="C277" s="91" t="str">
        <f>'дод 3'!B13</f>
        <v>0111</v>
      </c>
      <c r="D277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77" s="115">
        <v>8095100</v>
      </c>
      <c r="F277" s="115">
        <f>6071539+206500</f>
        <v>6278039</v>
      </c>
      <c r="G277" s="115">
        <v>108163</v>
      </c>
      <c r="H277" s="115">
        <v>7755973.8300000001</v>
      </c>
      <c r="I277" s="115">
        <v>6051463.4100000001</v>
      </c>
      <c r="J277" s="115">
        <v>89666.46</v>
      </c>
      <c r="K277" s="164">
        <f t="shared" si="83"/>
        <v>95.810722906449584</v>
      </c>
      <c r="L277" s="115">
        <f t="shared" si="71"/>
        <v>0</v>
      </c>
      <c r="M277" s="115"/>
      <c r="N277" s="115"/>
      <c r="O277" s="115"/>
      <c r="P277" s="115"/>
      <c r="Q277" s="115"/>
      <c r="R277" s="115">
        <f t="shared" si="72"/>
        <v>42</v>
      </c>
      <c r="S277" s="115"/>
      <c r="T277" s="115">
        <v>42</v>
      </c>
      <c r="U277" s="115"/>
      <c r="V277" s="115"/>
      <c r="W277" s="115"/>
      <c r="X277" s="149"/>
      <c r="Y277" s="115">
        <f t="shared" ref="Y277:Y281" si="89">H277+R277</f>
        <v>7756015.8300000001</v>
      </c>
      <c r="Z277" s="187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3"/>
      <c r="FD277" s="53"/>
      <c r="FE277" s="53"/>
      <c r="FF277" s="53"/>
      <c r="FG277" s="53"/>
      <c r="FH277" s="53"/>
      <c r="FI277" s="53"/>
      <c r="FJ277" s="53"/>
      <c r="FK277" s="53"/>
      <c r="FL277" s="53"/>
      <c r="FM277" s="53"/>
      <c r="FN277" s="53"/>
      <c r="FO277" s="53"/>
      <c r="FP277" s="53"/>
      <c r="FQ277" s="53"/>
      <c r="FR277" s="53"/>
      <c r="FS277" s="53"/>
      <c r="FT277" s="53"/>
      <c r="FU277" s="53"/>
      <c r="FV277" s="53"/>
      <c r="FW277" s="53"/>
      <c r="FX277" s="53"/>
      <c r="FY277" s="53"/>
      <c r="FZ277" s="53"/>
      <c r="GA277" s="53"/>
      <c r="GB277" s="53"/>
      <c r="GC277" s="53"/>
      <c r="GD277" s="53"/>
      <c r="GE277" s="53"/>
      <c r="GF277" s="53"/>
      <c r="GG277" s="53"/>
      <c r="GH277" s="53"/>
      <c r="GI277" s="53"/>
      <c r="GJ277" s="53"/>
      <c r="GK277" s="53"/>
      <c r="GL277" s="53"/>
      <c r="GM277" s="53"/>
      <c r="GN277" s="53"/>
      <c r="GO277" s="53"/>
      <c r="GP277" s="53"/>
      <c r="GQ277" s="53"/>
      <c r="GR277" s="53"/>
      <c r="GS277" s="53"/>
      <c r="GT277" s="53"/>
      <c r="GU277" s="53"/>
      <c r="GV277" s="53"/>
      <c r="GW277" s="53"/>
      <c r="GX277" s="53"/>
      <c r="GY277" s="53"/>
      <c r="GZ277" s="53"/>
      <c r="HA277" s="53"/>
      <c r="HB277" s="53"/>
      <c r="HC277" s="53"/>
      <c r="HD277" s="53"/>
      <c r="HE277" s="53"/>
      <c r="HF277" s="53"/>
      <c r="HG277" s="53"/>
      <c r="HH277" s="53"/>
      <c r="HI277" s="53"/>
      <c r="HJ277" s="53"/>
      <c r="HK277" s="53"/>
      <c r="HL277" s="53"/>
      <c r="HM277" s="53"/>
      <c r="HN277" s="53"/>
      <c r="HO277" s="53"/>
      <c r="HP277" s="53"/>
      <c r="HQ277" s="53"/>
      <c r="HR277" s="53"/>
      <c r="HS277" s="53"/>
      <c r="HT277" s="53"/>
      <c r="HU277" s="53"/>
      <c r="HV277" s="53"/>
      <c r="HW277" s="53"/>
      <c r="HX277" s="53"/>
      <c r="HY277" s="53"/>
      <c r="HZ277" s="53"/>
      <c r="IA277" s="53"/>
      <c r="IB277" s="53"/>
      <c r="IC277" s="53"/>
      <c r="ID277" s="53"/>
      <c r="IE277" s="53"/>
      <c r="IF277" s="53"/>
      <c r="IG277" s="53"/>
      <c r="IH277" s="53"/>
      <c r="II277" s="53"/>
      <c r="IJ277" s="53"/>
      <c r="IK277" s="53"/>
      <c r="IL277" s="53"/>
      <c r="IM277" s="53"/>
      <c r="IN277" s="53"/>
      <c r="IO277" s="53"/>
      <c r="IP277" s="53"/>
      <c r="IQ277" s="53"/>
      <c r="IR277" s="53"/>
      <c r="IS277" s="53"/>
      <c r="IT277" s="53"/>
      <c r="IU277" s="53"/>
      <c r="IV277" s="53"/>
      <c r="IW277" s="53"/>
      <c r="IX277" s="53"/>
      <c r="IY277" s="53"/>
      <c r="IZ277" s="53"/>
      <c r="JA277" s="53"/>
      <c r="JB277" s="53"/>
      <c r="JC277" s="53"/>
      <c r="JD277" s="53"/>
      <c r="JE277" s="53"/>
      <c r="JF277" s="53"/>
      <c r="JG277" s="53"/>
      <c r="JH277" s="53"/>
      <c r="JI277" s="53"/>
      <c r="JJ277" s="53"/>
      <c r="JK277" s="53"/>
      <c r="JL277" s="53"/>
      <c r="JM277" s="53"/>
      <c r="JN277" s="53"/>
      <c r="JO277" s="53"/>
      <c r="JP277" s="53"/>
      <c r="JQ277" s="53"/>
      <c r="JR277" s="53"/>
      <c r="JS277" s="53"/>
      <c r="JT277" s="53"/>
      <c r="JU277" s="53"/>
      <c r="JV277" s="53"/>
      <c r="JW277" s="53"/>
      <c r="JX277" s="53"/>
      <c r="JY277" s="53"/>
      <c r="JZ277" s="53"/>
      <c r="KA277" s="53"/>
      <c r="KB277" s="53"/>
      <c r="KC277" s="53"/>
      <c r="KD277" s="53"/>
      <c r="KE277" s="53"/>
      <c r="KF277" s="53"/>
      <c r="KG277" s="53"/>
      <c r="KH277" s="53"/>
      <c r="KI277" s="53"/>
      <c r="KJ277" s="53"/>
      <c r="KK277" s="53"/>
      <c r="KL277" s="53"/>
      <c r="KM277" s="53"/>
      <c r="KN277" s="53"/>
      <c r="KO277" s="53"/>
      <c r="KP277" s="53"/>
      <c r="KQ277" s="53"/>
      <c r="KR277" s="53"/>
      <c r="KS277" s="53"/>
      <c r="KT277" s="53"/>
      <c r="KU277" s="53"/>
      <c r="KV277" s="53"/>
      <c r="KW277" s="53"/>
      <c r="KX277" s="53"/>
      <c r="KY277" s="53"/>
      <c r="KZ277" s="53"/>
      <c r="LA277" s="53"/>
      <c r="LB277" s="53"/>
      <c r="LC277" s="53"/>
      <c r="LD277" s="53"/>
      <c r="LE277" s="53"/>
      <c r="LF277" s="53"/>
      <c r="LG277" s="53"/>
      <c r="LH277" s="53"/>
      <c r="LI277" s="53"/>
      <c r="LJ277" s="53"/>
      <c r="LK277" s="53"/>
      <c r="LL277" s="53"/>
      <c r="LM277" s="53"/>
      <c r="LN277" s="53"/>
      <c r="LO277" s="53"/>
      <c r="LP277" s="53"/>
      <c r="LQ277" s="53"/>
      <c r="LR277" s="53"/>
      <c r="LS277" s="53"/>
      <c r="LT277" s="53"/>
      <c r="LU277" s="53"/>
      <c r="LV277" s="53"/>
      <c r="LW277" s="53"/>
      <c r="LX277" s="53"/>
      <c r="LY277" s="53"/>
      <c r="LZ277" s="53"/>
      <c r="MA277" s="53"/>
      <c r="MB277" s="53"/>
      <c r="MC277" s="53"/>
      <c r="MD277" s="53"/>
      <c r="ME277" s="53"/>
      <c r="MF277" s="53"/>
      <c r="MG277" s="53"/>
      <c r="MH277" s="53"/>
      <c r="MI277" s="53"/>
      <c r="MJ277" s="53"/>
      <c r="MK277" s="53"/>
      <c r="ML277" s="53"/>
      <c r="MM277" s="53"/>
      <c r="MN277" s="53"/>
      <c r="MO277" s="53"/>
      <c r="MP277" s="53"/>
      <c r="MQ277" s="53"/>
      <c r="MR277" s="53"/>
      <c r="MS277" s="53"/>
      <c r="MT277" s="53"/>
      <c r="MU277" s="53"/>
      <c r="MV277" s="53"/>
      <c r="MW277" s="53"/>
      <c r="MX277" s="53"/>
      <c r="MY277" s="53"/>
      <c r="MZ277" s="53"/>
      <c r="NA277" s="53"/>
      <c r="NB277" s="53"/>
      <c r="NC277" s="53"/>
      <c r="ND277" s="53"/>
      <c r="NE277" s="53"/>
      <c r="NF277" s="53"/>
      <c r="NG277" s="53"/>
      <c r="NH277" s="53"/>
      <c r="NI277" s="53"/>
      <c r="NJ277" s="53"/>
      <c r="NK277" s="53"/>
      <c r="NL277" s="53"/>
      <c r="NM277" s="53"/>
      <c r="NN277" s="53"/>
      <c r="NO277" s="53"/>
      <c r="NP277" s="53"/>
      <c r="NQ277" s="53"/>
      <c r="NR277" s="53"/>
      <c r="NS277" s="53"/>
      <c r="NT277" s="53"/>
      <c r="NU277" s="53"/>
      <c r="NV277" s="53"/>
      <c r="NW277" s="53"/>
      <c r="NX277" s="53"/>
      <c r="NY277" s="53"/>
      <c r="NZ277" s="53"/>
      <c r="OA277" s="53"/>
      <c r="OB277" s="53"/>
      <c r="OC277" s="53"/>
      <c r="OD277" s="53"/>
      <c r="OE277" s="53"/>
      <c r="OF277" s="53"/>
      <c r="OG277" s="53"/>
      <c r="OH277" s="53"/>
      <c r="OI277" s="53"/>
      <c r="OJ277" s="53"/>
      <c r="OK277" s="53"/>
      <c r="OL277" s="53"/>
      <c r="OM277" s="53"/>
      <c r="ON277" s="53"/>
      <c r="OO277" s="53"/>
      <c r="OP277" s="53"/>
      <c r="OQ277" s="53"/>
      <c r="OR277" s="53"/>
      <c r="OS277" s="53"/>
      <c r="OT277" s="53"/>
      <c r="OU277" s="53"/>
      <c r="OV277" s="53"/>
      <c r="OW277" s="53"/>
      <c r="OX277" s="53"/>
      <c r="OY277" s="53"/>
      <c r="OZ277" s="53"/>
      <c r="PA277" s="53"/>
      <c r="PB277" s="53"/>
      <c r="PC277" s="53"/>
      <c r="PD277" s="53"/>
      <c r="PE277" s="53"/>
      <c r="PF277" s="53"/>
      <c r="PG277" s="53"/>
      <c r="PH277" s="53"/>
      <c r="PI277" s="53"/>
      <c r="PJ277" s="53"/>
      <c r="PK277" s="53"/>
      <c r="PL277" s="53"/>
      <c r="PM277" s="53"/>
      <c r="PN277" s="53"/>
      <c r="PO277" s="53"/>
      <c r="PP277" s="53"/>
      <c r="PQ277" s="53"/>
      <c r="PR277" s="53"/>
      <c r="PS277" s="53"/>
      <c r="PT277" s="53"/>
      <c r="PU277" s="53"/>
      <c r="PV277" s="53"/>
      <c r="PW277" s="53"/>
      <c r="PX277" s="53"/>
      <c r="PY277" s="53"/>
      <c r="PZ277" s="53"/>
      <c r="QA277" s="53"/>
      <c r="QB277" s="53"/>
      <c r="QC277" s="53"/>
      <c r="QD277" s="53"/>
      <c r="QE277" s="53"/>
      <c r="QF277" s="53"/>
      <c r="QG277" s="53"/>
      <c r="QH277" s="53"/>
      <c r="QI277" s="53"/>
      <c r="QJ277" s="53"/>
      <c r="QK277" s="53"/>
      <c r="QL277" s="53"/>
      <c r="QM277" s="53"/>
      <c r="QN277" s="53"/>
      <c r="QO277" s="53"/>
      <c r="QP277" s="53"/>
      <c r="QQ277" s="53"/>
      <c r="QR277" s="53"/>
      <c r="QS277" s="53"/>
      <c r="QT277" s="53"/>
      <c r="QU277" s="53"/>
      <c r="QV277" s="53"/>
      <c r="QW277" s="53"/>
      <c r="QX277" s="53"/>
      <c r="QY277" s="53"/>
      <c r="QZ277" s="53"/>
      <c r="RA277" s="53"/>
      <c r="RB277" s="53"/>
      <c r="RC277" s="53"/>
      <c r="RD277" s="53"/>
      <c r="RE277" s="53"/>
      <c r="RF277" s="53"/>
      <c r="RG277" s="53"/>
      <c r="RH277" s="53"/>
      <c r="RI277" s="53"/>
      <c r="RJ277" s="53"/>
      <c r="RK277" s="53"/>
      <c r="RL277" s="53"/>
      <c r="RM277" s="53"/>
      <c r="RN277" s="53"/>
      <c r="RO277" s="53"/>
      <c r="RP277" s="53"/>
      <c r="RQ277" s="53"/>
      <c r="RR277" s="53"/>
      <c r="RS277" s="53"/>
      <c r="RT277" s="53"/>
      <c r="RU277" s="53"/>
      <c r="RV277" s="53"/>
      <c r="RW277" s="53"/>
      <c r="RX277" s="53"/>
      <c r="RY277" s="53"/>
      <c r="RZ277" s="53"/>
      <c r="SA277" s="53"/>
      <c r="SB277" s="53"/>
      <c r="SC277" s="53"/>
      <c r="SD277" s="53"/>
      <c r="SE277" s="53"/>
      <c r="SF277" s="53"/>
      <c r="SG277" s="53"/>
      <c r="SH277" s="53"/>
      <c r="SI277" s="53"/>
      <c r="SJ277" s="53"/>
      <c r="SK277" s="53"/>
      <c r="SL277" s="53"/>
      <c r="SM277" s="53"/>
      <c r="SN277" s="53"/>
      <c r="SO277" s="53"/>
      <c r="SP277" s="53"/>
      <c r="SQ277" s="53"/>
      <c r="SR277" s="53"/>
      <c r="SS277" s="53"/>
      <c r="ST277" s="53"/>
      <c r="SU277" s="53"/>
      <c r="SV277" s="53"/>
      <c r="SW277" s="53"/>
      <c r="SX277" s="53"/>
      <c r="SY277" s="53"/>
      <c r="SZ277" s="53"/>
      <c r="TA277" s="53"/>
      <c r="TB277" s="53"/>
      <c r="TC277" s="53"/>
      <c r="TD277" s="53"/>
      <c r="TE277" s="53"/>
      <c r="TF277" s="53"/>
      <c r="TG277" s="53"/>
      <c r="TH277" s="53"/>
      <c r="TI277" s="53"/>
      <c r="TJ277" s="53"/>
      <c r="TK277" s="53"/>
      <c r="TL277" s="53"/>
      <c r="TM277" s="53"/>
      <c r="TN277" s="53"/>
      <c r="TO277" s="53"/>
      <c r="TP277" s="53"/>
      <c r="TQ277" s="53"/>
      <c r="TR277" s="53"/>
      <c r="TS277" s="53"/>
      <c r="TT277" s="53"/>
      <c r="TU277" s="53"/>
      <c r="TV277" s="53"/>
      <c r="TW277" s="53"/>
      <c r="TX277" s="53"/>
      <c r="TY277" s="53"/>
      <c r="TZ277" s="53"/>
      <c r="UA277" s="53"/>
      <c r="UB277" s="53"/>
      <c r="UC277" s="53"/>
      <c r="UD277" s="53"/>
      <c r="UE277" s="53"/>
      <c r="UF277" s="53"/>
      <c r="UG277" s="53"/>
      <c r="UH277" s="53"/>
      <c r="UI277" s="53"/>
      <c r="UJ277" s="53"/>
      <c r="UK277" s="53"/>
      <c r="UL277" s="53"/>
      <c r="UM277" s="53"/>
      <c r="UN277" s="53"/>
      <c r="UO277" s="53"/>
      <c r="UP277" s="53"/>
      <c r="UQ277" s="53"/>
      <c r="UR277" s="53"/>
      <c r="US277" s="53"/>
      <c r="UT277" s="53"/>
      <c r="UU277" s="53"/>
      <c r="UV277" s="53"/>
      <c r="UW277" s="53"/>
      <c r="UX277" s="53"/>
      <c r="UY277" s="53"/>
      <c r="UZ277" s="53"/>
      <c r="VA277" s="53"/>
      <c r="VB277" s="53"/>
      <c r="VC277" s="53"/>
      <c r="VD277" s="53"/>
      <c r="VE277" s="53"/>
      <c r="VF277" s="53"/>
      <c r="VG277" s="53"/>
      <c r="VH277" s="53"/>
      <c r="VI277" s="53"/>
      <c r="VJ277" s="53"/>
      <c r="VK277" s="53"/>
      <c r="VL277" s="53"/>
    </row>
    <row r="278" spans="1:584" s="47" customFormat="1" ht="24.75" customHeight="1" x14ac:dyDescent="0.25">
      <c r="A278" s="45" t="s">
        <v>404</v>
      </c>
      <c r="B278" s="92" t="str">
        <f>'дод 3'!A157</f>
        <v>6090</v>
      </c>
      <c r="C278" s="92" t="str">
        <f>'дод 3'!B157</f>
        <v>0640</v>
      </c>
      <c r="D278" s="48" t="str">
        <f>'дод 3'!C157</f>
        <v>Інша діяльність у сфері житлово-комунального господарства</v>
      </c>
      <c r="E278" s="115">
        <v>180000</v>
      </c>
      <c r="F278" s="115"/>
      <c r="G278" s="115"/>
      <c r="H278" s="115">
        <v>170420.98</v>
      </c>
      <c r="I278" s="115"/>
      <c r="J278" s="115"/>
      <c r="K278" s="164">
        <f t="shared" si="83"/>
        <v>94.678322222222235</v>
      </c>
      <c r="L278" s="115">
        <f t="shared" si="71"/>
        <v>0</v>
      </c>
      <c r="M278" s="115"/>
      <c r="N278" s="115"/>
      <c r="O278" s="115"/>
      <c r="P278" s="115"/>
      <c r="Q278" s="115"/>
      <c r="R278" s="115">
        <f t="shared" si="72"/>
        <v>0</v>
      </c>
      <c r="S278" s="115"/>
      <c r="T278" s="115"/>
      <c r="U278" s="115"/>
      <c r="V278" s="115"/>
      <c r="W278" s="115"/>
      <c r="X278" s="149"/>
      <c r="Y278" s="115">
        <f t="shared" si="89"/>
        <v>170420.98</v>
      </c>
      <c r="Z278" s="187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  <c r="DG278" s="53"/>
      <c r="DH278" s="53"/>
      <c r="DI278" s="53"/>
      <c r="DJ278" s="53"/>
      <c r="DK278" s="53"/>
      <c r="DL278" s="53"/>
      <c r="DM278" s="53"/>
      <c r="DN278" s="53"/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3"/>
      <c r="FD278" s="53"/>
      <c r="FE278" s="53"/>
      <c r="FF278" s="53"/>
      <c r="FG278" s="53"/>
      <c r="FH278" s="53"/>
      <c r="FI278" s="53"/>
      <c r="FJ278" s="53"/>
      <c r="FK278" s="53"/>
      <c r="FL278" s="53"/>
      <c r="FM278" s="53"/>
      <c r="FN278" s="53"/>
      <c r="FO278" s="53"/>
      <c r="FP278" s="53"/>
      <c r="FQ278" s="53"/>
      <c r="FR278" s="53"/>
      <c r="FS278" s="53"/>
      <c r="FT278" s="53"/>
      <c r="FU278" s="53"/>
      <c r="FV278" s="53"/>
      <c r="FW278" s="53"/>
      <c r="FX278" s="53"/>
      <c r="FY278" s="53"/>
      <c r="FZ278" s="53"/>
      <c r="GA278" s="53"/>
      <c r="GB278" s="53"/>
      <c r="GC278" s="53"/>
      <c r="GD278" s="53"/>
      <c r="GE278" s="53"/>
      <c r="GF278" s="53"/>
      <c r="GG278" s="53"/>
      <c r="GH278" s="53"/>
      <c r="GI278" s="53"/>
      <c r="GJ278" s="53"/>
      <c r="GK278" s="53"/>
      <c r="GL278" s="53"/>
      <c r="GM278" s="53"/>
      <c r="GN278" s="53"/>
      <c r="GO278" s="53"/>
      <c r="GP278" s="53"/>
      <c r="GQ278" s="53"/>
      <c r="GR278" s="53"/>
      <c r="GS278" s="53"/>
      <c r="GT278" s="53"/>
      <c r="GU278" s="53"/>
      <c r="GV278" s="53"/>
      <c r="GW278" s="53"/>
      <c r="GX278" s="53"/>
      <c r="GY278" s="53"/>
      <c r="GZ278" s="53"/>
      <c r="HA278" s="53"/>
      <c r="HB278" s="53"/>
      <c r="HC278" s="53"/>
      <c r="HD278" s="53"/>
      <c r="HE278" s="53"/>
      <c r="HF278" s="53"/>
      <c r="HG278" s="53"/>
      <c r="HH278" s="53"/>
      <c r="HI278" s="53"/>
      <c r="HJ278" s="53"/>
      <c r="HK278" s="53"/>
      <c r="HL278" s="53"/>
      <c r="HM278" s="53"/>
      <c r="HN278" s="53"/>
      <c r="HO278" s="53"/>
      <c r="HP278" s="53"/>
      <c r="HQ278" s="53"/>
      <c r="HR278" s="53"/>
      <c r="HS278" s="53"/>
      <c r="HT278" s="53"/>
      <c r="HU278" s="53"/>
      <c r="HV278" s="53"/>
      <c r="HW278" s="53"/>
      <c r="HX278" s="53"/>
      <c r="HY278" s="53"/>
      <c r="HZ278" s="53"/>
      <c r="IA278" s="53"/>
      <c r="IB278" s="53"/>
      <c r="IC278" s="53"/>
      <c r="ID278" s="53"/>
      <c r="IE278" s="53"/>
      <c r="IF278" s="53"/>
      <c r="IG278" s="53"/>
      <c r="IH278" s="53"/>
      <c r="II278" s="53"/>
      <c r="IJ278" s="53"/>
      <c r="IK278" s="53"/>
      <c r="IL278" s="53"/>
      <c r="IM278" s="53"/>
      <c r="IN278" s="53"/>
      <c r="IO278" s="53"/>
      <c r="IP278" s="53"/>
      <c r="IQ278" s="53"/>
      <c r="IR278" s="53"/>
      <c r="IS278" s="53"/>
      <c r="IT278" s="53"/>
      <c r="IU278" s="53"/>
      <c r="IV278" s="53"/>
      <c r="IW278" s="53"/>
      <c r="IX278" s="53"/>
      <c r="IY278" s="53"/>
      <c r="IZ278" s="53"/>
      <c r="JA278" s="53"/>
      <c r="JB278" s="53"/>
      <c r="JC278" s="53"/>
      <c r="JD278" s="53"/>
      <c r="JE278" s="53"/>
      <c r="JF278" s="53"/>
      <c r="JG278" s="53"/>
      <c r="JH278" s="53"/>
      <c r="JI278" s="53"/>
      <c r="JJ278" s="53"/>
      <c r="JK278" s="53"/>
      <c r="JL278" s="53"/>
      <c r="JM278" s="53"/>
      <c r="JN278" s="53"/>
      <c r="JO278" s="53"/>
      <c r="JP278" s="53"/>
      <c r="JQ278" s="53"/>
      <c r="JR278" s="53"/>
      <c r="JS278" s="53"/>
      <c r="JT278" s="53"/>
      <c r="JU278" s="53"/>
      <c r="JV278" s="53"/>
      <c r="JW278" s="53"/>
      <c r="JX278" s="53"/>
      <c r="JY278" s="53"/>
      <c r="JZ278" s="53"/>
      <c r="KA278" s="53"/>
      <c r="KB278" s="53"/>
      <c r="KC278" s="53"/>
      <c r="KD278" s="53"/>
      <c r="KE278" s="53"/>
      <c r="KF278" s="53"/>
      <c r="KG278" s="53"/>
      <c r="KH278" s="53"/>
      <c r="KI278" s="53"/>
      <c r="KJ278" s="53"/>
      <c r="KK278" s="53"/>
      <c r="KL278" s="53"/>
      <c r="KM278" s="53"/>
      <c r="KN278" s="53"/>
      <c r="KO278" s="53"/>
      <c r="KP278" s="53"/>
      <c r="KQ278" s="53"/>
      <c r="KR278" s="53"/>
      <c r="KS278" s="53"/>
      <c r="KT278" s="53"/>
      <c r="KU278" s="53"/>
      <c r="KV278" s="53"/>
      <c r="KW278" s="53"/>
      <c r="KX278" s="53"/>
      <c r="KY278" s="53"/>
      <c r="KZ278" s="53"/>
      <c r="LA278" s="53"/>
      <c r="LB278" s="53"/>
      <c r="LC278" s="53"/>
      <c r="LD278" s="53"/>
      <c r="LE278" s="53"/>
      <c r="LF278" s="53"/>
      <c r="LG278" s="53"/>
      <c r="LH278" s="53"/>
      <c r="LI278" s="53"/>
      <c r="LJ278" s="53"/>
      <c r="LK278" s="53"/>
      <c r="LL278" s="53"/>
      <c r="LM278" s="53"/>
      <c r="LN278" s="53"/>
      <c r="LO278" s="53"/>
      <c r="LP278" s="53"/>
      <c r="LQ278" s="53"/>
      <c r="LR278" s="53"/>
      <c r="LS278" s="53"/>
      <c r="LT278" s="53"/>
      <c r="LU278" s="53"/>
      <c r="LV278" s="53"/>
      <c r="LW278" s="53"/>
      <c r="LX278" s="53"/>
      <c r="LY278" s="53"/>
      <c r="LZ278" s="53"/>
      <c r="MA278" s="53"/>
      <c r="MB278" s="53"/>
      <c r="MC278" s="53"/>
      <c r="MD278" s="53"/>
      <c r="ME278" s="53"/>
      <c r="MF278" s="53"/>
      <c r="MG278" s="53"/>
      <c r="MH278" s="53"/>
      <c r="MI278" s="53"/>
      <c r="MJ278" s="53"/>
      <c r="MK278" s="53"/>
      <c r="ML278" s="53"/>
      <c r="MM278" s="53"/>
      <c r="MN278" s="53"/>
      <c r="MO278" s="53"/>
      <c r="MP278" s="53"/>
      <c r="MQ278" s="53"/>
      <c r="MR278" s="53"/>
      <c r="MS278" s="53"/>
      <c r="MT278" s="53"/>
      <c r="MU278" s="53"/>
      <c r="MV278" s="53"/>
      <c r="MW278" s="53"/>
      <c r="MX278" s="53"/>
      <c r="MY278" s="53"/>
      <c r="MZ278" s="53"/>
      <c r="NA278" s="53"/>
      <c r="NB278" s="53"/>
      <c r="NC278" s="53"/>
      <c r="ND278" s="53"/>
      <c r="NE278" s="53"/>
      <c r="NF278" s="53"/>
      <c r="NG278" s="53"/>
      <c r="NH278" s="53"/>
      <c r="NI278" s="53"/>
      <c r="NJ278" s="53"/>
      <c r="NK278" s="53"/>
      <c r="NL278" s="53"/>
      <c r="NM278" s="53"/>
      <c r="NN278" s="53"/>
      <c r="NO278" s="53"/>
      <c r="NP278" s="53"/>
      <c r="NQ278" s="53"/>
      <c r="NR278" s="53"/>
      <c r="NS278" s="53"/>
      <c r="NT278" s="53"/>
      <c r="NU278" s="53"/>
      <c r="NV278" s="53"/>
      <c r="NW278" s="53"/>
      <c r="NX278" s="53"/>
      <c r="NY278" s="53"/>
      <c r="NZ278" s="53"/>
      <c r="OA278" s="53"/>
      <c r="OB278" s="53"/>
      <c r="OC278" s="53"/>
      <c r="OD278" s="53"/>
      <c r="OE278" s="53"/>
      <c r="OF278" s="53"/>
      <c r="OG278" s="53"/>
      <c r="OH278" s="53"/>
      <c r="OI278" s="53"/>
      <c r="OJ278" s="53"/>
      <c r="OK278" s="53"/>
      <c r="OL278" s="53"/>
      <c r="OM278" s="53"/>
      <c r="ON278" s="53"/>
      <c r="OO278" s="53"/>
      <c r="OP278" s="53"/>
      <c r="OQ278" s="53"/>
      <c r="OR278" s="53"/>
      <c r="OS278" s="53"/>
      <c r="OT278" s="53"/>
      <c r="OU278" s="53"/>
      <c r="OV278" s="53"/>
      <c r="OW278" s="53"/>
      <c r="OX278" s="53"/>
      <c r="OY278" s="53"/>
      <c r="OZ278" s="53"/>
      <c r="PA278" s="53"/>
      <c r="PB278" s="53"/>
      <c r="PC278" s="53"/>
      <c r="PD278" s="53"/>
      <c r="PE278" s="53"/>
      <c r="PF278" s="53"/>
      <c r="PG278" s="53"/>
      <c r="PH278" s="53"/>
      <c r="PI278" s="53"/>
      <c r="PJ278" s="53"/>
      <c r="PK278" s="53"/>
      <c r="PL278" s="53"/>
      <c r="PM278" s="53"/>
      <c r="PN278" s="53"/>
      <c r="PO278" s="53"/>
      <c r="PP278" s="53"/>
      <c r="PQ278" s="53"/>
      <c r="PR278" s="53"/>
      <c r="PS278" s="53"/>
      <c r="PT278" s="53"/>
      <c r="PU278" s="53"/>
      <c r="PV278" s="53"/>
      <c r="PW278" s="53"/>
      <c r="PX278" s="53"/>
      <c r="PY278" s="53"/>
      <c r="PZ278" s="53"/>
      <c r="QA278" s="53"/>
      <c r="QB278" s="53"/>
      <c r="QC278" s="53"/>
      <c r="QD278" s="53"/>
      <c r="QE278" s="53"/>
      <c r="QF278" s="53"/>
      <c r="QG278" s="53"/>
      <c r="QH278" s="53"/>
      <c r="QI278" s="53"/>
      <c r="QJ278" s="53"/>
      <c r="QK278" s="53"/>
      <c r="QL278" s="53"/>
      <c r="QM278" s="53"/>
      <c r="QN278" s="53"/>
      <c r="QO278" s="53"/>
      <c r="QP278" s="53"/>
      <c r="QQ278" s="53"/>
      <c r="QR278" s="53"/>
      <c r="QS278" s="53"/>
      <c r="QT278" s="53"/>
      <c r="QU278" s="53"/>
      <c r="QV278" s="53"/>
      <c r="QW278" s="53"/>
      <c r="QX278" s="53"/>
      <c r="QY278" s="53"/>
      <c r="QZ278" s="53"/>
      <c r="RA278" s="53"/>
      <c r="RB278" s="53"/>
      <c r="RC278" s="53"/>
      <c r="RD278" s="53"/>
      <c r="RE278" s="53"/>
      <c r="RF278" s="53"/>
      <c r="RG278" s="53"/>
      <c r="RH278" s="53"/>
      <c r="RI278" s="53"/>
      <c r="RJ278" s="53"/>
      <c r="RK278" s="53"/>
      <c r="RL278" s="53"/>
      <c r="RM278" s="53"/>
      <c r="RN278" s="53"/>
      <c r="RO278" s="53"/>
      <c r="RP278" s="53"/>
      <c r="RQ278" s="53"/>
      <c r="RR278" s="53"/>
      <c r="RS278" s="53"/>
      <c r="RT278" s="53"/>
      <c r="RU278" s="53"/>
      <c r="RV278" s="53"/>
      <c r="RW278" s="53"/>
      <c r="RX278" s="53"/>
      <c r="RY278" s="53"/>
      <c r="RZ278" s="53"/>
      <c r="SA278" s="53"/>
      <c r="SB278" s="53"/>
      <c r="SC278" s="53"/>
      <c r="SD278" s="53"/>
      <c r="SE278" s="53"/>
      <c r="SF278" s="53"/>
      <c r="SG278" s="53"/>
      <c r="SH278" s="53"/>
      <c r="SI278" s="53"/>
      <c r="SJ278" s="53"/>
      <c r="SK278" s="53"/>
      <c r="SL278" s="53"/>
      <c r="SM278" s="53"/>
      <c r="SN278" s="53"/>
      <c r="SO278" s="53"/>
      <c r="SP278" s="53"/>
      <c r="SQ278" s="53"/>
      <c r="SR278" s="53"/>
      <c r="SS278" s="53"/>
      <c r="ST278" s="53"/>
      <c r="SU278" s="53"/>
      <c r="SV278" s="53"/>
      <c r="SW278" s="53"/>
      <c r="SX278" s="53"/>
      <c r="SY278" s="53"/>
      <c r="SZ278" s="53"/>
      <c r="TA278" s="53"/>
      <c r="TB278" s="53"/>
      <c r="TC278" s="53"/>
      <c r="TD278" s="53"/>
      <c r="TE278" s="53"/>
      <c r="TF278" s="53"/>
      <c r="TG278" s="53"/>
      <c r="TH278" s="53"/>
      <c r="TI278" s="53"/>
      <c r="TJ278" s="53"/>
      <c r="TK278" s="53"/>
      <c r="TL278" s="53"/>
      <c r="TM278" s="53"/>
      <c r="TN278" s="53"/>
      <c r="TO278" s="53"/>
      <c r="TP278" s="53"/>
      <c r="TQ278" s="53"/>
      <c r="TR278" s="53"/>
      <c r="TS278" s="53"/>
      <c r="TT278" s="53"/>
      <c r="TU278" s="53"/>
      <c r="TV278" s="53"/>
      <c r="TW278" s="53"/>
      <c r="TX278" s="53"/>
      <c r="TY278" s="53"/>
      <c r="TZ278" s="53"/>
      <c r="UA278" s="53"/>
      <c r="UB278" s="53"/>
      <c r="UC278" s="53"/>
      <c r="UD278" s="53"/>
      <c r="UE278" s="53"/>
      <c r="UF278" s="53"/>
      <c r="UG278" s="53"/>
      <c r="UH278" s="53"/>
      <c r="UI278" s="53"/>
      <c r="UJ278" s="53"/>
      <c r="UK278" s="53"/>
      <c r="UL278" s="53"/>
      <c r="UM278" s="53"/>
      <c r="UN278" s="53"/>
      <c r="UO278" s="53"/>
      <c r="UP278" s="53"/>
      <c r="UQ278" s="53"/>
      <c r="UR278" s="53"/>
      <c r="US278" s="53"/>
      <c r="UT278" s="53"/>
      <c r="UU278" s="53"/>
      <c r="UV278" s="53"/>
      <c r="UW278" s="53"/>
      <c r="UX278" s="53"/>
      <c r="UY278" s="53"/>
      <c r="UZ278" s="53"/>
      <c r="VA278" s="53"/>
      <c r="VB278" s="53"/>
      <c r="VC278" s="53"/>
      <c r="VD278" s="53"/>
      <c r="VE278" s="53"/>
      <c r="VF278" s="53"/>
      <c r="VG278" s="53"/>
      <c r="VH278" s="53"/>
      <c r="VI278" s="53"/>
      <c r="VJ278" s="53"/>
      <c r="VK278" s="53"/>
      <c r="VL278" s="53"/>
    </row>
    <row r="279" spans="1:584" s="47" customFormat="1" ht="10.5" hidden="1" customHeight="1" x14ac:dyDescent="0.25">
      <c r="A279" s="45" t="s">
        <v>519</v>
      </c>
      <c r="B279" s="92" t="str">
        <f>'дод 3'!A170</f>
        <v>7350</v>
      </c>
      <c r="C279" s="92" t="str">
        <f>'дод 3'!B170</f>
        <v>0443</v>
      </c>
      <c r="D279" s="48" t="str">
        <f>'дод 3'!C170</f>
        <v>Розроблення схем планування та забудови територій (містобудівної документації)</v>
      </c>
      <c r="E279" s="115">
        <v>0</v>
      </c>
      <c r="F279" s="115"/>
      <c r="G279" s="115"/>
      <c r="H279" s="115"/>
      <c r="I279" s="115"/>
      <c r="J279" s="115"/>
      <c r="K279" s="164" t="e">
        <f t="shared" si="83"/>
        <v>#DIV/0!</v>
      </c>
      <c r="L279" s="115">
        <f t="shared" si="71"/>
        <v>0</v>
      </c>
      <c r="M279" s="115"/>
      <c r="N279" s="115"/>
      <c r="O279" s="115"/>
      <c r="P279" s="115"/>
      <c r="Q279" s="115"/>
      <c r="R279" s="115">
        <f t="shared" si="72"/>
        <v>0</v>
      </c>
      <c r="S279" s="115"/>
      <c r="T279" s="115"/>
      <c r="U279" s="115"/>
      <c r="V279" s="115"/>
      <c r="W279" s="115"/>
      <c r="X279" s="149" t="e">
        <f t="shared" si="84"/>
        <v>#DIV/0!</v>
      </c>
      <c r="Y279" s="115">
        <f t="shared" si="89"/>
        <v>0</v>
      </c>
      <c r="Z279" s="187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  <c r="GN279" s="53"/>
      <c r="GO279" s="53"/>
      <c r="GP279" s="53"/>
      <c r="GQ279" s="53"/>
      <c r="GR279" s="53"/>
      <c r="GS279" s="53"/>
      <c r="GT279" s="53"/>
      <c r="GU279" s="53"/>
      <c r="GV279" s="53"/>
      <c r="GW279" s="53"/>
      <c r="GX279" s="53"/>
      <c r="GY279" s="53"/>
      <c r="GZ279" s="53"/>
      <c r="HA279" s="53"/>
      <c r="HB279" s="53"/>
      <c r="HC279" s="53"/>
      <c r="HD279" s="53"/>
      <c r="HE279" s="53"/>
      <c r="HF279" s="53"/>
      <c r="HG279" s="53"/>
      <c r="HH279" s="53"/>
      <c r="HI279" s="53"/>
      <c r="HJ279" s="53"/>
      <c r="HK279" s="53"/>
      <c r="HL279" s="53"/>
      <c r="HM279" s="53"/>
      <c r="HN279" s="53"/>
      <c r="HO279" s="53"/>
      <c r="HP279" s="53"/>
      <c r="HQ279" s="53"/>
      <c r="HR279" s="53"/>
      <c r="HS279" s="53"/>
      <c r="HT279" s="53"/>
      <c r="HU279" s="53"/>
      <c r="HV279" s="53"/>
      <c r="HW279" s="53"/>
      <c r="HX279" s="53"/>
      <c r="HY279" s="53"/>
      <c r="HZ279" s="53"/>
      <c r="IA279" s="53"/>
      <c r="IB279" s="53"/>
      <c r="IC279" s="53"/>
      <c r="ID279" s="53"/>
      <c r="IE279" s="53"/>
      <c r="IF279" s="53"/>
      <c r="IG279" s="53"/>
      <c r="IH279" s="53"/>
      <c r="II279" s="53"/>
      <c r="IJ279" s="53"/>
      <c r="IK279" s="53"/>
      <c r="IL279" s="53"/>
      <c r="IM279" s="53"/>
      <c r="IN279" s="53"/>
      <c r="IO279" s="53"/>
      <c r="IP279" s="53"/>
      <c r="IQ279" s="53"/>
      <c r="IR279" s="53"/>
      <c r="IS279" s="53"/>
      <c r="IT279" s="53"/>
      <c r="IU279" s="53"/>
      <c r="IV279" s="53"/>
      <c r="IW279" s="53"/>
      <c r="IX279" s="53"/>
      <c r="IY279" s="53"/>
      <c r="IZ279" s="53"/>
      <c r="JA279" s="53"/>
      <c r="JB279" s="53"/>
      <c r="JC279" s="53"/>
      <c r="JD279" s="53"/>
      <c r="JE279" s="53"/>
      <c r="JF279" s="53"/>
      <c r="JG279" s="53"/>
      <c r="JH279" s="53"/>
      <c r="JI279" s="53"/>
      <c r="JJ279" s="53"/>
      <c r="JK279" s="53"/>
      <c r="JL279" s="53"/>
      <c r="JM279" s="53"/>
      <c r="JN279" s="53"/>
      <c r="JO279" s="53"/>
      <c r="JP279" s="53"/>
      <c r="JQ279" s="53"/>
      <c r="JR279" s="53"/>
      <c r="JS279" s="53"/>
      <c r="JT279" s="53"/>
      <c r="JU279" s="53"/>
      <c r="JV279" s="53"/>
      <c r="JW279" s="53"/>
      <c r="JX279" s="53"/>
      <c r="JY279" s="53"/>
      <c r="JZ279" s="53"/>
      <c r="KA279" s="53"/>
      <c r="KB279" s="53"/>
      <c r="KC279" s="53"/>
      <c r="KD279" s="53"/>
      <c r="KE279" s="53"/>
      <c r="KF279" s="53"/>
      <c r="KG279" s="53"/>
      <c r="KH279" s="53"/>
      <c r="KI279" s="53"/>
      <c r="KJ279" s="53"/>
      <c r="KK279" s="53"/>
      <c r="KL279" s="53"/>
      <c r="KM279" s="53"/>
      <c r="KN279" s="53"/>
      <c r="KO279" s="53"/>
      <c r="KP279" s="53"/>
      <c r="KQ279" s="53"/>
      <c r="KR279" s="53"/>
      <c r="KS279" s="53"/>
      <c r="KT279" s="53"/>
      <c r="KU279" s="53"/>
      <c r="KV279" s="53"/>
      <c r="KW279" s="53"/>
      <c r="KX279" s="53"/>
      <c r="KY279" s="53"/>
      <c r="KZ279" s="53"/>
      <c r="LA279" s="53"/>
      <c r="LB279" s="53"/>
      <c r="LC279" s="53"/>
      <c r="LD279" s="53"/>
      <c r="LE279" s="53"/>
      <c r="LF279" s="53"/>
      <c r="LG279" s="53"/>
      <c r="LH279" s="53"/>
      <c r="LI279" s="53"/>
      <c r="LJ279" s="53"/>
      <c r="LK279" s="53"/>
      <c r="LL279" s="53"/>
      <c r="LM279" s="53"/>
      <c r="LN279" s="53"/>
      <c r="LO279" s="53"/>
      <c r="LP279" s="53"/>
      <c r="LQ279" s="53"/>
      <c r="LR279" s="53"/>
      <c r="LS279" s="53"/>
      <c r="LT279" s="53"/>
      <c r="LU279" s="53"/>
      <c r="LV279" s="53"/>
      <c r="LW279" s="53"/>
      <c r="LX279" s="53"/>
      <c r="LY279" s="53"/>
      <c r="LZ279" s="53"/>
      <c r="MA279" s="53"/>
      <c r="MB279" s="53"/>
      <c r="MC279" s="53"/>
      <c r="MD279" s="53"/>
      <c r="ME279" s="53"/>
      <c r="MF279" s="53"/>
      <c r="MG279" s="53"/>
      <c r="MH279" s="53"/>
      <c r="MI279" s="53"/>
      <c r="MJ279" s="53"/>
      <c r="MK279" s="53"/>
      <c r="ML279" s="53"/>
      <c r="MM279" s="53"/>
      <c r="MN279" s="53"/>
      <c r="MO279" s="53"/>
      <c r="MP279" s="53"/>
      <c r="MQ279" s="53"/>
      <c r="MR279" s="53"/>
      <c r="MS279" s="53"/>
      <c r="MT279" s="53"/>
      <c r="MU279" s="53"/>
      <c r="MV279" s="53"/>
      <c r="MW279" s="53"/>
      <c r="MX279" s="53"/>
      <c r="MY279" s="53"/>
      <c r="MZ279" s="53"/>
      <c r="NA279" s="53"/>
      <c r="NB279" s="53"/>
      <c r="NC279" s="53"/>
      <c r="ND279" s="53"/>
      <c r="NE279" s="53"/>
      <c r="NF279" s="53"/>
      <c r="NG279" s="53"/>
      <c r="NH279" s="53"/>
      <c r="NI279" s="53"/>
      <c r="NJ279" s="53"/>
      <c r="NK279" s="53"/>
      <c r="NL279" s="53"/>
      <c r="NM279" s="53"/>
      <c r="NN279" s="53"/>
      <c r="NO279" s="53"/>
      <c r="NP279" s="53"/>
      <c r="NQ279" s="53"/>
      <c r="NR279" s="53"/>
      <c r="NS279" s="53"/>
      <c r="NT279" s="53"/>
      <c r="NU279" s="53"/>
      <c r="NV279" s="53"/>
      <c r="NW279" s="53"/>
      <c r="NX279" s="53"/>
      <c r="NY279" s="53"/>
      <c r="NZ279" s="53"/>
      <c r="OA279" s="53"/>
      <c r="OB279" s="53"/>
      <c r="OC279" s="53"/>
      <c r="OD279" s="53"/>
      <c r="OE279" s="53"/>
      <c r="OF279" s="53"/>
      <c r="OG279" s="53"/>
      <c r="OH279" s="53"/>
      <c r="OI279" s="53"/>
      <c r="OJ279" s="53"/>
      <c r="OK279" s="53"/>
      <c r="OL279" s="53"/>
      <c r="OM279" s="53"/>
      <c r="ON279" s="53"/>
      <c r="OO279" s="53"/>
      <c r="OP279" s="53"/>
      <c r="OQ279" s="53"/>
      <c r="OR279" s="53"/>
      <c r="OS279" s="53"/>
      <c r="OT279" s="53"/>
      <c r="OU279" s="53"/>
      <c r="OV279" s="53"/>
      <c r="OW279" s="53"/>
      <c r="OX279" s="53"/>
      <c r="OY279" s="53"/>
      <c r="OZ279" s="53"/>
      <c r="PA279" s="53"/>
      <c r="PB279" s="53"/>
      <c r="PC279" s="53"/>
      <c r="PD279" s="53"/>
      <c r="PE279" s="53"/>
      <c r="PF279" s="53"/>
      <c r="PG279" s="53"/>
      <c r="PH279" s="53"/>
      <c r="PI279" s="53"/>
      <c r="PJ279" s="53"/>
      <c r="PK279" s="53"/>
      <c r="PL279" s="53"/>
      <c r="PM279" s="53"/>
      <c r="PN279" s="53"/>
      <c r="PO279" s="53"/>
      <c r="PP279" s="53"/>
      <c r="PQ279" s="53"/>
      <c r="PR279" s="53"/>
      <c r="PS279" s="53"/>
      <c r="PT279" s="53"/>
      <c r="PU279" s="53"/>
      <c r="PV279" s="53"/>
      <c r="PW279" s="53"/>
      <c r="PX279" s="53"/>
      <c r="PY279" s="53"/>
      <c r="PZ279" s="53"/>
      <c r="QA279" s="53"/>
      <c r="QB279" s="53"/>
      <c r="QC279" s="53"/>
      <c r="QD279" s="53"/>
      <c r="QE279" s="53"/>
      <c r="QF279" s="53"/>
      <c r="QG279" s="53"/>
      <c r="QH279" s="53"/>
      <c r="QI279" s="53"/>
      <c r="QJ279" s="53"/>
      <c r="QK279" s="53"/>
      <c r="QL279" s="53"/>
      <c r="QM279" s="53"/>
      <c r="QN279" s="53"/>
      <c r="QO279" s="53"/>
      <c r="QP279" s="53"/>
      <c r="QQ279" s="53"/>
      <c r="QR279" s="53"/>
      <c r="QS279" s="53"/>
      <c r="QT279" s="53"/>
      <c r="QU279" s="53"/>
      <c r="QV279" s="53"/>
      <c r="QW279" s="53"/>
      <c r="QX279" s="53"/>
      <c r="QY279" s="53"/>
      <c r="QZ279" s="53"/>
      <c r="RA279" s="53"/>
      <c r="RB279" s="53"/>
      <c r="RC279" s="53"/>
      <c r="RD279" s="53"/>
      <c r="RE279" s="53"/>
      <c r="RF279" s="53"/>
      <c r="RG279" s="53"/>
      <c r="RH279" s="53"/>
      <c r="RI279" s="53"/>
      <c r="RJ279" s="53"/>
      <c r="RK279" s="53"/>
      <c r="RL279" s="53"/>
      <c r="RM279" s="53"/>
      <c r="RN279" s="53"/>
      <c r="RO279" s="53"/>
      <c r="RP279" s="53"/>
      <c r="RQ279" s="53"/>
      <c r="RR279" s="53"/>
      <c r="RS279" s="53"/>
      <c r="RT279" s="53"/>
      <c r="RU279" s="53"/>
      <c r="RV279" s="53"/>
      <c r="RW279" s="53"/>
      <c r="RX279" s="53"/>
      <c r="RY279" s="53"/>
      <c r="RZ279" s="53"/>
      <c r="SA279" s="53"/>
      <c r="SB279" s="53"/>
      <c r="SC279" s="53"/>
      <c r="SD279" s="53"/>
      <c r="SE279" s="53"/>
      <c r="SF279" s="53"/>
      <c r="SG279" s="53"/>
      <c r="SH279" s="53"/>
      <c r="SI279" s="53"/>
      <c r="SJ279" s="53"/>
      <c r="SK279" s="53"/>
      <c r="SL279" s="53"/>
      <c r="SM279" s="53"/>
      <c r="SN279" s="53"/>
      <c r="SO279" s="53"/>
      <c r="SP279" s="53"/>
      <c r="SQ279" s="53"/>
      <c r="SR279" s="53"/>
      <c r="SS279" s="53"/>
      <c r="ST279" s="53"/>
      <c r="SU279" s="53"/>
      <c r="SV279" s="53"/>
      <c r="SW279" s="53"/>
      <c r="SX279" s="53"/>
      <c r="SY279" s="53"/>
      <c r="SZ279" s="53"/>
      <c r="TA279" s="53"/>
      <c r="TB279" s="53"/>
      <c r="TC279" s="53"/>
      <c r="TD279" s="53"/>
      <c r="TE279" s="53"/>
      <c r="TF279" s="53"/>
      <c r="TG279" s="53"/>
      <c r="TH279" s="53"/>
      <c r="TI279" s="53"/>
      <c r="TJ279" s="53"/>
      <c r="TK279" s="53"/>
      <c r="TL279" s="53"/>
      <c r="TM279" s="53"/>
      <c r="TN279" s="53"/>
      <c r="TO279" s="53"/>
      <c r="TP279" s="53"/>
      <c r="TQ279" s="53"/>
      <c r="TR279" s="53"/>
      <c r="TS279" s="53"/>
      <c r="TT279" s="53"/>
      <c r="TU279" s="53"/>
      <c r="TV279" s="53"/>
      <c r="TW279" s="53"/>
      <c r="TX279" s="53"/>
      <c r="TY279" s="53"/>
      <c r="TZ279" s="53"/>
      <c r="UA279" s="53"/>
      <c r="UB279" s="53"/>
      <c r="UC279" s="53"/>
      <c r="UD279" s="53"/>
      <c r="UE279" s="53"/>
      <c r="UF279" s="53"/>
      <c r="UG279" s="53"/>
      <c r="UH279" s="53"/>
      <c r="UI279" s="53"/>
      <c r="UJ279" s="53"/>
      <c r="UK279" s="53"/>
      <c r="UL279" s="53"/>
      <c r="UM279" s="53"/>
      <c r="UN279" s="53"/>
      <c r="UO279" s="53"/>
      <c r="UP279" s="53"/>
      <c r="UQ279" s="53"/>
      <c r="UR279" s="53"/>
      <c r="US279" s="53"/>
      <c r="UT279" s="53"/>
      <c r="UU279" s="53"/>
      <c r="UV279" s="53"/>
      <c r="UW279" s="53"/>
      <c r="UX279" s="53"/>
      <c r="UY279" s="53"/>
      <c r="UZ279" s="53"/>
      <c r="VA279" s="53"/>
      <c r="VB279" s="53"/>
      <c r="VC279" s="53"/>
      <c r="VD279" s="53"/>
      <c r="VE279" s="53"/>
      <c r="VF279" s="53"/>
      <c r="VG279" s="53"/>
      <c r="VH279" s="53"/>
      <c r="VI279" s="53"/>
      <c r="VJ279" s="53"/>
      <c r="VK279" s="53"/>
      <c r="VL279" s="53"/>
    </row>
    <row r="280" spans="1:584" s="47" customFormat="1" ht="39" customHeight="1" x14ac:dyDescent="0.25">
      <c r="A280" s="45" t="s">
        <v>551</v>
      </c>
      <c r="B280" s="92" t="str">
        <f>'дод 3'!A174</f>
        <v>7370</v>
      </c>
      <c r="C280" s="92" t="str">
        <f>'дод 3'!B174</f>
        <v>0490</v>
      </c>
      <c r="D280" s="48" t="str">
        <f>'дод 3'!C174</f>
        <v>Реалізація інших заходів щодо соціально-економічного розвитку територій</v>
      </c>
      <c r="E280" s="115">
        <v>903615</v>
      </c>
      <c r="F280" s="115"/>
      <c r="G280" s="115"/>
      <c r="H280" s="115">
        <v>833615</v>
      </c>
      <c r="I280" s="115"/>
      <c r="J280" s="115"/>
      <c r="K280" s="164">
        <f t="shared" si="83"/>
        <v>92.253337981330546</v>
      </c>
      <c r="L280" s="115">
        <f t="shared" si="71"/>
        <v>0</v>
      </c>
      <c r="M280" s="115"/>
      <c r="N280" s="115"/>
      <c r="O280" s="115"/>
      <c r="P280" s="115"/>
      <c r="Q280" s="115"/>
      <c r="R280" s="115">
        <f t="shared" si="72"/>
        <v>0</v>
      </c>
      <c r="S280" s="115"/>
      <c r="T280" s="115"/>
      <c r="U280" s="115"/>
      <c r="V280" s="115"/>
      <c r="W280" s="115"/>
      <c r="X280" s="149"/>
      <c r="Y280" s="115">
        <f t="shared" si="89"/>
        <v>833615</v>
      </c>
      <c r="Z280" s="187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  <c r="GB280" s="53"/>
      <c r="GC280" s="53"/>
      <c r="GD280" s="53"/>
      <c r="GE280" s="53"/>
      <c r="GF280" s="53"/>
      <c r="GG280" s="53"/>
      <c r="GH280" s="53"/>
      <c r="GI280" s="53"/>
      <c r="GJ280" s="53"/>
      <c r="GK280" s="53"/>
      <c r="GL280" s="53"/>
      <c r="GM280" s="53"/>
      <c r="GN280" s="53"/>
      <c r="GO280" s="53"/>
      <c r="GP280" s="53"/>
      <c r="GQ280" s="53"/>
      <c r="GR280" s="53"/>
      <c r="GS280" s="53"/>
      <c r="GT280" s="53"/>
      <c r="GU280" s="53"/>
      <c r="GV280" s="53"/>
      <c r="GW280" s="53"/>
      <c r="GX280" s="53"/>
      <c r="GY280" s="53"/>
      <c r="GZ280" s="53"/>
      <c r="HA280" s="53"/>
      <c r="HB280" s="53"/>
      <c r="HC280" s="53"/>
      <c r="HD280" s="53"/>
      <c r="HE280" s="53"/>
      <c r="HF280" s="53"/>
      <c r="HG280" s="53"/>
      <c r="HH280" s="53"/>
      <c r="HI280" s="53"/>
      <c r="HJ280" s="53"/>
      <c r="HK280" s="53"/>
      <c r="HL280" s="53"/>
      <c r="HM280" s="53"/>
      <c r="HN280" s="53"/>
      <c r="HO280" s="53"/>
      <c r="HP280" s="53"/>
      <c r="HQ280" s="53"/>
      <c r="HR280" s="53"/>
      <c r="HS280" s="53"/>
      <c r="HT280" s="53"/>
      <c r="HU280" s="53"/>
      <c r="HV280" s="53"/>
      <c r="HW280" s="53"/>
      <c r="HX280" s="53"/>
      <c r="HY280" s="53"/>
      <c r="HZ280" s="53"/>
      <c r="IA280" s="53"/>
      <c r="IB280" s="53"/>
      <c r="IC280" s="53"/>
      <c r="ID280" s="53"/>
      <c r="IE280" s="53"/>
      <c r="IF280" s="53"/>
      <c r="IG280" s="53"/>
      <c r="IH280" s="53"/>
      <c r="II280" s="53"/>
      <c r="IJ280" s="53"/>
      <c r="IK280" s="53"/>
      <c r="IL280" s="53"/>
      <c r="IM280" s="53"/>
      <c r="IN280" s="53"/>
      <c r="IO280" s="53"/>
      <c r="IP280" s="53"/>
      <c r="IQ280" s="53"/>
      <c r="IR280" s="53"/>
      <c r="IS280" s="53"/>
      <c r="IT280" s="53"/>
      <c r="IU280" s="53"/>
      <c r="IV280" s="53"/>
      <c r="IW280" s="53"/>
      <c r="IX280" s="53"/>
      <c r="IY280" s="53"/>
      <c r="IZ280" s="53"/>
      <c r="JA280" s="53"/>
      <c r="JB280" s="53"/>
      <c r="JC280" s="53"/>
      <c r="JD280" s="53"/>
      <c r="JE280" s="53"/>
      <c r="JF280" s="53"/>
      <c r="JG280" s="53"/>
      <c r="JH280" s="53"/>
      <c r="JI280" s="53"/>
      <c r="JJ280" s="53"/>
      <c r="JK280" s="53"/>
      <c r="JL280" s="53"/>
      <c r="JM280" s="53"/>
      <c r="JN280" s="53"/>
      <c r="JO280" s="53"/>
      <c r="JP280" s="53"/>
      <c r="JQ280" s="53"/>
      <c r="JR280" s="53"/>
      <c r="JS280" s="53"/>
      <c r="JT280" s="53"/>
      <c r="JU280" s="53"/>
      <c r="JV280" s="53"/>
      <c r="JW280" s="53"/>
      <c r="JX280" s="53"/>
      <c r="JY280" s="53"/>
      <c r="JZ280" s="53"/>
      <c r="KA280" s="53"/>
      <c r="KB280" s="53"/>
      <c r="KC280" s="53"/>
      <c r="KD280" s="53"/>
      <c r="KE280" s="53"/>
      <c r="KF280" s="53"/>
      <c r="KG280" s="53"/>
      <c r="KH280" s="53"/>
      <c r="KI280" s="53"/>
      <c r="KJ280" s="53"/>
      <c r="KK280" s="53"/>
      <c r="KL280" s="53"/>
      <c r="KM280" s="53"/>
      <c r="KN280" s="53"/>
      <c r="KO280" s="53"/>
      <c r="KP280" s="53"/>
      <c r="KQ280" s="53"/>
      <c r="KR280" s="53"/>
      <c r="KS280" s="53"/>
      <c r="KT280" s="53"/>
      <c r="KU280" s="53"/>
      <c r="KV280" s="53"/>
      <c r="KW280" s="53"/>
      <c r="KX280" s="53"/>
      <c r="KY280" s="53"/>
      <c r="KZ280" s="53"/>
      <c r="LA280" s="53"/>
      <c r="LB280" s="53"/>
      <c r="LC280" s="53"/>
      <c r="LD280" s="53"/>
      <c r="LE280" s="53"/>
      <c r="LF280" s="53"/>
      <c r="LG280" s="53"/>
      <c r="LH280" s="53"/>
      <c r="LI280" s="53"/>
      <c r="LJ280" s="53"/>
      <c r="LK280" s="53"/>
      <c r="LL280" s="53"/>
      <c r="LM280" s="53"/>
      <c r="LN280" s="53"/>
      <c r="LO280" s="53"/>
      <c r="LP280" s="53"/>
      <c r="LQ280" s="53"/>
      <c r="LR280" s="53"/>
      <c r="LS280" s="53"/>
      <c r="LT280" s="53"/>
      <c r="LU280" s="53"/>
      <c r="LV280" s="53"/>
      <c r="LW280" s="53"/>
      <c r="LX280" s="53"/>
      <c r="LY280" s="53"/>
      <c r="LZ280" s="53"/>
      <c r="MA280" s="53"/>
      <c r="MB280" s="53"/>
      <c r="MC280" s="53"/>
      <c r="MD280" s="53"/>
      <c r="ME280" s="53"/>
      <c r="MF280" s="53"/>
      <c r="MG280" s="53"/>
      <c r="MH280" s="53"/>
      <c r="MI280" s="53"/>
      <c r="MJ280" s="53"/>
      <c r="MK280" s="53"/>
      <c r="ML280" s="53"/>
      <c r="MM280" s="53"/>
      <c r="MN280" s="53"/>
      <c r="MO280" s="53"/>
      <c r="MP280" s="53"/>
      <c r="MQ280" s="53"/>
      <c r="MR280" s="53"/>
      <c r="MS280" s="53"/>
      <c r="MT280" s="53"/>
      <c r="MU280" s="53"/>
      <c r="MV280" s="53"/>
      <c r="MW280" s="53"/>
      <c r="MX280" s="53"/>
      <c r="MY280" s="53"/>
      <c r="MZ280" s="53"/>
      <c r="NA280" s="53"/>
      <c r="NB280" s="53"/>
      <c r="NC280" s="53"/>
      <c r="ND280" s="53"/>
      <c r="NE280" s="53"/>
      <c r="NF280" s="53"/>
      <c r="NG280" s="53"/>
      <c r="NH280" s="53"/>
      <c r="NI280" s="53"/>
      <c r="NJ280" s="53"/>
      <c r="NK280" s="53"/>
      <c r="NL280" s="53"/>
      <c r="NM280" s="53"/>
      <c r="NN280" s="53"/>
      <c r="NO280" s="53"/>
      <c r="NP280" s="53"/>
      <c r="NQ280" s="53"/>
      <c r="NR280" s="53"/>
      <c r="NS280" s="53"/>
      <c r="NT280" s="53"/>
      <c r="NU280" s="53"/>
      <c r="NV280" s="53"/>
      <c r="NW280" s="53"/>
      <c r="NX280" s="53"/>
      <c r="NY280" s="53"/>
      <c r="NZ280" s="53"/>
      <c r="OA280" s="53"/>
      <c r="OB280" s="53"/>
      <c r="OC280" s="53"/>
      <c r="OD280" s="53"/>
      <c r="OE280" s="53"/>
      <c r="OF280" s="53"/>
      <c r="OG280" s="53"/>
      <c r="OH280" s="53"/>
      <c r="OI280" s="53"/>
      <c r="OJ280" s="53"/>
      <c r="OK280" s="53"/>
      <c r="OL280" s="53"/>
      <c r="OM280" s="53"/>
      <c r="ON280" s="53"/>
      <c r="OO280" s="53"/>
      <c r="OP280" s="53"/>
      <c r="OQ280" s="53"/>
      <c r="OR280" s="53"/>
      <c r="OS280" s="53"/>
      <c r="OT280" s="53"/>
      <c r="OU280" s="53"/>
      <c r="OV280" s="53"/>
      <c r="OW280" s="53"/>
      <c r="OX280" s="53"/>
      <c r="OY280" s="53"/>
      <c r="OZ280" s="53"/>
      <c r="PA280" s="53"/>
      <c r="PB280" s="53"/>
      <c r="PC280" s="53"/>
      <c r="PD280" s="53"/>
      <c r="PE280" s="53"/>
      <c r="PF280" s="53"/>
      <c r="PG280" s="53"/>
      <c r="PH280" s="53"/>
      <c r="PI280" s="53"/>
      <c r="PJ280" s="53"/>
      <c r="PK280" s="53"/>
      <c r="PL280" s="53"/>
      <c r="PM280" s="53"/>
      <c r="PN280" s="53"/>
      <c r="PO280" s="53"/>
      <c r="PP280" s="53"/>
      <c r="PQ280" s="53"/>
      <c r="PR280" s="53"/>
      <c r="PS280" s="53"/>
      <c r="PT280" s="53"/>
      <c r="PU280" s="53"/>
      <c r="PV280" s="53"/>
      <c r="PW280" s="53"/>
      <c r="PX280" s="53"/>
      <c r="PY280" s="53"/>
      <c r="PZ280" s="53"/>
      <c r="QA280" s="53"/>
      <c r="QB280" s="53"/>
      <c r="QC280" s="53"/>
      <c r="QD280" s="53"/>
      <c r="QE280" s="53"/>
      <c r="QF280" s="53"/>
      <c r="QG280" s="53"/>
      <c r="QH280" s="53"/>
      <c r="QI280" s="53"/>
      <c r="QJ280" s="53"/>
      <c r="QK280" s="53"/>
      <c r="QL280" s="53"/>
      <c r="QM280" s="53"/>
      <c r="QN280" s="53"/>
      <c r="QO280" s="53"/>
      <c r="QP280" s="53"/>
      <c r="QQ280" s="53"/>
      <c r="QR280" s="53"/>
      <c r="QS280" s="53"/>
      <c r="QT280" s="53"/>
      <c r="QU280" s="53"/>
      <c r="QV280" s="53"/>
      <c r="QW280" s="53"/>
      <c r="QX280" s="53"/>
      <c r="QY280" s="53"/>
      <c r="QZ280" s="53"/>
      <c r="RA280" s="53"/>
      <c r="RB280" s="53"/>
      <c r="RC280" s="53"/>
      <c r="RD280" s="53"/>
      <c r="RE280" s="53"/>
      <c r="RF280" s="53"/>
      <c r="RG280" s="53"/>
      <c r="RH280" s="53"/>
      <c r="RI280" s="53"/>
      <c r="RJ280" s="53"/>
      <c r="RK280" s="53"/>
      <c r="RL280" s="53"/>
      <c r="RM280" s="53"/>
      <c r="RN280" s="53"/>
      <c r="RO280" s="53"/>
      <c r="RP280" s="53"/>
      <c r="RQ280" s="53"/>
      <c r="RR280" s="53"/>
      <c r="RS280" s="53"/>
      <c r="RT280" s="53"/>
      <c r="RU280" s="53"/>
      <c r="RV280" s="53"/>
      <c r="RW280" s="53"/>
      <c r="RX280" s="53"/>
      <c r="RY280" s="53"/>
      <c r="RZ280" s="53"/>
      <c r="SA280" s="53"/>
      <c r="SB280" s="53"/>
      <c r="SC280" s="53"/>
      <c r="SD280" s="53"/>
      <c r="SE280" s="53"/>
      <c r="SF280" s="53"/>
      <c r="SG280" s="53"/>
      <c r="SH280" s="53"/>
      <c r="SI280" s="53"/>
      <c r="SJ280" s="53"/>
      <c r="SK280" s="53"/>
      <c r="SL280" s="53"/>
      <c r="SM280" s="53"/>
      <c r="SN280" s="53"/>
      <c r="SO280" s="53"/>
      <c r="SP280" s="53"/>
      <c r="SQ280" s="53"/>
      <c r="SR280" s="53"/>
      <c r="SS280" s="53"/>
      <c r="ST280" s="53"/>
      <c r="SU280" s="53"/>
      <c r="SV280" s="53"/>
      <c r="SW280" s="53"/>
      <c r="SX280" s="53"/>
      <c r="SY280" s="53"/>
      <c r="SZ280" s="53"/>
      <c r="TA280" s="53"/>
      <c r="TB280" s="53"/>
      <c r="TC280" s="53"/>
      <c r="TD280" s="53"/>
      <c r="TE280" s="53"/>
      <c r="TF280" s="53"/>
      <c r="TG280" s="53"/>
      <c r="TH280" s="53"/>
      <c r="TI280" s="53"/>
      <c r="TJ280" s="53"/>
      <c r="TK280" s="53"/>
      <c r="TL280" s="53"/>
      <c r="TM280" s="53"/>
      <c r="TN280" s="53"/>
      <c r="TO280" s="53"/>
      <c r="TP280" s="53"/>
      <c r="TQ280" s="53"/>
      <c r="TR280" s="53"/>
      <c r="TS280" s="53"/>
      <c r="TT280" s="53"/>
      <c r="TU280" s="53"/>
      <c r="TV280" s="53"/>
      <c r="TW280" s="53"/>
      <c r="TX280" s="53"/>
      <c r="TY280" s="53"/>
      <c r="TZ280" s="53"/>
      <c r="UA280" s="53"/>
      <c r="UB280" s="53"/>
      <c r="UC280" s="53"/>
      <c r="UD280" s="53"/>
      <c r="UE280" s="53"/>
      <c r="UF280" s="53"/>
      <c r="UG280" s="53"/>
      <c r="UH280" s="53"/>
      <c r="UI280" s="53"/>
      <c r="UJ280" s="53"/>
      <c r="UK280" s="53"/>
      <c r="UL280" s="53"/>
      <c r="UM280" s="53"/>
      <c r="UN280" s="53"/>
      <c r="UO280" s="53"/>
      <c r="UP280" s="53"/>
      <c r="UQ280" s="53"/>
      <c r="UR280" s="53"/>
      <c r="US280" s="53"/>
      <c r="UT280" s="53"/>
      <c r="UU280" s="53"/>
      <c r="UV280" s="53"/>
      <c r="UW280" s="53"/>
      <c r="UX280" s="53"/>
      <c r="UY280" s="53"/>
      <c r="UZ280" s="53"/>
      <c r="VA280" s="53"/>
      <c r="VB280" s="53"/>
      <c r="VC280" s="53"/>
      <c r="VD280" s="53"/>
      <c r="VE280" s="53"/>
      <c r="VF280" s="53"/>
      <c r="VG280" s="53"/>
      <c r="VH280" s="53"/>
      <c r="VI280" s="53"/>
      <c r="VJ280" s="53"/>
      <c r="VK280" s="53"/>
      <c r="VL280" s="53"/>
    </row>
    <row r="281" spans="1:584" s="47" customFormat="1" ht="90" x14ac:dyDescent="0.25">
      <c r="A281" s="49" t="s">
        <v>389</v>
      </c>
      <c r="B281" s="94" t="str">
        <f>'дод 3'!A194</f>
        <v>7691</v>
      </c>
      <c r="C281" s="94" t="str">
        <f>'дод 3'!B194</f>
        <v>0490</v>
      </c>
      <c r="D281" s="46" t="s">
        <v>413</v>
      </c>
      <c r="E281" s="115">
        <v>0</v>
      </c>
      <c r="F281" s="115"/>
      <c r="G281" s="115"/>
      <c r="H281" s="115"/>
      <c r="I281" s="115"/>
      <c r="J281" s="115"/>
      <c r="K281" s="135"/>
      <c r="L281" s="115">
        <f t="shared" si="71"/>
        <v>2019807.3399999999</v>
      </c>
      <c r="M281" s="115"/>
      <c r="N281" s="115">
        <f>369000+719807.34</f>
        <v>1088807.3399999999</v>
      </c>
      <c r="O281" s="115"/>
      <c r="P281" s="115"/>
      <c r="Q281" s="115">
        <f>901000+30000</f>
        <v>931000</v>
      </c>
      <c r="R281" s="115">
        <f t="shared" si="72"/>
        <v>877002.51</v>
      </c>
      <c r="S281" s="115"/>
      <c r="T281" s="115"/>
      <c r="U281" s="115"/>
      <c r="V281" s="115"/>
      <c r="W281" s="115">
        <v>877002.51</v>
      </c>
      <c r="X281" s="166">
        <f t="shared" si="84"/>
        <v>43.420107088035444</v>
      </c>
      <c r="Y281" s="115">
        <f t="shared" si="89"/>
        <v>877002.51</v>
      </c>
      <c r="Z281" s="187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  <c r="GN281" s="53"/>
      <c r="GO281" s="53"/>
      <c r="GP281" s="53"/>
      <c r="GQ281" s="53"/>
      <c r="GR281" s="53"/>
      <c r="GS281" s="53"/>
      <c r="GT281" s="53"/>
      <c r="GU281" s="53"/>
      <c r="GV281" s="53"/>
      <c r="GW281" s="53"/>
      <c r="GX281" s="53"/>
      <c r="GY281" s="53"/>
      <c r="GZ281" s="53"/>
      <c r="HA281" s="53"/>
      <c r="HB281" s="53"/>
      <c r="HC281" s="53"/>
      <c r="HD281" s="53"/>
      <c r="HE281" s="53"/>
      <c r="HF281" s="53"/>
      <c r="HG281" s="53"/>
      <c r="HH281" s="53"/>
      <c r="HI281" s="53"/>
      <c r="HJ281" s="53"/>
      <c r="HK281" s="53"/>
      <c r="HL281" s="53"/>
      <c r="HM281" s="53"/>
      <c r="HN281" s="53"/>
      <c r="HO281" s="53"/>
      <c r="HP281" s="53"/>
      <c r="HQ281" s="53"/>
      <c r="HR281" s="53"/>
      <c r="HS281" s="53"/>
      <c r="HT281" s="53"/>
      <c r="HU281" s="53"/>
      <c r="HV281" s="53"/>
      <c r="HW281" s="53"/>
      <c r="HX281" s="53"/>
      <c r="HY281" s="53"/>
      <c r="HZ281" s="53"/>
      <c r="IA281" s="53"/>
      <c r="IB281" s="53"/>
      <c r="IC281" s="53"/>
      <c r="ID281" s="53"/>
      <c r="IE281" s="53"/>
      <c r="IF281" s="53"/>
      <c r="IG281" s="53"/>
      <c r="IH281" s="53"/>
      <c r="II281" s="53"/>
      <c r="IJ281" s="53"/>
      <c r="IK281" s="53"/>
      <c r="IL281" s="53"/>
      <c r="IM281" s="53"/>
      <c r="IN281" s="53"/>
      <c r="IO281" s="53"/>
      <c r="IP281" s="53"/>
      <c r="IQ281" s="53"/>
      <c r="IR281" s="53"/>
      <c r="IS281" s="53"/>
      <c r="IT281" s="53"/>
      <c r="IU281" s="53"/>
      <c r="IV281" s="53"/>
      <c r="IW281" s="53"/>
      <c r="IX281" s="53"/>
      <c r="IY281" s="53"/>
      <c r="IZ281" s="53"/>
      <c r="JA281" s="53"/>
      <c r="JB281" s="53"/>
      <c r="JC281" s="53"/>
      <c r="JD281" s="53"/>
      <c r="JE281" s="53"/>
      <c r="JF281" s="53"/>
      <c r="JG281" s="53"/>
      <c r="JH281" s="53"/>
      <c r="JI281" s="53"/>
      <c r="JJ281" s="53"/>
      <c r="JK281" s="53"/>
      <c r="JL281" s="53"/>
      <c r="JM281" s="53"/>
      <c r="JN281" s="53"/>
      <c r="JO281" s="53"/>
      <c r="JP281" s="53"/>
      <c r="JQ281" s="53"/>
      <c r="JR281" s="53"/>
      <c r="JS281" s="53"/>
      <c r="JT281" s="53"/>
      <c r="JU281" s="53"/>
      <c r="JV281" s="53"/>
      <c r="JW281" s="53"/>
      <c r="JX281" s="53"/>
      <c r="JY281" s="53"/>
      <c r="JZ281" s="53"/>
      <c r="KA281" s="53"/>
      <c r="KB281" s="53"/>
      <c r="KC281" s="53"/>
      <c r="KD281" s="53"/>
      <c r="KE281" s="53"/>
      <c r="KF281" s="53"/>
      <c r="KG281" s="53"/>
      <c r="KH281" s="53"/>
      <c r="KI281" s="53"/>
      <c r="KJ281" s="53"/>
      <c r="KK281" s="53"/>
      <c r="KL281" s="53"/>
      <c r="KM281" s="53"/>
      <c r="KN281" s="53"/>
      <c r="KO281" s="53"/>
      <c r="KP281" s="53"/>
      <c r="KQ281" s="53"/>
      <c r="KR281" s="53"/>
      <c r="KS281" s="53"/>
      <c r="KT281" s="53"/>
      <c r="KU281" s="53"/>
      <c r="KV281" s="53"/>
      <c r="KW281" s="53"/>
      <c r="KX281" s="53"/>
      <c r="KY281" s="53"/>
      <c r="KZ281" s="53"/>
      <c r="LA281" s="53"/>
      <c r="LB281" s="53"/>
      <c r="LC281" s="53"/>
      <c r="LD281" s="53"/>
      <c r="LE281" s="53"/>
      <c r="LF281" s="53"/>
      <c r="LG281" s="53"/>
      <c r="LH281" s="53"/>
      <c r="LI281" s="53"/>
      <c r="LJ281" s="53"/>
      <c r="LK281" s="53"/>
      <c r="LL281" s="53"/>
      <c r="LM281" s="53"/>
      <c r="LN281" s="53"/>
      <c r="LO281" s="53"/>
      <c r="LP281" s="53"/>
      <c r="LQ281" s="53"/>
      <c r="LR281" s="53"/>
      <c r="LS281" s="53"/>
      <c r="LT281" s="53"/>
      <c r="LU281" s="53"/>
      <c r="LV281" s="53"/>
      <c r="LW281" s="53"/>
      <c r="LX281" s="53"/>
      <c r="LY281" s="53"/>
      <c r="LZ281" s="53"/>
      <c r="MA281" s="53"/>
      <c r="MB281" s="53"/>
      <c r="MC281" s="53"/>
      <c r="MD281" s="53"/>
      <c r="ME281" s="53"/>
      <c r="MF281" s="53"/>
      <c r="MG281" s="53"/>
      <c r="MH281" s="53"/>
      <c r="MI281" s="53"/>
      <c r="MJ281" s="53"/>
      <c r="MK281" s="53"/>
      <c r="ML281" s="53"/>
      <c r="MM281" s="53"/>
      <c r="MN281" s="53"/>
      <c r="MO281" s="53"/>
      <c r="MP281" s="53"/>
      <c r="MQ281" s="53"/>
      <c r="MR281" s="53"/>
      <c r="MS281" s="53"/>
      <c r="MT281" s="53"/>
      <c r="MU281" s="53"/>
      <c r="MV281" s="53"/>
      <c r="MW281" s="53"/>
      <c r="MX281" s="53"/>
      <c r="MY281" s="53"/>
      <c r="MZ281" s="53"/>
      <c r="NA281" s="53"/>
      <c r="NB281" s="53"/>
      <c r="NC281" s="53"/>
      <c r="ND281" s="53"/>
      <c r="NE281" s="53"/>
      <c r="NF281" s="53"/>
      <c r="NG281" s="53"/>
      <c r="NH281" s="53"/>
      <c r="NI281" s="53"/>
      <c r="NJ281" s="53"/>
      <c r="NK281" s="53"/>
      <c r="NL281" s="53"/>
      <c r="NM281" s="53"/>
      <c r="NN281" s="53"/>
      <c r="NO281" s="53"/>
      <c r="NP281" s="53"/>
      <c r="NQ281" s="53"/>
      <c r="NR281" s="53"/>
      <c r="NS281" s="53"/>
      <c r="NT281" s="53"/>
      <c r="NU281" s="53"/>
      <c r="NV281" s="53"/>
      <c r="NW281" s="53"/>
      <c r="NX281" s="53"/>
      <c r="NY281" s="53"/>
      <c r="NZ281" s="53"/>
      <c r="OA281" s="53"/>
      <c r="OB281" s="53"/>
      <c r="OC281" s="53"/>
      <c r="OD281" s="53"/>
      <c r="OE281" s="53"/>
      <c r="OF281" s="53"/>
      <c r="OG281" s="53"/>
      <c r="OH281" s="53"/>
      <c r="OI281" s="53"/>
      <c r="OJ281" s="53"/>
      <c r="OK281" s="53"/>
      <c r="OL281" s="53"/>
      <c r="OM281" s="53"/>
      <c r="ON281" s="53"/>
      <c r="OO281" s="53"/>
      <c r="OP281" s="53"/>
      <c r="OQ281" s="53"/>
      <c r="OR281" s="53"/>
      <c r="OS281" s="53"/>
      <c r="OT281" s="53"/>
      <c r="OU281" s="53"/>
      <c r="OV281" s="53"/>
      <c r="OW281" s="53"/>
      <c r="OX281" s="53"/>
      <c r="OY281" s="53"/>
      <c r="OZ281" s="53"/>
      <c r="PA281" s="53"/>
      <c r="PB281" s="53"/>
      <c r="PC281" s="53"/>
      <c r="PD281" s="53"/>
      <c r="PE281" s="53"/>
      <c r="PF281" s="53"/>
      <c r="PG281" s="53"/>
      <c r="PH281" s="53"/>
      <c r="PI281" s="53"/>
      <c r="PJ281" s="53"/>
      <c r="PK281" s="53"/>
      <c r="PL281" s="53"/>
      <c r="PM281" s="53"/>
      <c r="PN281" s="53"/>
      <c r="PO281" s="53"/>
      <c r="PP281" s="53"/>
      <c r="PQ281" s="53"/>
      <c r="PR281" s="53"/>
      <c r="PS281" s="53"/>
      <c r="PT281" s="53"/>
      <c r="PU281" s="53"/>
      <c r="PV281" s="53"/>
      <c r="PW281" s="53"/>
      <c r="PX281" s="53"/>
      <c r="PY281" s="53"/>
      <c r="PZ281" s="53"/>
      <c r="QA281" s="53"/>
      <c r="QB281" s="53"/>
      <c r="QC281" s="53"/>
      <c r="QD281" s="53"/>
      <c r="QE281" s="53"/>
      <c r="QF281" s="53"/>
      <c r="QG281" s="53"/>
      <c r="QH281" s="53"/>
      <c r="QI281" s="53"/>
      <c r="QJ281" s="53"/>
      <c r="QK281" s="53"/>
      <c r="QL281" s="53"/>
      <c r="QM281" s="53"/>
      <c r="QN281" s="53"/>
      <c r="QO281" s="53"/>
      <c r="QP281" s="53"/>
      <c r="QQ281" s="53"/>
      <c r="QR281" s="53"/>
      <c r="QS281" s="53"/>
      <c r="QT281" s="53"/>
      <c r="QU281" s="53"/>
      <c r="QV281" s="53"/>
      <c r="QW281" s="53"/>
      <c r="QX281" s="53"/>
      <c r="QY281" s="53"/>
      <c r="QZ281" s="53"/>
      <c r="RA281" s="53"/>
      <c r="RB281" s="53"/>
      <c r="RC281" s="53"/>
      <c r="RD281" s="53"/>
      <c r="RE281" s="53"/>
      <c r="RF281" s="53"/>
      <c r="RG281" s="53"/>
      <c r="RH281" s="53"/>
      <c r="RI281" s="53"/>
      <c r="RJ281" s="53"/>
      <c r="RK281" s="53"/>
      <c r="RL281" s="53"/>
      <c r="RM281" s="53"/>
      <c r="RN281" s="53"/>
      <c r="RO281" s="53"/>
      <c r="RP281" s="53"/>
      <c r="RQ281" s="53"/>
      <c r="RR281" s="53"/>
      <c r="RS281" s="53"/>
      <c r="RT281" s="53"/>
      <c r="RU281" s="53"/>
      <c r="RV281" s="53"/>
      <c r="RW281" s="53"/>
      <c r="RX281" s="53"/>
      <c r="RY281" s="53"/>
      <c r="RZ281" s="53"/>
      <c r="SA281" s="53"/>
      <c r="SB281" s="53"/>
      <c r="SC281" s="53"/>
      <c r="SD281" s="53"/>
      <c r="SE281" s="53"/>
      <c r="SF281" s="53"/>
      <c r="SG281" s="53"/>
      <c r="SH281" s="53"/>
      <c r="SI281" s="53"/>
      <c r="SJ281" s="53"/>
      <c r="SK281" s="53"/>
      <c r="SL281" s="53"/>
      <c r="SM281" s="53"/>
      <c r="SN281" s="53"/>
      <c r="SO281" s="53"/>
      <c r="SP281" s="53"/>
      <c r="SQ281" s="53"/>
      <c r="SR281" s="53"/>
      <c r="SS281" s="53"/>
      <c r="ST281" s="53"/>
      <c r="SU281" s="53"/>
      <c r="SV281" s="53"/>
      <c r="SW281" s="53"/>
      <c r="SX281" s="53"/>
      <c r="SY281" s="53"/>
      <c r="SZ281" s="53"/>
      <c r="TA281" s="53"/>
      <c r="TB281" s="53"/>
      <c r="TC281" s="53"/>
      <c r="TD281" s="53"/>
      <c r="TE281" s="53"/>
      <c r="TF281" s="53"/>
      <c r="TG281" s="53"/>
      <c r="TH281" s="53"/>
      <c r="TI281" s="53"/>
      <c r="TJ281" s="53"/>
      <c r="TK281" s="53"/>
      <c r="TL281" s="53"/>
      <c r="TM281" s="53"/>
      <c r="TN281" s="53"/>
      <c r="TO281" s="53"/>
      <c r="TP281" s="53"/>
      <c r="TQ281" s="53"/>
      <c r="TR281" s="53"/>
      <c r="TS281" s="53"/>
      <c r="TT281" s="53"/>
      <c r="TU281" s="53"/>
      <c r="TV281" s="53"/>
      <c r="TW281" s="53"/>
      <c r="TX281" s="53"/>
      <c r="TY281" s="53"/>
      <c r="TZ281" s="53"/>
      <c r="UA281" s="53"/>
      <c r="UB281" s="53"/>
      <c r="UC281" s="53"/>
      <c r="UD281" s="53"/>
      <c r="UE281" s="53"/>
      <c r="UF281" s="53"/>
      <c r="UG281" s="53"/>
      <c r="UH281" s="53"/>
      <c r="UI281" s="53"/>
      <c r="UJ281" s="53"/>
      <c r="UK281" s="53"/>
      <c r="UL281" s="53"/>
      <c r="UM281" s="53"/>
      <c r="UN281" s="53"/>
      <c r="UO281" s="53"/>
      <c r="UP281" s="53"/>
      <c r="UQ281" s="53"/>
      <c r="UR281" s="53"/>
      <c r="US281" s="53"/>
      <c r="UT281" s="53"/>
      <c r="UU281" s="53"/>
      <c r="UV281" s="53"/>
      <c r="UW281" s="53"/>
      <c r="UX281" s="53"/>
      <c r="UY281" s="53"/>
      <c r="UZ281" s="53"/>
      <c r="VA281" s="53"/>
      <c r="VB281" s="53"/>
      <c r="VC281" s="53"/>
      <c r="VD281" s="53"/>
      <c r="VE281" s="53"/>
      <c r="VF281" s="53"/>
      <c r="VG281" s="53"/>
      <c r="VH281" s="53"/>
      <c r="VI281" s="53"/>
      <c r="VJ281" s="53"/>
      <c r="VK281" s="53"/>
      <c r="VL281" s="53"/>
    </row>
    <row r="282" spans="1:584" s="64" customFormat="1" ht="36.75" customHeight="1" x14ac:dyDescent="0.25">
      <c r="A282" s="62" t="s">
        <v>278</v>
      </c>
      <c r="B282" s="97"/>
      <c r="C282" s="97"/>
      <c r="D282" s="63" t="s">
        <v>65</v>
      </c>
      <c r="E282" s="116">
        <f>E283</f>
        <v>4313300</v>
      </c>
      <c r="F282" s="116">
        <f t="shared" ref="F282:Y283" si="90">F283</f>
        <v>3337422</v>
      </c>
      <c r="G282" s="116">
        <f t="shared" si="90"/>
        <v>51274</v>
      </c>
      <c r="H282" s="116">
        <f>H283</f>
        <v>4252879.4000000004</v>
      </c>
      <c r="I282" s="116">
        <f t="shared" si="90"/>
        <v>3335339.07</v>
      </c>
      <c r="J282" s="116">
        <f t="shared" si="90"/>
        <v>41707.94</v>
      </c>
      <c r="K282" s="135">
        <f t="shared" si="83"/>
        <v>98.599202466788782</v>
      </c>
      <c r="L282" s="116">
        <f t="shared" si="90"/>
        <v>15000</v>
      </c>
      <c r="M282" s="116">
        <f t="shared" si="90"/>
        <v>15000</v>
      </c>
      <c r="N282" s="116">
        <f t="shared" si="90"/>
        <v>0</v>
      </c>
      <c r="O282" s="116">
        <f t="shared" si="90"/>
        <v>0</v>
      </c>
      <c r="P282" s="116">
        <f t="shared" si="90"/>
        <v>0</v>
      </c>
      <c r="Q282" s="116">
        <f t="shared" si="90"/>
        <v>15000</v>
      </c>
      <c r="R282" s="116">
        <f t="shared" si="90"/>
        <v>0</v>
      </c>
      <c r="S282" s="116">
        <f t="shared" si="90"/>
        <v>0</v>
      </c>
      <c r="T282" s="116">
        <f t="shared" si="90"/>
        <v>0</v>
      </c>
      <c r="U282" s="116">
        <f t="shared" si="90"/>
        <v>0</v>
      </c>
      <c r="V282" s="116">
        <f t="shared" si="90"/>
        <v>0</v>
      </c>
      <c r="W282" s="116">
        <f t="shared" si="90"/>
        <v>0</v>
      </c>
      <c r="X282" s="149">
        <f t="shared" si="84"/>
        <v>0</v>
      </c>
      <c r="Y282" s="116">
        <f t="shared" si="90"/>
        <v>4252879.4000000004</v>
      </c>
      <c r="Z282" s="187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79"/>
      <c r="CQ282" s="79"/>
      <c r="CR282" s="79"/>
      <c r="CS282" s="79"/>
      <c r="CT282" s="79"/>
      <c r="CU282" s="79"/>
      <c r="CV282" s="79"/>
      <c r="CW282" s="79"/>
      <c r="CX282" s="79"/>
      <c r="CY282" s="79"/>
      <c r="CZ282" s="79"/>
      <c r="DA282" s="79"/>
      <c r="DB282" s="79"/>
      <c r="DC282" s="79"/>
      <c r="DD282" s="79"/>
      <c r="DE282" s="79"/>
      <c r="DF282" s="79"/>
      <c r="DG282" s="79"/>
      <c r="DH282" s="79"/>
      <c r="DI282" s="79"/>
      <c r="DJ282" s="79"/>
      <c r="DK282" s="79"/>
      <c r="DL282" s="79"/>
      <c r="DM282" s="79"/>
      <c r="DN282" s="79"/>
      <c r="DO282" s="79"/>
      <c r="DP282" s="79"/>
      <c r="DQ282" s="79"/>
      <c r="DR282" s="79"/>
      <c r="DS282" s="79"/>
      <c r="DT282" s="79"/>
      <c r="DU282" s="79"/>
      <c r="DV282" s="79"/>
      <c r="DW282" s="79"/>
      <c r="DX282" s="79"/>
      <c r="DY282" s="79"/>
      <c r="DZ282" s="79"/>
      <c r="EA282" s="79"/>
      <c r="EB282" s="79"/>
      <c r="EC282" s="79"/>
      <c r="ED282" s="79"/>
      <c r="EE282" s="79"/>
      <c r="EF282" s="79"/>
      <c r="EG282" s="79"/>
      <c r="EH282" s="79"/>
      <c r="EI282" s="79"/>
      <c r="EJ282" s="79"/>
      <c r="EK282" s="79"/>
      <c r="EL282" s="79"/>
      <c r="EM282" s="79"/>
      <c r="EN282" s="79"/>
      <c r="EO282" s="79"/>
      <c r="EP282" s="79"/>
      <c r="EQ282" s="79"/>
      <c r="ER282" s="79"/>
      <c r="ES282" s="79"/>
      <c r="ET282" s="79"/>
      <c r="EU282" s="79"/>
      <c r="EV282" s="79"/>
      <c r="EW282" s="79"/>
      <c r="EX282" s="79"/>
      <c r="EY282" s="79"/>
      <c r="EZ282" s="79"/>
      <c r="FA282" s="79"/>
      <c r="FB282" s="79"/>
      <c r="FC282" s="79"/>
      <c r="FD282" s="79"/>
      <c r="FE282" s="79"/>
      <c r="FF282" s="79"/>
      <c r="FG282" s="79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79"/>
      <c r="FU282" s="79"/>
      <c r="FV282" s="79"/>
      <c r="FW282" s="79"/>
      <c r="FX282" s="79"/>
      <c r="FY282" s="79"/>
      <c r="FZ282" s="79"/>
      <c r="GA282" s="79"/>
      <c r="GB282" s="79"/>
      <c r="GC282" s="79"/>
      <c r="GD282" s="79"/>
      <c r="GE282" s="79"/>
      <c r="GF282" s="79"/>
      <c r="GG282" s="79"/>
      <c r="GH282" s="79"/>
      <c r="GI282" s="79"/>
      <c r="GJ282" s="79"/>
      <c r="GK282" s="79"/>
      <c r="GL282" s="79"/>
      <c r="GM282" s="79"/>
      <c r="GN282" s="79"/>
      <c r="GO282" s="79"/>
      <c r="GP282" s="79"/>
      <c r="GQ282" s="79"/>
      <c r="GR282" s="79"/>
      <c r="GS282" s="79"/>
      <c r="GT282" s="79"/>
      <c r="GU282" s="79"/>
      <c r="GV282" s="79"/>
      <c r="GW282" s="79"/>
      <c r="GX282" s="79"/>
      <c r="GY282" s="79"/>
      <c r="GZ282" s="79"/>
      <c r="HA282" s="79"/>
      <c r="HB282" s="79"/>
      <c r="HC282" s="79"/>
      <c r="HD282" s="79"/>
      <c r="HE282" s="79"/>
      <c r="HF282" s="79"/>
      <c r="HG282" s="79"/>
      <c r="HH282" s="79"/>
      <c r="HI282" s="79"/>
      <c r="HJ282" s="79"/>
      <c r="HK282" s="79"/>
      <c r="HL282" s="79"/>
      <c r="HM282" s="79"/>
      <c r="HN282" s="79"/>
      <c r="HO282" s="79"/>
      <c r="HP282" s="79"/>
      <c r="HQ282" s="79"/>
      <c r="HR282" s="79"/>
      <c r="HS282" s="79"/>
      <c r="HT282" s="79"/>
      <c r="HU282" s="79"/>
      <c r="HV282" s="79"/>
      <c r="HW282" s="79"/>
      <c r="HX282" s="79"/>
      <c r="HY282" s="79"/>
      <c r="HZ282" s="79"/>
      <c r="IA282" s="79"/>
      <c r="IB282" s="79"/>
      <c r="IC282" s="79"/>
      <c r="ID282" s="79"/>
      <c r="IE282" s="79"/>
      <c r="IF282" s="79"/>
      <c r="IG282" s="79"/>
      <c r="IH282" s="79"/>
      <c r="II282" s="79"/>
      <c r="IJ282" s="79"/>
      <c r="IK282" s="79"/>
      <c r="IL282" s="79"/>
      <c r="IM282" s="79"/>
      <c r="IN282" s="79"/>
      <c r="IO282" s="79"/>
      <c r="IP282" s="79"/>
      <c r="IQ282" s="79"/>
      <c r="IR282" s="79"/>
      <c r="IS282" s="79"/>
      <c r="IT282" s="79"/>
      <c r="IU282" s="79"/>
      <c r="IV282" s="79"/>
      <c r="IW282" s="79"/>
      <c r="IX282" s="79"/>
      <c r="IY282" s="79"/>
      <c r="IZ282" s="79"/>
      <c r="JA282" s="79"/>
      <c r="JB282" s="79"/>
      <c r="JC282" s="79"/>
      <c r="JD282" s="79"/>
      <c r="JE282" s="79"/>
      <c r="JF282" s="79"/>
      <c r="JG282" s="79"/>
      <c r="JH282" s="79"/>
      <c r="JI282" s="79"/>
      <c r="JJ282" s="79"/>
      <c r="JK282" s="79"/>
      <c r="JL282" s="79"/>
      <c r="JM282" s="79"/>
      <c r="JN282" s="79"/>
      <c r="JO282" s="79"/>
      <c r="JP282" s="79"/>
      <c r="JQ282" s="79"/>
      <c r="JR282" s="79"/>
      <c r="JS282" s="79"/>
      <c r="JT282" s="79"/>
      <c r="JU282" s="79"/>
      <c r="JV282" s="79"/>
      <c r="JW282" s="79"/>
      <c r="JX282" s="79"/>
      <c r="JY282" s="79"/>
      <c r="JZ282" s="79"/>
      <c r="KA282" s="79"/>
      <c r="KB282" s="79"/>
      <c r="KC282" s="79"/>
      <c r="KD282" s="79"/>
      <c r="KE282" s="79"/>
      <c r="KF282" s="79"/>
      <c r="KG282" s="79"/>
      <c r="KH282" s="79"/>
      <c r="KI282" s="79"/>
      <c r="KJ282" s="79"/>
      <c r="KK282" s="79"/>
      <c r="KL282" s="79"/>
      <c r="KM282" s="79"/>
      <c r="KN282" s="79"/>
      <c r="KO282" s="79"/>
      <c r="KP282" s="79"/>
      <c r="KQ282" s="79"/>
      <c r="KR282" s="79"/>
      <c r="KS282" s="79"/>
      <c r="KT282" s="79"/>
      <c r="KU282" s="79"/>
      <c r="KV282" s="79"/>
      <c r="KW282" s="79"/>
      <c r="KX282" s="79"/>
      <c r="KY282" s="79"/>
      <c r="KZ282" s="79"/>
      <c r="LA282" s="79"/>
      <c r="LB282" s="79"/>
      <c r="LC282" s="79"/>
      <c r="LD282" s="79"/>
      <c r="LE282" s="79"/>
      <c r="LF282" s="79"/>
      <c r="LG282" s="79"/>
      <c r="LH282" s="79"/>
      <c r="LI282" s="79"/>
      <c r="LJ282" s="79"/>
      <c r="LK282" s="79"/>
      <c r="LL282" s="79"/>
      <c r="LM282" s="79"/>
      <c r="LN282" s="79"/>
      <c r="LO282" s="79"/>
      <c r="LP282" s="79"/>
      <c r="LQ282" s="79"/>
      <c r="LR282" s="79"/>
      <c r="LS282" s="79"/>
      <c r="LT282" s="79"/>
      <c r="LU282" s="79"/>
      <c r="LV282" s="79"/>
      <c r="LW282" s="79"/>
      <c r="LX282" s="79"/>
      <c r="LY282" s="79"/>
      <c r="LZ282" s="79"/>
      <c r="MA282" s="79"/>
      <c r="MB282" s="79"/>
      <c r="MC282" s="79"/>
      <c r="MD282" s="79"/>
      <c r="ME282" s="79"/>
      <c r="MF282" s="79"/>
      <c r="MG282" s="79"/>
      <c r="MH282" s="79"/>
      <c r="MI282" s="79"/>
      <c r="MJ282" s="79"/>
      <c r="MK282" s="79"/>
      <c r="ML282" s="79"/>
      <c r="MM282" s="79"/>
      <c r="MN282" s="79"/>
      <c r="MO282" s="79"/>
      <c r="MP282" s="79"/>
      <c r="MQ282" s="79"/>
      <c r="MR282" s="79"/>
      <c r="MS282" s="79"/>
      <c r="MT282" s="79"/>
      <c r="MU282" s="79"/>
      <c r="MV282" s="79"/>
      <c r="MW282" s="79"/>
      <c r="MX282" s="79"/>
      <c r="MY282" s="79"/>
      <c r="MZ282" s="79"/>
      <c r="NA282" s="79"/>
      <c r="NB282" s="79"/>
      <c r="NC282" s="79"/>
      <c r="ND282" s="79"/>
      <c r="NE282" s="79"/>
      <c r="NF282" s="79"/>
      <c r="NG282" s="79"/>
      <c r="NH282" s="79"/>
      <c r="NI282" s="79"/>
      <c r="NJ282" s="79"/>
      <c r="NK282" s="79"/>
      <c r="NL282" s="79"/>
      <c r="NM282" s="79"/>
      <c r="NN282" s="79"/>
      <c r="NO282" s="79"/>
      <c r="NP282" s="79"/>
      <c r="NQ282" s="79"/>
      <c r="NR282" s="79"/>
      <c r="NS282" s="79"/>
      <c r="NT282" s="79"/>
      <c r="NU282" s="79"/>
      <c r="NV282" s="79"/>
      <c r="NW282" s="79"/>
      <c r="NX282" s="79"/>
      <c r="NY282" s="79"/>
      <c r="NZ282" s="79"/>
      <c r="OA282" s="79"/>
      <c r="OB282" s="79"/>
      <c r="OC282" s="79"/>
      <c r="OD282" s="79"/>
      <c r="OE282" s="79"/>
      <c r="OF282" s="79"/>
      <c r="OG282" s="79"/>
      <c r="OH282" s="79"/>
      <c r="OI282" s="79"/>
      <c r="OJ282" s="79"/>
      <c r="OK282" s="79"/>
      <c r="OL282" s="79"/>
      <c r="OM282" s="79"/>
      <c r="ON282" s="79"/>
      <c r="OO282" s="79"/>
      <c r="OP282" s="79"/>
      <c r="OQ282" s="79"/>
      <c r="OR282" s="79"/>
      <c r="OS282" s="79"/>
      <c r="OT282" s="79"/>
      <c r="OU282" s="79"/>
      <c r="OV282" s="79"/>
      <c r="OW282" s="79"/>
      <c r="OX282" s="79"/>
      <c r="OY282" s="79"/>
      <c r="OZ282" s="79"/>
      <c r="PA282" s="79"/>
      <c r="PB282" s="79"/>
      <c r="PC282" s="79"/>
      <c r="PD282" s="79"/>
      <c r="PE282" s="79"/>
      <c r="PF282" s="79"/>
      <c r="PG282" s="79"/>
      <c r="PH282" s="79"/>
      <c r="PI282" s="79"/>
      <c r="PJ282" s="79"/>
      <c r="PK282" s="79"/>
      <c r="PL282" s="79"/>
      <c r="PM282" s="79"/>
      <c r="PN282" s="79"/>
      <c r="PO282" s="79"/>
      <c r="PP282" s="79"/>
      <c r="PQ282" s="79"/>
      <c r="PR282" s="79"/>
      <c r="PS282" s="79"/>
      <c r="PT282" s="79"/>
      <c r="PU282" s="79"/>
      <c r="PV282" s="79"/>
      <c r="PW282" s="79"/>
      <c r="PX282" s="79"/>
      <c r="PY282" s="79"/>
      <c r="PZ282" s="79"/>
      <c r="QA282" s="79"/>
      <c r="QB282" s="79"/>
      <c r="QC282" s="79"/>
      <c r="QD282" s="79"/>
      <c r="QE282" s="79"/>
      <c r="QF282" s="79"/>
      <c r="QG282" s="79"/>
      <c r="QH282" s="79"/>
      <c r="QI282" s="79"/>
      <c r="QJ282" s="79"/>
      <c r="QK282" s="79"/>
      <c r="QL282" s="79"/>
      <c r="QM282" s="79"/>
      <c r="QN282" s="79"/>
      <c r="QO282" s="79"/>
      <c r="QP282" s="79"/>
      <c r="QQ282" s="79"/>
      <c r="QR282" s="79"/>
      <c r="QS282" s="79"/>
      <c r="QT282" s="79"/>
      <c r="QU282" s="79"/>
      <c r="QV282" s="79"/>
      <c r="QW282" s="79"/>
      <c r="QX282" s="79"/>
      <c r="QY282" s="79"/>
      <c r="QZ282" s="79"/>
      <c r="RA282" s="79"/>
      <c r="RB282" s="79"/>
      <c r="RC282" s="79"/>
      <c r="RD282" s="79"/>
      <c r="RE282" s="79"/>
      <c r="RF282" s="79"/>
      <c r="RG282" s="79"/>
      <c r="RH282" s="79"/>
      <c r="RI282" s="79"/>
      <c r="RJ282" s="79"/>
      <c r="RK282" s="79"/>
      <c r="RL282" s="79"/>
      <c r="RM282" s="79"/>
      <c r="RN282" s="79"/>
      <c r="RO282" s="79"/>
      <c r="RP282" s="79"/>
      <c r="RQ282" s="79"/>
      <c r="RR282" s="79"/>
      <c r="RS282" s="79"/>
      <c r="RT282" s="79"/>
      <c r="RU282" s="79"/>
      <c r="RV282" s="79"/>
      <c r="RW282" s="79"/>
      <c r="RX282" s="79"/>
      <c r="RY282" s="79"/>
      <c r="RZ282" s="79"/>
      <c r="SA282" s="79"/>
      <c r="SB282" s="79"/>
      <c r="SC282" s="79"/>
      <c r="SD282" s="79"/>
      <c r="SE282" s="79"/>
      <c r="SF282" s="79"/>
      <c r="SG282" s="79"/>
      <c r="SH282" s="79"/>
      <c r="SI282" s="79"/>
      <c r="SJ282" s="79"/>
      <c r="SK282" s="79"/>
      <c r="SL282" s="79"/>
      <c r="SM282" s="79"/>
      <c r="SN282" s="79"/>
      <c r="SO282" s="79"/>
      <c r="SP282" s="79"/>
      <c r="SQ282" s="79"/>
      <c r="SR282" s="79"/>
      <c r="SS282" s="79"/>
      <c r="ST282" s="79"/>
      <c r="SU282" s="79"/>
      <c r="SV282" s="79"/>
      <c r="SW282" s="79"/>
      <c r="SX282" s="79"/>
      <c r="SY282" s="79"/>
      <c r="SZ282" s="79"/>
      <c r="TA282" s="79"/>
      <c r="TB282" s="79"/>
      <c r="TC282" s="79"/>
      <c r="TD282" s="79"/>
      <c r="TE282" s="79"/>
      <c r="TF282" s="79"/>
      <c r="TG282" s="79"/>
      <c r="TH282" s="79"/>
      <c r="TI282" s="79"/>
      <c r="TJ282" s="79"/>
      <c r="TK282" s="79"/>
      <c r="TL282" s="79"/>
      <c r="TM282" s="79"/>
      <c r="TN282" s="79"/>
      <c r="TO282" s="79"/>
      <c r="TP282" s="79"/>
      <c r="TQ282" s="79"/>
      <c r="TR282" s="79"/>
      <c r="TS282" s="79"/>
      <c r="TT282" s="79"/>
      <c r="TU282" s="79"/>
      <c r="TV282" s="79"/>
      <c r="TW282" s="79"/>
      <c r="TX282" s="79"/>
      <c r="TY282" s="79"/>
      <c r="TZ282" s="79"/>
      <c r="UA282" s="79"/>
      <c r="UB282" s="79"/>
      <c r="UC282" s="79"/>
      <c r="UD282" s="79"/>
      <c r="UE282" s="79"/>
      <c r="UF282" s="79"/>
      <c r="UG282" s="79"/>
      <c r="UH282" s="79"/>
      <c r="UI282" s="79"/>
      <c r="UJ282" s="79"/>
      <c r="UK282" s="79"/>
      <c r="UL282" s="79"/>
      <c r="UM282" s="79"/>
      <c r="UN282" s="79"/>
      <c r="UO282" s="79"/>
      <c r="UP282" s="79"/>
      <c r="UQ282" s="79"/>
      <c r="UR282" s="79"/>
      <c r="US282" s="79"/>
      <c r="UT282" s="79"/>
      <c r="UU282" s="79"/>
      <c r="UV282" s="79"/>
      <c r="UW282" s="79"/>
      <c r="UX282" s="79"/>
      <c r="UY282" s="79"/>
      <c r="UZ282" s="79"/>
      <c r="VA282" s="79"/>
      <c r="VB282" s="79"/>
      <c r="VC282" s="79"/>
      <c r="VD282" s="79"/>
      <c r="VE282" s="79"/>
      <c r="VF282" s="79"/>
      <c r="VG282" s="79"/>
      <c r="VH282" s="79"/>
      <c r="VI282" s="79"/>
      <c r="VJ282" s="79"/>
      <c r="VK282" s="79"/>
      <c r="VL282" s="79"/>
    </row>
    <row r="283" spans="1:584" s="81" customFormat="1" ht="35.25" customHeight="1" x14ac:dyDescent="0.25">
      <c r="A283" s="67" t="s">
        <v>276</v>
      </c>
      <c r="B283" s="98"/>
      <c r="C283" s="98"/>
      <c r="D283" s="68" t="s">
        <v>65</v>
      </c>
      <c r="E283" s="114">
        <f>E284</f>
        <v>4313300</v>
      </c>
      <c r="F283" s="114">
        <f t="shared" si="90"/>
        <v>3337422</v>
      </c>
      <c r="G283" s="114">
        <f t="shared" si="90"/>
        <v>51274</v>
      </c>
      <c r="H283" s="114">
        <f>H284</f>
        <v>4252879.4000000004</v>
      </c>
      <c r="I283" s="114">
        <f t="shared" si="90"/>
        <v>3335339.07</v>
      </c>
      <c r="J283" s="114">
        <f t="shared" si="90"/>
        <v>41707.94</v>
      </c>
      <c r="K283" s="153">
        <f t="shared" si="83"/>
        <v>98.599202466788782</v>
      </c>
      <c r="L283" s="114">
        <f t="shared" si="90"/>
        <v>15000</v>
      </c>
      <c r="M283" s="114">
        <f t="shared" si="90"/>
        <v>15000</v>
      </c>
      <c r="N283" s="114">
        <f t="shared" si="90"/>
        <v>0</v>
      </c>
      <c r="O283" s="114">
        <f t="shared" si="90"/>
        <v>0</v>
      </c>
      <c r="P283" s="114">
        <f t="shared" si="90"/>
        <v>0</v>
      </c>
      <c r="Q283" s="114">
        <f t="shared" si="90"/>
        <v>15000</v>
      </c>
      <c r="R283" s="114">
        <f t="shared" si="90"/>
        <v>0</v>
      </c>
      <c r="S283" s="114">
        <f t="shared" si="90"/>
        <v>0</v>
      </c>
      <c r="T283" s="114">
        <f t="shared" si="90"/>
        <v>0</v>
      </c>
      <c r="U283" s="114">
        <f t="shared" si="90"/>
        <v>0</v>
      </c>
      <c r="V283" s="114">
        <f t="shared" si="90"/>
        <v>0</v>
      </c>
      <c r="W283" s="114">
        <f t="shared" si="90"/>
        <v>0</v>
      </c>
      <c r="X283" s="149">
        <f t="shared" si="84"/>
        <v>0</v>
      </c>
      <c r="Y283" s="114">
        <f t="shared" si="90"/>
        <v>4252879.4000000004</v>
      </c>
      <c r="Z283" s="187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  <c r="DK283" s="80"/>
      <c r="DL283" s="80"/>
      <c r="DM283" s="80"/>
      <c r="DN283" s="80"/>
      <c r="DO283" s="80"/>
      <c r="DP283" s="80"/>
      <c r="DQ283" s="80"/>
      <c r="DR283" s="80"/>
      <c r="DS283" s="80"/>
      <c r="DT283" s="80"/>
      <c r="DU283" s="80"/>
      <c r="DV283" s="80"/>
      <c r="DW283" s="80"/>
      <c r="DX283" s="80"/>
      <c r="DY283" s="80"/>
      <c r="DZ283" s="80"/>
      <c r="EA283" s="80"/>
      <c r="EB283" s="80"/>
      <c r="EC283" s="80"/>
      <c r="ED283" s="80"/>
      <c r="EE283" s="80"/>
      <c r="EF283" s="80"/>
      <c r="EG283" s="80"/>
      <c r="EH283" s="80"/>
      <c r="EI283" s="80"/>
      <c r="EJ283" s="80"/>
      <c r="EK283" s="80"/>
      <c r="EL283" s="80"/>
      <c r="EM283" s="80"/>
      <c r="EN283" s="80"/>
      <c r="EO283" s="80"/>
      <c r="EP283" s="80"/>
      <c r="EQ283" s="80"/>
      <c r="ER283" s="80"/>
      <c r="ES283" s="80"/>
      <c r="ET283" s="80"/>
      <c r="EU283" s="80"/>
      <c r="EV283" s="80"/>
      <c r="EW283" s="80"/>
      <c r="EX283" s="80"/>
      <c r="EY283" s="80"/>
      <c r="EZ283" s="80"/>
      <c r="FA283" s="80"/>
      <c r="FB283" s="80"/>
      <c r="FC283" s="80"/>
      <c r="FD283" s="80"/>
      <c r="FE283" s="80"/>
      <c r="FF283" s="80"/>
      <c r="FG283" s="80"/>
      <c r="FH283" s="80"/>
      <c r="FI283" s="80"/>
      <c r="FJ283" s="80"/>
      <c r="FK283" s="80"/>
      <c r="FL283" s="80"/>
      <c r="FM283" s="80"/>
      <c r="FN283" s="80"/>
      <c r="FO283" s="80"/>
      <c r="FP283" s="80"/>
      <c r="FQ283" s="80"/>
      <c r="FR283" s="80"/>
      <c r="FS283" s="80"/>
      <c r="FT283" s="80"/>
      <c r="FU283" s="80"/>
      <c r="FV283" s="80"/>
      <c r="FW283" s="80"/>
      <c r="FX283" s="80"/>
      <c r="FY283" s="80"/>
      <c r="FZ283" s="80"/>
      <c r="GA283" s="80"/>
      <c r="GB283" s="80"/>
      <c r="GC283" s="80"/>
      <c r="GD283" s="80"/>
      <c r="GE283" s="80"/>
      <c r="GF283" s="80"/>
      <c r="GG283" s="80"/>
      <c r="GH283" s="80"/>
      <c r="GI283" s="80"/>
      <c r="GJ283" s="80"/>
      <c r="GK283" s="80"/>
      <c r="GL283" s="80"/>
      <c r="GM283" s="80"/>
      <c r="GN283" s="80"/>
      <c r="GO283" s="80"/>
      <c r="GP283" s="80"/>
      <c r="GQ283" s="80"/>
      <c r="GR283" s="80"/>
      <c r="GS283" s="80"/>
      <c r="GT283" s="80"/>
      <c r="GU283" s="80"/>
      <c r="GV283" s="80"/>
      <c r="GW283" s="80"/>
      <c r="GX283" s="80"/>
      <c r="GY283" s="80"/>
      <c r="GZ283" s="80"/>
      <c r="HA283" s="80"/>
      <c r="HB283" s="80"/>
      <c r="HC283" s="80"/>
      <c r="HD283" s="80"/>
      <c r="HE283" s="80"/>
      <c r="HF283" s="80"/>
      <c r="HG283" s="80"/>
      <c r="HH283" s="80"/>
      <c r="HI283" s="80"/>
      <c r="HJ283" s="80"/>
      <c r="HK283" s="80"/>
      <c r="HL283" s="80"/>
      <c r="HM283" s="80"/>
      <c r="HN283" s="80"/>
      <c r="HO283" s="80"/>
      <c r="HP283" s="80"/>
      <c r="HQ283" s="80"/>
      <c r="HR283" s="80"/>
      <c r="HS283" s="80"/>
      <c r="HT283" s="80"/>
      <c r="HU283" s="80"/>
      <c r="HV283" s="80"/>
      <c r="HW283" s="80"/>
      <c r="HX283" s="80"/>
      <c r="HY283" s="80"/>
      <c r="HZ283" s="80"/>
      <c r="IA283" s="80"/>
      <c r="IB283" s="80"/>
      <c r="IC283" s="80"/>
      <c r="ID283" s="80"/>
      <c r="IE283" s="80"/>
      <c r="IF283" s="80"/>
      <c r="IG283" s="80"/>
      <c r="IH283" s="80"/>
      <c r="II283" s="80"/>
      <c r="IJ283" s="80"/>
      <c r="IK283" s="80"/>
      <c r="IL283" s="80"/>
      <c r="IM283" s="80"/>
      <c r="IN283" s="80"/>
      <c r="IO283" s="80"/>
      <c r="IP283" s="80"/>
      <c r="IQ283" s="80"/>
      <c r="IR283" s="80"/>
      <c r="IS283" s="80"/>
      <c r="IT283" s="80"/>
      <c r="IU283" s="80"/>
      <c r="IV283" s="80"/>
      <c r="IW283" s="80"/>
      <c r="IX283" s="80"/>
      <c r="IY283" s="80"/>
      <c r="IZ283" s="80"/>
      <c r="JA283" s="80"/>
      <c r="JB283" s="80"/>
      <c r="JC283" s="80"/>
      <c r="JD283" s="80"/>
      <c r="JE283" s="80"/>
      <c r="JF283" s="80"/>
      <c r="JG283" s="80"/>
      <c r="JH283" s="80"/>
      <c r="JI283" s="80"/>
      <c r="JJ283" s="80"/>
      <c r="JK283" s="80"/>
      <c r="JL283" s="80"/>
      <c r="JM283" s="80"/>
      <c r="JN283" s="80"/>
      <c r="JO283" s="80"/>
      <c r="JP283" s="80"/>
      <c r="JQ283" s="80"/>
      <c r="JR283" s="80"/>
      <c r="JS283" s="80"/>
      <c r="JT283" s="80"/>
      <c r="JU283" s="80"/>
      <c r="JV283" s="80"/>
      <c r="JW283" s="80"/>
      <c r="JX283" s="80"/>
      <c r="JY283" s="80"/>
      <c r="JZ283" s="80"/>
      <c r="KA283" s="80"/>
      <c r="KB283" s="80"/>
      <c r="KC283" s="80"/>
      <c r="KD283" s="80"/>
      <c r="KE283" s="80"/>
      <c r="KF283" s="80"/>
      <c r="KG283" s="80"/>
      <c r="KH283" s="80"/>
      <c r="KI283" s="80"/>
      <c r="KJ283" s="80"/>
      <c r="KK283" s="80"/>
      <c r="KL283" s="80"/>
      <c r="KM283" s="80"/>
      <c r="KN283" s="80"/>
      <c r="KO283" s="80"/>
      <c r="KP283" s="80"/>
      <c r="KQ283" s="80"/>
      <c r="KR283" s="80"/>
      <c r="KS283" s="80"/>
      <c r="KT283" s="80"/>
      <c r="KU283" s="80"/>
      <c r="KV283" s="80"/>
      <c r="KW283" s="80"/>
      <c r="KX283" s="80"/>
      <c r="KY283" s="80"/>
      <c r="KZ283" s="80"/>
      <c r="LA283" s="80"/>
      <c r="LB283" s="80"/>
      <c r="LC283" s="80"/>
      <c r="LD283" s="80"/>
      <c r="LE283" s="80"/>
      <c r="LF283" s="80"/>
      <c r="LG283" s="80"/>
      <c r="LH283" s="80"/>
      <c r="LI283" s="80"/>
      <c r="LJ283" s="80"/>
      <c r="LK283" s="80"/>
      <c r="LL283" s="80"/>
      <c r="LM283" s="80"/>
      <c r="LN283" s="80"/>
      <c r="LO283" s="80"/>
      <c r="LP283" s="80"/>
      <c r="LQ283" s="80"/>
      <c r="LR283" s="80"/>
      <c r="LS283" s="80"/>
      <c r="LT283" s="80"/>
      <c r="LU283" s="80"/>
      <c r="LV283" s="80"/>
      <c r="LW283" s="80"/>
      <c r="LX283" s="80"/>
      <c r="LY283" s="80"/>
      <c r="LZ283" s="80"/>
      <c r="MA283" s="80"/>
      <c r="MB283" s="80"/>
      <c r="MC283" s="80"/>
      <c r="MD283" s="80"/>
      <c r="ME283" s="80"/>
      <c r="MF283" s="80"/>
      <c r="MG283" s="80"/>
      <c r="MH283" s="80"/>
      <c r="MI283" s="80"/>
      <c r="MJ283" s="80"/>
      <c r="MK283" s="80"/>
      <c r="ML283" s="80"/>
      <c r="MM283" s="80"/>
      <c r="MN283" s="80"/>
      <c r="MO283" s="80"/>
      <c r="MP283" s="80"/>
      <c r="MQ283" s="80"/>
      <c r="MR283" s="80"/>
      <c r="MS283" s="80"/>
      <c r="MT283" s="80"/>
      <c r="MU283" s="80"/>
      <c r="MV283" s="80"/>
      <c r="MW283" s="80"/>
      <c r="MX283" s="80"/>
      <c r="MY283" s="80"/>
      <c r="MZ283" s="80"/>
      <c r="NA283" s="80"/>
      <c r="NB283" s="80"/>
      <c r="NC283" s="80"/>
      <c r="ND283" s="80"/>
      <c r="NE283" s="80"/>
      <c r="NF283" s="80"/>
      <c r="NG283" s="80"/>
      <c r="NH283" s="80"/>
      <c r="NI283" s="80"/>
      <c r="NJ283" s="80"/>
      <c r="NK283" s="80"/>
      <c r="NL283" s="80"/>
      <c r="NM283" s="80"/>
      <c r="NN283" s="80"/>
      <c r="NO283" s="80"/>
      <c r="NP283" s="80"/>
      <c r="NQ283" s="80"/>
      <c r="NR283" s="80"/>
      <c r="NS283" s="80"/>
      <c r="NT283" s="80"/>
      <c r="NU283" s="80"/>
      <c r="NV283" s="80"/>
      <c r="NW283" s="80"/>
      <c r="NX283" s="80"/>
      <c r="NY283" s="80"/>
      <c r="NZ283" s="80"/>
      <c r="OA283" s="80"/>
      <c r="OB283" s="80"/>
      <c r="OC283" s="80"/>
      <c r="OD283" s="80"/>
      <c r="OE283" s="80"/>
      <c r="OF283" s="80"/>
      <c r="OG283" s="80"/>
      <c r="OH283" s="80"/>
      <c r="OI283" s="80"/>
      <c r="OJ283" s="80"/>
      <c r="OK283" s="80"/>
      <c r="OL283" s="80"/>
      <c r="OM283" s="80"/>
      <c r="ON283" s="80"/>
      <c r="OO283" s="80"/>
      <c r="OP283" s="80"/>
      <c r="OQ283" s="80"/>
      <c r="OR283" s="80"/>
      <c r="OS283" s="80"/>
      <c r="OT283" s="80"/>
      <c r="OU283" s="80"/>
      <c r="OV283" s="80"/>
      <c r="OW283" s="80"/>
      <c r="OX283" s="80"/>
      <c r="OY283" s="80"/>
      <c r="OZ283" s="80"/>
      <c r="PA283" s="80"/>
      <c r="PB283" s="80"/>
      <c r="PC283" s="80"/>
      <c r="PD283" s="80"/>
      <c r="PE283" s="80"/>
      <c r="PF283" s="80"/>
      <c r="PG283" s="80"/>
      <c r="PH283" s="80"/>
      <c r="PI283" s="80"/>
      <c r="PJ283" s="80"/>
      <c r="PK283" s="80"/>
      <c r="PL283" s="80"/>
      <c r="PM283" s="80"/>
      <c r="PN283" s="80"/>
      <c r="PO283" s="80"/>
      <c r="PP283" s="80"/>
      <c r="PQ283" s="80"/>
      <c r="PR283" s="80"/>
      <c r="PS283" s="80"/>
      <c r="PT283" s="80"/>
      <c r="PU283" s="80"/>
      <c r="PV283" s="80"/>
      <c r="PW283" s="80"/>
      <c r="PX283" s="80"/>
      <c r="PY283" s="80"/>
      <c r="PZ283" s="80"/>
      <c r="QA283" s="80"/>
      <c r="QB283" s="80"/>
      <c r="QC283" s="80"/>
      <c r="QD283" s="80"/>
      <c r="QE283" s="80"/>
      <c r="QF283" s="80"/>
      <c r="QG283" s="80"/>
      <c r="QH283" s="80"/>
      <c r="QI283" s="80"/>
      <c r="QJ283" s="80"/>
      <c r="QK283" s="80"/>
      <c r="QL283" s="80"/>
      <c r="QM283" s="80"/>
      <c r="QN283" s="80"/>
      <c r="QO283" s="80"/>
      <c r="QP283" s="80"/>
      <c r="QQ283" s="80"/>
      <c r="QR283" s="80"/>
      <c r="QS283" s="80"/>
      <c r="QT283" s="80"/>
      <c r="QU283" s="80"/>
      <c r="QV283" s="80"/>
      <c r="QW283" s="80"/>
      <c r="QX283" s="80"/>
      <c r="QY283" s="80"/>
      <c r="QZ283" s="80"/>
      <c r="RA283" s="80"/>
      <c r="RB283" s="80"/>
      <c r="RC283" s="80"/>
      <c r="RD283" s="80"/>
      <c r="RE283" s="80"/>
      <c r="RF283" s="80"/>
      <c r="RG283" s="80"/>
      <c r="RH283" s="80"/>
      <c r="RI283" s="80"/>
      <c r="RJ283" s="80"/>
      <c r="RK283" s="80"/>
      <c r="RL283" s="80"/>
      <c r="RM283" s="80"/>
      <c r="RN283" s="80"/>
      <c r="RO283" s="80"/>
      <c r="RP283" s="80"/>
      <c r="RQ283" s="80"/>
      <c r="RR283" s="80"/>
      <c r="RS283" s="80"/>
      <c r="RT283" s="80"/>
      <c r="RU283" s="80"/>
      <c r="RV283" s="80"/>
      <c r="RW283" s="80"/>
      <c r="RX283" s="80"/>
      <c r="RY283" s="80"/>
      <c r="RZ283" s="80"/>
      <c r="SA283" s="80"/>
      <c r="SB283" s="80"/>
      <c r="SC283" s="80"/>
      <c r="SD283" s="80"/>
      <c r="SE283" s="80"/>
      <c r="SF283" s="80"/>
      <c r="SG283" s="80"/>
      <c r="SH283" s="80"/>
      <c r="SI283" s="80"/>
      <c r="SJ283" s="80"/>
      <c r="SK283" s="80"/>
      <c r="SL283" s="80"/>
      <c r="SM283" s="80"/>
      <c r="SN283" s="80"/>
      <c r="SO283" s="80"/>
      <c r="SP283" s="80"/>
      <c r="SQ283" s="80"/>
      <c r="SR283" s="80"/>
      <c r="SS283" s="80"/>
      <c r="ST283" s="80"/>
      <c r="SU283" s="80"/>
      <c r="SV283" s="80"/>
      <c r="SW283" s="80"/>
      <c r="SX283" s="80"/>
      <c r="SY283" s="80"/>
      <c r="SZ283" s="80"/>
      <c r="TA283" s="80"/>
      <c r="TB283" s="80"/>
      <c r="TC283" s="80"/>
      <c r="TD283" s="80"/>
      <c r="TE283" s="80"/>
      <c r="TF283" s="80"/>
      <c r="TG283" s="80"/>
      <c r="TH283" s="80"/>
      <c r="TI283" s="80"/>
      <c r="TJ283" s="80"/>
      <c r="TK283" s="80"/>
      <c r="TL283" s="80"/>
      <c r="TM283" s="80"/>
      <c r="TN283" s="80"/>
      <c r="TO283" s="80"/>
      <c r="TP283" s="80"/>
      <c r="TQ283" s="80"/>
      <c r="TR283" s="80"/>
      <c r="TS283" s="80"/>
      <c r="TT283" s="80"/>
      <c r="TU283" s="80"/>
      <c r="TV283" s="80"/>
      <c r="TW283" s="80"/>
      <c r="TX283" s="80"/>
      <c r="TY283" s="80"/>
      <c r="TZ283" s="80"/>
      <c r="UA283" s="80"/>
      <c r="UB283" s="80"/>
      <c r="UC283" s="80"/>
      <c r="UD283" s="80"/>
      <c r="UE283" s="80"/>
      <c r="UF283" s="80"/>
      <c r="UG283" s="80"/>
      <c r="UH283" s="80"/>
      <c r="UI283" s="80"/>
      <c r="UJ283" s="80"/>
      <c r="UK283" s="80"/>
      <c r="UL283" s="80"/>
      <c r="UM283" s="80"/>
      <c r="UN283" s="80"/>
      <c r="UO283" s="80"/>
      <c r="UP283" s="80"/>
      <c r="UQ283" s="80"/>
      <c r="UR283" s="80"/>
      <c r="US283" s="80"/>
      <c r="UT283" s="80"/>
      <c r="UU283" s="80"/>
      <c r="UV283" s="80"/>
      <c r="UW283" s="80"/>
      <c r="UX283" s="80"/>
      <c r="UY283" s="80"/>
      <c r="UZ283" s="80"/>
      <c r="VA283" s="80"/>
      <c r="VB283" s="80"/>
      <c r="VC283" s="80"/>
      <c r="VD283" s="80"/>
      <c r="VE283" s="80"/>
      <c r="VF283" s="80"/>
      <c r="VG283" s="80"/>
      <c r="VH283" s="80"/>
      <c r="VI283" s="80"/>
      <c r="VJ283" s="80"/>
      <c r="VK283" s="80"/>
      <c r="VL283" s="80"/>
    </row>
    <row r="284" spans="1:584" s="47" customFormat="1" ht="43.5" customHeight="1" x14ac:dyDescent="0.25">
      <c r="A284" s="45" t="s">
        <v>277</v>
      </c>
      <c r="B284" s="91" t="str">
        <f>'дод 3'!A13</f>
        <v>0160</v>
      </c>
      <c r="C284" s="91" t="str">
        <f>'дод 3'!B13</f>
        <v>0111</v>
      </c>
      <c r="D284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84" s="115">
        <v>4313300</v>
      </c>
      <c r="F284" s="115">
        <f>3340172-2750</f>
        <v>3337422</v>
      </c>
      <c r="G284" s="115">
        <f>50452+822</f>
        <v>51274</v>
      </c>
      <c r="H284" s="115">
        <v>4252879.4000000004</v>
      </c>
      <c r="I284" s="115">
        <v>3335339.07</v>
      </c>
      <c r="J284" s="115">
        <v>41707.94</v>
      </c>
      <c r="K284" s="164">
        <f t="shared" si="83"/>
        <v>98.599202466788782</v>
      </c>
      <c r="L284" s="115">
        <f t="shared" si="71"/>
        <v>15000</v>
      </c>
      <c r="M284" s="115">
        <v>15000</v>
      </c>
      <c r="N284" s="115"/>
      <c r="O284" s="115"/>
      <c r="P284" s="115"/>
      <c r="Q284" s="115">
        <f>15000</f>
        <v>15000</v>
      </c>
      <c r="R284" s="115">
        <f t="shared" si="72"/>
        <v>0</v>
      </c>
      <c r="S284" s="115"/>
      <c r="T284" s="115"/>
      <c r="U284" s="115"/>
      <c r="V284" s="115"/>
      <c r="W284" s="115"/>
      <c r="X284" s="149">
        <f t="shared" si="84"/>
        <v>0</v>
      </c>
      <c r="Y284" s="115">
        <f t="shared" ref="Y284" si="91">H284+R284</f>
        <v>4252879.4000000004</v>
      </c>
      <c r="Z284" s="187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3"/>
      <c r="GD284" s="53"/>
      <c r="GE284" s="53"/>
      <c r="GF284" s="53"/>
      <c r="GG284" s="53"/>
      <c r="GH284" s="53"/>
      <c r="GI284" s="53"/>
      <c r="GJ284" s="53"/>
      <c r="GK284" s="53"/>
      <c r="GL284" s="53"/>
      <c r="GM284" s="53"/>
      <c r="GN284" s="53"/>
      <c r="GO284" s="53"/>
      <c r="GP284" s="53"/>
      <c r="GQ284" s="53"/>
      <c r="GR284" s="53"/>
      <c r="GS284" s="53"/>
      <c r="GT284" s="53"/>
      <c r="GU284" s="53"/>
      <c r="GV284" s="53"/>
      <c r="GW284" s="53"/>
      <c r="GX284" s="53"/>
      <c r="GY284" s="53"/>
      <c r="GZ284" s="53"/>
      <c r="HA284" s="53"/>
      <c r="HB284" s="53"/>
      <c r="HC284" s="53"/>
      <c r="HD284" s="53"/>
      <c r="HE284" s="53"/>
      <c r="HF284" s="53"/>
      <c r="HG284" s="53"/>
      <c r="HH284" s="53"/>
      <c r="HI284" s="53"/>
      <c r="HJ284" s="53"/>
      <c r="HK284" s="53"/>
      <c r="HL284" s="53"/>
      <c r="HM284" s="53"/>
      <c r="HN284" s="53"/>
      <c r="HO284" s="53"/>
      <c r="HP284" s="53"/>
      <c r="HQ284" s="53"/>
      <c r="HR284" s="53"/>
      <c r="HS284" s="53"/>
      <c r="HT284" s="53"/>
      <c r="HU284" s="53"/>
      <c r="HV284" s="53"/>
      <c r="HW284" s="53"/>
      <c r="HX284" s="53"/>
      <c r="HY284" s="53"/>
      <c r="HZ284" s="53"/>
      <c r="IA284" s="53"/>
      <c r="IB284" s="53"/>
      <c r="IC284" s="53"/>
      <c r="ID284" s="53"/>
      <c r="IE284" s="53"/>
      <c r="IF284" s="53"/>
      <c r="IG284" s="53"/>
      <c r="IH284" s="53"/>
      <c r="II284" s="53"/>
      <c r="IJ284" s="53"/>
      <c r="IK284" s="53"/>
      <c r="IL284" s="53"/>
      <c r="IM284" s="53"/>
      <c r="IN284" s="53"/>
      <c r="IO284" s="53"/>
      <c r="IP284" s="53"/>
      <c r="IQ284" s="53"/>
      <c r="IR284" s="53"/>
      <c r="IS284" s="53"/>
      <c r="IT284" s="53"/>
      <c r="IU284" s="53"/>
      <c r="IV284" s="53"/>
      <c r="IW284" s="53"/>
      <c r="IX284" s="53"/>
      <c r="IY284" s="53"/>
      <c r="IZ284" s="53"/>
      <c r="JA284" s="53"/>
      <c r="JB284" s="53"/>
      <c r="JC284" s="53"/>
      <c r="JD284" s="53"/>
      <c r="JE284" s="53"/>
      <c r="JF284" s="53"/>
      <c r="JG284" s="53"/>
      <c r="JH284" s="53"/>
      <c r="JI284" s="53"/>
      <c r="JJ284" s="53"/>
      <c r="JK284" s="53"/>
      <c r="JL284" s="53"/>
      <c r="JM284" s="53"/>
      <c r="JN284" s="53"/>
      <c r="JO284" s="53"/>
      <c r="JP284" s="53"/>
      <c r="JQ284" s="53"/>
      <c r="JR284" s="53"/>
      <c r="JS284" s="53"/>
      <c r="JT284" s="53"/>
      <c r="JU284" s="53"/>
      <c r="JV284" s="53"/>
      <c r="JW284" s="53"/>
      <c r="JX284" s="53"/>
      <c r="JY284" s="53"/>
      <c r="JZ284" s="53"/>
      <c r="KA284" s="53"/>
      <c r="KB284" s="53"/>
      <c r="KC284" s="53"/>
      <c r="KD284" s="53"/>
      <c r="KE284" s="53"/>
      <c r="KF284" s="53"/>
      <c r="KG284" s="53"/>
      <c r="KH284" s="53"/>
      <c r="KI284" s="53"/>
      <c r="KJ284" s="53"/>
      <c r="KK284" s="53"/>
      <c r="KL284" s="53"/>
      <c r="KM284" s="53"/>
      <c r="KN284" s="53"/>
      <c r="KO284" s="53"/>
      <c r="KP284" s="53"/>
      <c r="KQ284" s="53"/>
      <c r="KR284" s="53"/>
      <c r="KS284" s="53"/>
      <c r="KT284" s="53"/>
      <c r="KU284" s="53"/>
      <c r="KV284" s="53"/>
      <c r="KW284" s="53"/>
      <c r="KX284" s="53"/>
      <c r="KY284" s="53"/>
      <c r="KZ284" s="53"/>
      <c r="LA284" s="53"/>
      <c r="LB284" s="53"/>
      <c r="LC284" s="53"/>
      <c r="LD284" s="53"/>
      <c r="LE284" s="53"/>
      <c r="LF284" s="53"/>
      <c r="LG284" s="53"/>
      <c r="LH284" s="53"/>
      <c r="LI284" s="53"/>
      <c r="LJ284" s="53"/>
      <c r="LK284" s="53"/>
      <c r="LL284" s="53"/>
      <c r="LM284" s="53"/>
      <c r="LN284" s="53"/>
      <c r="LO284" s="53"/>
      <c r="LP284" s="53"/>
      <c r="LQ284" s="53"/>
      <c r="LR284" s="53"/>
      <c r="LS284" s="53"/>
      <c r="LT284" s="53"/>
      <c r="LU284" s="53"/>
      <c r="LV284" s="53"/>
      <c r="LW284" s="53"/>
      <c r="LX284" s="53"/>
      <c r="LY284" s="53"/>
      <c r="LZ284" s="53"/>
      <c r="MA284" s="53"/>
      <c r="MB284" s="53"/>
      <c r="MC284" s="53"/>
      <c r="MD284" s="53"/>
      <c r="ME284" s="53"/>
      <c r="MF284" s="53"/>
      <c r="MG284" s="53"/>
      <c r="MH284" s="53"/>
      <c r="MI284" s="53"/>
      <c r="MJ284" s="53"/>
      <c r="MK284" s="53"/>
      <c r="ML284" s="53"/>
      <c r="MM284" s="53"/>
      <c r="MN284" s="53"/>
      <c r="MO284" s="53"/>
      <c r="MP284" s="53"/>
      <c r="MQ284" s="53"/>
      <c r="MR284" s="53"/>
      <c r="MS284" s="53"/>
      <c r="MT284" s="53"/>
      <c r="MU284" s="53"/>
      <c r="MV284" s="53"/>
      <c r="MW284" s="53"/>
      <c r="MX284" s="53"/>
      <c r="MY284" s="53"/>
      <c r="MZ284" s="53"/>
      <c r="NA284" s="53"/>
      <c r="NB284" s="53"/>
      <c r="NC284" s="53"/>
      <c r="ND284" s="53"/>
      <c r="NE284" s="53"/>
      <c r="NF284" s="53"/>
      <c r="NG284" s="53"/>
      <c r="NH284" s="53"/>
      <c r="NI284" s="53"/>
      <c r="NJ284" s="53"/>
      <c r="NK284" s="53"/>
      <c r="NL284" s="53"/>
      <c r="NM284" s="53"/>
      <c r="NN284" s="53"/>
      <c r="NO284" s="53"/>
      <c r="NP284" s="53"/>
      <c r="NQ284" s="53"/>
      <c r="NR284" s="53"/>
      <c r="NS284" s="53"/>
      <c r="NT284" s="53"/>
      <c r="NU284" s="53"/>
      <c r="NV284" s="53"/>
      <c r="NW284" s="53"/>
      <c r="NX284" s="53"/>
      <c r="NY284" s="53"/>
      <c r="NZ284" s="53"/>
      <c r="OA284" s="53"/>
      <c r="OB284" s="53"/>
      <c r="OC284" s="53"/>
      <c r="OD284" s="53"/>
      <c r="OE284" s="53"/>
      <c r="OF284" s="53"/>
      <c r="OG284" s="53"/>
      <c r="OH284" s="53"/>
      <c r="OI284" s="53"/>
      <c r="OJ284" s="53"/>
      <c r="OK284" s="53"/>
      <c r="OL284" s="53"/>
      <c r="OM284" s="53"/>
      <c r="ON284" s="53"/>
      <c r="OO284" s="53"/>
      <c r="OP284" s="53"/>
      <c r="OQ284" s="53"/>
      <c r="OR284" s="53"/>
      <c r="OS284" s="53"/>
      <c r="OT284" s="53"/>
      <c r="OU284" s="53"/>
      <c r="OV284" s="53"/>
      <c r="OW284" s="53"/>
      <c r="OX284" s="53"/>
      <c r="OY284" s="53"/>
      <c r="OZ284" s="53"/>
      <c r="PA284" s="53"/>
      <c r="PB284" s="53"/>
      <c r="PC284" s="53"/>
      <c r="PD284" s="53"/>
      <c r="PE284" s="53"/>
      <c r="PF284" s="53"/>
      <c r="PG284" s="53"/>
      <c r="PH284" s="53"/>
      <c r="PI284" s="53"/>
      <c r="PJ284" s="53"/>
      <c r="PK284" s="53"/>
      <c r="PL284" s="53"/>
      <c r="PM284" s="53"/>
      <c r="PN284" s="53"/>
      <c r="PO284" s="53"/>
      <c r="PP284" s="53"/>
      <c r="PQ284" s="53"/>
      <c r="PR284" s="53"/>
      <c r="PS284" s="53"/>
      <c r="PT284" s="53"/>
      <c r="PU284" s="53"/>
      <c r="PV284" s="53"/>
      <c r="PW284" s="53"/>
      <c r="PX284" s="53"/>
      <c r="PY284" s="53"/>
      <c r="PZ284" s="53"/>
      <c r="QA284" s="53"/>
      <c r="QB284" s="53"/>
      <c r="QC284" s="53"/>
      <c r="QD284" s="53"/>
      <c r="QE284" s="53"/>
      <c r="QF284" s="53"/>
      <c r="QG284" s="53"/>
      <c r="QH284" s="53"/>
      <c r="QI284" s="53"/>
      <c r="QJ284" s="53"/>
      <c r="QK284" s="53"/>
      <c r="QL284" s="53"/>
      <c r="QM284" s="53"/>
      <c r="QN284" s="53"/>
      <c r="QO284" s="53"/>
      <c r="QP284" s="53"/>
      <c r="QQ284" s="53"/>
      <c r="QR284" s="53"/>
      <c r="QS284" s="53"/>
      <c r="QT284" s="53"/>
      <c r="QU284" s="53"/>
      <c r="QV284" s="53"/>
      <c r="QW284" s="53"/>
      <c r="QX284" s="53"/>
      <c r="QY284" s="53"/>
      <c r="QZ284" s="53"/>
      <c r="RA284" s="53"/>
      <c r="RB284" s="53"/>
      <c r="RC284" s="53"/>
      <c r="RD284" s="53"/>
      <c r="RE284" s="53"/>
      <c r="RF284" s="53"/>
      <c r="RG284" s="53"/>
      <c r="RH284" s="53"/>
      <c r="RI284" s="53"/>
      <c r="RJ284" s="53"/>
      <c r="RK284" s="53"/>
      <c r="RL284" s="53"/>
      <c r="RM284" s="53"/>
      <c r="RN284" s="53"/>
      <c r="RO284" s="53"/>
      <c r="RP284" s="53"/>
      <c r="RQ284" s="53"/>
      <c r="RR284" s="53"/>
      <c r="RS284" s="53"/>
      <c r="RT284" s="53"/>
      <c r="RU284" s="53"/>
      <c r="RV284" s="53"/>
      <c r="RW284" s="53"/>
      <c r="RX284" s="53"/>
      <c r="RY284" s="53"/>
      <c r="RZ284" s="53"/>
      <c r="SA284" s="53"/>
      <c r="SB284" s="53"/>
      <c r="SC284" s="53"/>
      <c r="SD284" s="53"/>
      <c r="SE284" s="53"/>
      <c r="SF284" s="53"/>
      <c r="SG284" s="53"/>
      <c r="SH284" s="53"/>
      <c r="SI284" s="53"/>
      <c r="SJ284" s="53"/>
      <c r="SK284" s="53"/>
      <c r="SL284" s="53"/>
      <c r="SM284" s="53"/>
      <c r="SN284" s="53"/>
      <c r="SO284" s="53"/>
      <c r="SP284" s="53"/>
      <c r="SQ284" s="53"/>
      <c r="SR284" s="53"/>
      <c r="SS284" s="53"/>
      <c r="ST284" s="53"/>
      <c r="SU284" s="53"/>
      <c r="SV284" s="53"/>
      <c r="SW284" s="53"/>
      <c r="SX284" s="53"/>
      <c r="SY284" s="53"/>
      <c r="SZ284" s="53"/>
      <c r="TA284" s="53"/>
      <c r="TB284" s="53"/>
      <c r="TC284" s="53"/>
      <c r="TD284" s="53"/>
      <c r="TE284" s="53"/>
      <c r="TF284" s="53"/>
      <c r="TG284" s="53"/>
      <c r="TH284" s="53"/>
      <c r="TI284" s="53"/>
      <c r="TJ284" s="53"/>
      <c r="TK284" s="53"/>
      <c r="TL284" s="53"/>
      <c r="TM284" s="53"/>
      <c r="TN284" s="53"/>
      <c r="TO284" s="53"/>
      <c r="TP284" s="53"/>
      <c r="TQ284" s="53"/>
      <c r="TR284" s="53"/>
      <c r="TS284" s="53"/>
      <c r="TT284" s="53"/>
      <c r="TU284" s="53"/>
      <c r="TV284" s="53"/>
      <c r="TW284" s="53"/>
      <c r="TX284" s="53"/>
      <c r="TY284" s="53"/>
      <c r="TZ284" s="53"/>
      <c r="UA284" s="53"/>
      <c r="UB284" s="53"/>
      <c r="UC284" s="53"/>
      <c r="UD284" s="53"/>
      <c r="UE284" s="53"/>
      <c r="UF284" s="53"/>
      <c r="UG284" s="53"/>
      <c r="UH284" s="53"/>
      <c r="UI284" s="53"/>
      <c r="UJ284" s="53"/>
      <c r="UK284" s="53"/>
      <c r="UL284" s="53"/>
      <c r="UM284" s="53"/>
      <c r="UN284" s="53"/>
      <c r="UO284" s="53"/>
      <c r="UP284" s="53"/>
      <c r="UQ284" s="53"/>
      <c r="UR284" s="53"/>
      <c r="US284" s="53"/>
      <c r="UT284" s="53"/>
      <c r="UU284" s="53"/>
      <c r="UV284" s="53"/>
      <c r="UW284" s="53"/>
      <c r="UX284" s="53"/>
      <c r="UY284" s="53"/>
      <c r="UZ284" s="53"/>
      <c r="VA284" s="53"/>
      <c r="VB284" s="53"/>
      <c r="VC284" s="53"/>
      <c r="VD284" s="53"/>
      <c r="VE284" s="53"/>
      <c r="VF284" s="53"/>
      <c r="VG284" s="53"/>
      <c r="VH284" s="53"/>
      <c r="VI284" s="53"/>
      <c r="VJ284" s="53"/>
      <c r="VK284" s="53"/>
      <c r="VL284" s="53"/>
    </row>
    <row r="285" spans="1:584" s="64" customFormat="1" ht="37.5" customHeight="1" x14ac:dyDescent="0.25">
      <c r="A285" s="62" t="s">
        <v>279</v>
      </c>
      <c r="B285" s="97"/>
      <c r="C285" s="97"/>
      <c r="D285" s="63" t="s">
        <v>61</v>
      </c>
      <c r="E285" s="116">
        <f>E286</f>
        <v>20777002</v>
      </c>
      <c r="F285" s="116">
        <f t="shared" ref="F285:Y285" si="92">F286</f>
        <v>14784375</v>
      </c>
      <c r="G285" s="116">
        <f t="shared" si="92"/>
        <v>261800</v>
      </c>
      <c r="H285" s="116">
        <f>H286</f>
        <v>18301863.969999999</v>
      </c>
      <c r="I285" s="116">
        <f t="shared" si="92"/>
        <v>13212558.939999999</v>
      </c>
      <c r="J285" s="116">
        <f t="shared" si="92"/>
        <v>254833.92000000001</v>
      </c>
      <c r="K285" s="135">
        <f t="shared" si="83"/>
        <v>88.087126188850533</v>
      </c>
      <c r="L285" s="116">
        <f t="shared" si="92"/>
        <v>13014103.33</v>
      </c>
      <c r="M285" s="116">
        <f t="shared" si="92"/>
        <v>12963400</v>
      </c>
      <c r="N285" s="116">
        <f t="shared" si="92"/>
        <v>50703.33</v>
      </c>
      <c r="O285" s="116">
        <f t="shared" si="92"/>
        <v>0</v>
      </c>
      <c r="P285" s="116">
        <f t="shared" si="92"/>
        <v>0</v>
      </c>
      <c r="Q285" s="116">
        <f t="shared" si="92"/>
        <v>12963400</v>
      </c>
      <c r="R285" s="116">
        <f t="shared" si="92"/>
        <v>12954723.33</v>
      </c>
      <c r="S285" s="116">
        <f t="shared" si="92"/>
        <v>12901900</v>
      </c>
      <c r="T285" s="116">
        <f t="shared" si="92"/>
        <v>52823.33</v>
      </c>
      <c r="U285" s="116">
        <f t="shared" si="92"/>
        <v>0</v>
      </c>
      <c r="V285" s="116">
        <f t="shared" si="92"/>
        <v>0</v>
      </c>
      <c r="W285" s="116">
        <f t="shared" si="92"/>
        <v>12901900</v>
      </c>
      <c r="X285" s="149">
        <f t="shared" si="84"/>
        <v>99.543725768158637</v>
      </c>
      <c r="Y285" s="116">
        <f t="shared" si="92"/>
        <v>31256587.299999997</v>
      </c>
      <c r="Z285" s="187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79"/>
      <c r="DG285" s="79"/>
      <c r="DH285" s="79"/>
      <c r="DI285" s="79"/>
      <c r="DJ285" s="79"/>
      <c r="DK285" s="79"/>
      <c r="DL285" s="79"/>
      <c r="DM285" s="79"/>
      <c r="DN285" s="79"/>
      <c r="DO285" s="79"/>
      <c r="DP285" s="79"/>
      <c r="DQ285" s="79"/>
      <c r="DR285" s="79"/>
      <c r="DS285" s="79"/>
      <c r="DT285" s="79"/>
      <c r="DU285" s="79"/>
      <c r="DV285" s="79"/>
      <c r="DW285" s="79"/>
      <c r="DX285" s="79"/>
      <c r="DY285" s="79"/>
      <c r="DZ285" s="79"/>
      <c r="EA285" s="79"/>
      <c r="EB285" s="79"/>
      <c r="EC285" s="79"/>
      <c r="ED285" s="79"/>
      <c r="EE285" s="79"/>
      <c r="EF285" s="79"/>
      <c r="EG285" s="79"/>
      <c r="EH285" s="79"/>
      <c r="EI285" s="79"/>
      <c r="EJ285" s="79"/>
      <c r="EK285" s="79"/>
      <c r="EL285" s="79"/>
      <c r="EM285" s="79"/>
      <c r="EN285" s="79"/>
      <c r="EO285" s="79"/>
      <c r="EP285" s="79"/>
      <c r="EQ285" s="79"/>
      <c r="ER285" s="79"/>
      <c r="ES285" s="79"/>
      <c r="ET285" s="79"/>
      <c r="EU285" s="79"/>
      <c r="EV285" s="79"/>
      <c r="EW285" s="79"/>
      <c r="EX285" s="79"/>
      <c r="EY285" s="79"/>
      <c r="EZ285" s="79"/>
      <c r="FA285" s="79"/>
      <c r="FB285" s="79"/>
      <c r="FC285" s="79"/>
      <c r="FD285" s="79"/>
      <c r="FE285" s="79"/>
      <c r="FF285" s="79"/>
      <c r="FG285" s="79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  <c r="FV285" s="79"/>
      <c r="FW285" s="79"/>
      <c r="FX285" s="79"/>
      <c r="FY285" s="79"/>
      <c r="FZ285" s="79"/>
      <c r="GA285" s="79"/>
      <c r="GB285" s="79"/>
      <c r="GC285" s="79"/>
      <c r="GD285" s="79"/>
      <c r="GE285" s="79"/>
      <c r="GF285" s="79"/>
      <c r="GG285" s="79"/>
      <c r="GH285" s="79"/>
      <c r="GI285" s="79"/>
      <c r="GJ285" s="79"/>
      <c r="GK285" s="79"/>
      <c r="GL285" s="79"/>
      <c r="GM285" s="79"/>
      <c r="GN285" s="79"/>
      <c r="GO285" s="79"/>
      <c r="GP285" s="79"/>
      <c r="GQ285" s="79"/>
      <c r="GR285" s="79"/>
      <c r="GS285" s="79"/>
      <c r="GT285" s="79"/>
      <c r="GU285" s="79"/>
      <c r="GV285" s="79"/>
      <c r="GW285" s="79"/>
      <c r="GX285" s="79"/>
      <c r="GY285" s="79"/>
      <c r="GZ285" s="79"/>
      <c r="HA285" s="79"/>
      <c r="HB285" s="79"/>
      <c r="HC285" s="79"/>
      <c r="HD285" s="79"/>
      <c r="HE285" s="79"/>
      <c r="HF285" s="79"/>
      <c r="HG285" s="79"/>
      <c r="HH285" s="79"/>
      <c r="HI285" s="79"/>
      <c r="HJ285" s="79"/>
      <c r="HK285" s="79"/>
      <c r="HL285" s="79"/>
      <c r="HM285" s="79"/>
      <c r="HN285" s="79"/>
      <c r="HO285" s="79"/>
      <c r="HP285" s="79"/>
      <c r="HQ285" s="79"/>
      <c r="HR285" s="79"/>
      <c r="HS285" s="79"/>
      <c r="HT285" s="79"/>
      <c r="HU285" s="79"/>
      <c r="HV285" s="79"/>
      <c r="HW285" s="79"/>
      <c r="HX285" s="79"/>
      <c r="HY285" s="79"/>
      <c r="HZ285" s="79"/>
      <c r="IA285" s="79"/>
      <c r="IB285" s="79"/>
      <c r="IC285" s="79"/>
      <c r="ID285" s="79"/>
      <c r="IE285" s="79"/>
      <c r="IF285" s="79"/>
      <c r="IG285" s="79"/>
      <c r="IH285" s="79"/>
      <c r="II285" s="79"/>
      <c r="IJ285" s="79"/>
      <c r="IK285" s="79"/>
      <c r="IL285" s="79"/>
      <c r="IM285" s="79"/>
      <c r="IN285" s="79"/>
      <c r="IO285" s="79"/>
      <c r="IP285" s="79"/>
      <c r="IQ285" s="79"/>
      <c r="IR285" s="79"/>
      <c r="IS285" s="79"/>
      <c r="IT285" s="79"/>
      <c r="IU285" s="79"/>
      <c r="IV285" s="79"/>
      <c r="IW285" s="79"/>
      <c r="IX285" s="79"/>
      <c r="IY285" s="79"/>
      <c r="IZ285" s="79"/>
      <c r="JA285" s="79"/>
      <c r="JB285" s="79"/>
      <c r="JC285" s="79"/>
      <c r="JD285" s="79"/>
      <c r="JE285" s="79"/>
      <c r="JF285" s="79"/>
      <c r="JG285" s="79"/>
      <c r="JH285" s="79"/>
      <c r="JI285" s="79"/>
      <c r="JJ285" s="79"/>
      <c r="JK285" s="79"/>
      <c r="JL285" s="79"/>
      <c r="JM285" s="79"/>
      <c r="JN285" s="79"/>
      <c r="JO285" s="79"/>
      <c r="JP285" s="79"/>
      <c r="JQ285" s="79"/>
      <c r="JR285" s="79"/>
      <c r="JS285" s="79"/>
      <c r="JT285" s="79"/>
      <c r="JU285" s="79"/>
      <c r="JV285" s="79"/>
      <c r="JW285" s="79"/>
      <c r="JX285" s="79"/>
      <c r="JY285" s="79"/>
      <c r="JZ285" s="79"/>
      <c r="KA285" s="79"/>
      <c r="KB285" s="79"/>
      <c r="KC285" s="79"/>
      <c r="KD285" s="79"/>
      <c r="KE285" s="79"/>
      <c r="KF285" s="79"/>
      <c r="KG285" s="79"/>
      <c r="KH285" s="79"/>
      <c r="KI285" s="79"/>
      <c r="KJ285" s="79"/>
      <c r="KK285" s="79"/>
      <c r="KL285" s="79"/>
      <c r="KM285" s="79"/>
      <c r="KN285" s="79"/>
      <c r="KO285" s="79"/>
      <c r="KP285" s="79"/>
      <c r="KQ285" s="79"/>
      <c r="KR285" s="79"/>
      <c r="KS285" s="79"/>
      <c r="KT285" s="79"/>
      <c r="KU285" s="79"/>
      <c r="KV285" s="79"/>
      <c r="KW285" s="79"/>
      <c r="KX285" s="79"/>
      <c r="KY285" s="79"/>
      <c r="KZ285" s="79"/>
      <c r="LA285" s="79"/>
      <c r="LB285" s="79"/>
      <c r="LC285" s="79"/>
      <c r="LD285" s="79"/>
      <c r="LE285" s="79"/>
      <c r="LF285" s="79"/>
      <c r="LG285" s="79"/>
      <c r="LH285" s="79"/>
      <c r="LI285" s="79"/>
      <c r="LJ285" s="79"/>
      <c r="LK285" s="79"/>
      <c r="LL285" s="79"/>
      <c r="LM285" s="79"/>
      <c r="LN285" s="79"/>
      <c r="LO285" s="79"/>
      <c r="LP285" s="79"/>
      <c r="LQ285" s="79"/>
      <c r="LR285" s="79"/>
      <c r="LS285" s="79"/>
      <c r="LT285" s="79"/>
      <c r="LU285" s="79"/>
      <c r="LV285" s="79"/>
      <c r="LW285" s="79"/>
      <c r="LX285" s="79"/>
      <c r="LY285" s="79"/>
      <c r="LZ285" s="79"/>
      <c r="MA285" s="79"/>
      <c r="MB285" s="79"/>
      <c r="MC285" s="79"/>
      <c r="MD285" s="79"/>
      <c r="ME285" s="79"/>
      <c r="MF285" s="79"/>
      <c r="MG285" s="79"/>
      <c r="MH285" s="79"/>
      <c r="MI285" s="79"/>
      <c r="MJ285" s="79"/>
      <c r="MK285" s="79"/>
      <c r="ML285" s="79"/>
      <c r="MM285" s="79"/>
      <c r="MN285" s="79"/>
      <c r="MO285" s="79"/>
      <c r="MP285" s="79"/>
      <c r="MQ285" s="79"/>
      <c r="MR285" s="79"/>
      <c r="MS285" s="79"/>
      <c r="MT285" s="79"/>
      <c r="MU285" s="79"/>
      <c r="MV285" s="79"/>
      <c r="MW285" s="79"/>
      <c r="MX285" s="79"/>
      <c r="MY285" s="79"/>
      <c r="MZ285" s="79"/>
      <c r="NA285" s="79"/>
      <c r="NB285" s="79"/>
      <c r="NC285" s="79"/>
      <c r="ND285" s="79"/>
      <c r="NE285" s="79"/>
      <c r="NF285" s="79"/>
      <c r="NG285" s="79"/>
      <c r="NH285" s="79"/>
      <c r="NI285" s="79"/>
      <c r="NJ285" s="79"/>
      <c r="NK285" s="79"/>
      <c r="NL285" s="79"/>
      <c r="NM285" s="79"/>
      <c r="NN285" s="79"/>
      <c r="NO285" s="79"/>
      <c r="NP285" s="79"/>
      <c r="NQ285" s="79"/>
      <c r="NR285" s="79"/>
      <c r="NS285" s="79"/>
      <c r="NT285" s="79"/>
      <c r="NU285" s="79"/>
      <c r="NV285" s="79"/>
      <c r="NW285" s="79"/>
      <c r="NX285" s="79"/>
      <c r="NY285" s="79"/>
      <c r="NZ285" s="79"/>
      <c r="OA285" s="79"/>
      <c r="OB285" s="79"/>
      <c r="OC285" s="79"/>
      <c r="OD285" s="79"/>
      <c r="OE285" s="79"/>
      <c r="OF285" s="79"/>
      <c r="OG285" s="79"/>
      <c r="OH285" s="79"/>
      <c r="OI285" s="79"/>
      <c r="OJ285" s="79"/>
      <c r="OK285" s="79"/>
      <c r="OL285" s="79"/>
      <c r="OM285" s="79"/>
      <c r="ON285" s="79"/>
      <c r="OO285" s="79"/>
      <c r="OP285" s="79"/>
      <c r="OQ285" s="79"/>
      <c r="OR285" s="79"/>
      <c r="OS285" s="79"/>
      <c r="OT285" s="79"/>
      <c r="OU285" s="79"/>
      <c r="OV285" s="79"/>
      <c r="OW285" s="79"/>
      <c r="OX285" s="79"/>
      <c r="OY285" s="79"/>
      <c r="OZ285" s="79"/>
      <c r="PA285" s="79"/>
      <c r="PB285" s="79"/>
      <c r="PC285" s="79"/>
      <c r="PD285" s="79"/>
      <c r="PE285" s="79"/>
      <c r="PF285" s="79"/>
      <c r="PG285" s="79"/>
      <c r="PH285" s="79"/>
      <c r="PI285" s="79"/>
      <c r="PJ285" s="79"/>
      <c r="PK285" s="79"/>
      <c r="PL285" s="79"/>
      <c r="PM285" s="79"/>
      <c r="PN285" s="79"/>
      <c r="PO285" s="79"/>
      <c r="PP285" s="79"/>
      <c r="PQ285" s="79"/>
      <c r="PR285" s="79"/>
      <c r="PS285" s="79"/>
      <c r="PT285" s="79"/>
      <c r="PU285" s="79"/>
      <c r="PV285" s="79"/>
      <c r="PW285" s="79"/>
      <c r="PX285" s="79"/>
      <c r="PY285" s="79"/>
      <c r="PZ285" s="79"/>
      <c r="QA285" s="79"/>
      <c r="QB285" s="79"/>
      <c r="QC285" s="79"/>
      <c r="QD285" s="79"/>
      <c r="QE285" s="79"/>
      <c r="QF285" s="79"/>
      <c r="QG285" s="79"/>
      <c r="QH285" s="79"/>
      <c r="QI285" s="79"/>
      <c r="QJ285" s="79"/>
      <c r="QK285" s="79"/>
      <c r="QL285" s="79"/>
      <c r="QM285" s="79"/>
      <c r="QN285" s="79"/>
      <c r="QO285" s="79"/>
      <c r="QP285" s="79"/>
      <c r="QQ285" s="79"/>
      <c r="QR285" s="79"/>
      <c r="QS285" s="79"/>
      <c r="QT285" s="79"/>
      <c r="QU285" s="79"/>
      <c r="QV285" s="79"/>
      <c r="QW285" s="79"/>
      <c r="QX285" s="79"/>
      <c r="QY285" s="79"/>
      <c r="QZ285" s="79"/>
      <c r="RA285" s="79"/>
      <c r="RB285" s="79"/>
      <c r="RC285" s="79"/>
      <c r="RD285" s="79"/>
      <c r="RE285" s="79"/>
      <c r="RF285" s="79"/>
      <c r="RG285" s="79"/>
      <c r="RH285" s="79"/>
      <c r="RI285" s="79"/>
      <c r="RJ285" s="79"/>
      <c r="RK285" s="79"/>
      <c r="RL285" s="79"/>
      <c r="RM285" s="79"/>
      <c r="RN285" s="79"/>
      <c r="RO285" s="79"/>
      <c r="RP285" s="79"/>
      <c r="RQ285" s="79"/>
      <c r="RR285" s="79"/>
      <c r="RS285" s="79"/>
      <c r="RT285" s="79"/>
      <c r="RU285" s="79"/>
      <c r="RV285" s="79"/>
      <c r="RW285" s="79"/>
      <c r="RX285" s="79"/>
      <c r="RY285" s="79"/>
      <c r="RZ285" s="79"/>
      <c r="SA285" s="79"/>
      <c r="SB285" s="79"/>
      <c r="SC285" s="79"/>
      <c r="SD285" s="79"/>
      <c r="SE285" s="79"/>
      <c r="SF285" s="79"/>
      <c r="SG285" s="79"/>
      <c r="SH285" s="79"/>
      <c r="SI285" s="79"/>
      <c r="SJ285" s="79"/>
      <c r="SK285" s="79"/>
      <c r="SL285" s="79"/>
      <c r="SM285" s="79"/>
      <c r="SN285" s="79"/>
      <c r="SO285" s="79"/>
      <c r="SP285" s="79"/>
      <c r="SQ285" s="79"/>
      <c r="SR285" s="79"/>
      <c r="SS285" s="79"/>
      <c r="ST285" s="79"/>
      <c r="SU285" s="79"/>
      <c r="SV285" s="79"/>
      <c r="SW285" s="79"/>
      <c r="SX285" s="79"/>
      <c r="SY285" s="79"/>
      <c r="SZ285" s="79"/>
      <c r="TA285" s="79"/>
      <c r="TB285" s="79"/>
      <c r="TC285" s="79"/>
      <c r="TD285" s="79"/>
      <c r="TE285" s="79"/>
      <c r="TF285" s="79"/>
      <c r="TG285" s="79"/>
      <c r="TH285" s="79"/>
      <c r="TI285" s="79"/>
      <c r="TJ285" s="79"/>
      <c r="TK285" s="79"/>
      <c r="TL285" s="79"/>
      <c r="TM285" s="79"/>
      <c r="TN285" s="79"/>
      <c r="TO285" s="79"/>
      <c r="TP285" s="79"/>
      <c r="TQ285" s="79"/>
      <c r="TR285" s="79"/>
      <c r="TS285" s="79"/>
      <c r="TT285" s="79"/>
      <c r="TU285" s="79"/>
      <c r="TV285" s="79"/>
      <c r="TW285" s="79"/>
      <c r="TX285" s="79"/>
      <c r="TY285" s="79"/>
      <c r="TZ285" s="79"/>
      <c r="UA285" s="79"/>
      <c r="UB285" s="79"/>
      <c r="UC285" s="79"/>
      <c r="UD285" s="79"/>
      <c r="UE285" s="79"/>
      <c r="UF285" s="79"/>
      <c r="UG285" s="79"/>
      <c r="UH285" s="79"/>
      <c r="UI285" s="79"/>
      <c r="UJ285" s="79"/>
      <c r="UK285" s="79"/>
      <c r="UL285" s="79"/>
      <c r="UM285" s="79"/>
      <c r="UN285" s="79"/>
      <c r="UO285" s="79"/>
      <c r="UP285" s="79"/>
      <c r="UQ285" s="79"/>
      <c r="UR285" s="79"/>
      <c r="US285" s="79"/>
      <c r="UT285" s="79"/>
      <c r="UU285" s="79"/>
      <c r="UV285" s="79"/>
      <c r="UW285" s="79"/>
      <c r="UX285" s="79"/>
      <c r="UY285" s="79"/>
      <c r="UZ285" s="79"/>
      <c r="VA285" s="79"/>
      <c r="VB285" s="79"/>
      <c r="VC285" s="79"/>
      <c r="VD285" s="79"/>
      <c r="VE285" s="79"/>
      <c r="VF285" s="79"/>
      <c r="VG285" s="79"/>
      <c r="VH285" s="79"/>
      <c r="VI285" s="79"/>
      <c r="VJ285" s="79"/>
      <c r="VK285" s="79"/>
      <c r="VL285" s="79"/>
    </row>
    <row r="286" spans="1:584" s="81" customFormat="1" ht="36" customHeight="1" x14ac:dyDescent="0.25">
      <c r="A286" s="67" t="s">
        <v>280</v>
      </c>
      <c r="B286" s="98"/>
      <c r="C286" s="98"/>
      <c r="D286" s="68" t="s">
        <v>61</v>
      </c>
      <c r="E286" s="114">
        <f>E287+E288+E289+E290+E291+E292+E293+E294</f>
        <v>20777002</v>
      </c>
      <c r="F286" s="114">
        <f t="shared" ref="F286:Y286" si="93">F287+F288+F289+F290+F291+F292+F293+F294</f>
        <v>14784375</v>
      </c>
      <c r="G286" s="114">
        <f t="shared" si="93"/>
        <v>261800</v>
      </c>
      <c r="H286" s="114">
        <f>H287+H288+H289+H290+H291+H292+H293+H294</f>
        <v>18301863.969999999</v>
      </c>
      <c r="I286" s="114">
        <f t="shared" ref="I286:J286" si="94">I287+I288+I289+I290+I291+I292+I293+I294</f>
        <v>13212558.939999999</v>
      </c>
      <c r="J286" s="114">
        <f t="shared" si="94"/>
        <v>254833.92000000001</v>
      </c>
      <c r="K286" s="153">
        <f t="shared" si="83"/>
        <v>88.087126188850533</v>
      </c>
      <c r="L286" s="114">
        <f t="shared" si="93"/>
        <v>13014103.33</v>
      </c>
      <c r="M286" s="114">
        <f t="shared" si="93"/>
        <v>12963400</v>
      </c>
      <c r="N286" s="114">
        <f t="shared" si="93"/>
        <v>50703.33</v>
      </c>
      <c r="O286" s="114">
        <f t="shared" si="93"/>
        <v>0</v>
      </c>
      <c r="P286" s="114">
        <f t="shared" si="93"/>
        <v>0</v>
      </c>
      <c r="Q286" s="114">
        <f t="shared" si="93"/>
        <v>12963400</v>
      </c>
      <c r="R286" s="114">
        <f t="shared" ref="R286:W286" si="95">R287+R288+R289+R290+R291+R292+R293+R294</f>
        <v>12954723.33</v>
      </c>
      <c r="S286" s="114">
        <f t="shared" si="95"/>
        <v>12901900</v>
      </c>
      <c r="T286" s="114">
        <f t="shared" si="95"/>
        <v>52823.33</v>
      </c>
      <c r="U286" s="114">
        <f t="shared" si="95"/>
        <v>0</v>
      </c>
      <c r="V286" s="114">
        <f t="shared" si="95"/>
        <v>0</v>
      </c>
      <c r="W286" s="114">
        <f t="shared" si="95"/>
        <v>12901900</v>
      </c>
      <c r="X286" s="165">
        <f t="shared" si="84"/>
        <v>99.543725768158637</v>
      </c>
      <c r="Y286" s="114">
        <f t="shared" si="93"/>
        <v>31256587.299999997</v>
      </c>
      <c r="Z286" s="187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  <c r="DM286" s="80"/>
      <c r="DN286" s="80"/>
      <c r="DO286" s="80"/>
      <c r="DP286" s="80"/>
      <c r="DQ286" s="80"/>
      <c r="DR286" s="80"/>
      <c r="DS286" s="80"/>
      <c r="DT286" s="80"/>
      <c r="DU286" s="80"/>
      <c r="DV286" s="80"/>
      <c r="DW286" s="80"/>
      <c r="DX286" s="80"/>
      <c r="DY286" s="80"/>
      <c r="DZ286" s="80"/>
      <c r="EA286" s="80"/>
      <c r="EB286" s="80"/>
      <c r="EC286" s="80"/>
      <c r="ED286" s="80"/>
      <c r="EE286" s="80"/>
      <c r="EF286" s="80"/>
      <c r="EG286" s="80"/>
      <c r="EH286" s="80"/>
      <c r="EI286" s="80"/>
      <c r="EJ286" s="80"/>
      <c r="EK286" s="80"/>
      <c r="EL286" s="80"/>
      <c r="EM286" s="80"/>
      <c r="EN286" s="80"/>
      <c r="EO286" s="80"/>
      <c r="EP286" s="80"/>
      <c r="EQ286" s="80"/>
      <c r="ER286" s="80"/>
      <c r="ES286" s="80"/>
      <c r="ET286" s="80"/>
      <c r="EU286" s="80"/>
      <c r="EV286" s="80"/>
      <c r="EW286" s="80"/>
      <c r="EX286" s="80"/>
      <c r="EY286" s="80"/>
      <c r="EZ286" s="80"/>
      <c r="FA286" s="80"/>
      <c r="FB286" s="80"/>
      <c r="FC286" s="80"/>
      <c r="FD286" s="80"/>
      <c r="FE286" s="80"/>
      <c r="FF286" s="80"/>
      <c r="FG286" s="80"/>
      <c r="FH286" s="80"/>
      <c r="FI286" s="80"/>
      <c r="FJ286" s="80"/>
      <c r="FK286" s="80"/>
      <c r="FL286" s="80"/>
      <c r="FM286" s="80"/>
      <c r="FN286" s="80"/>
      <c r="FO286" s="80"/>
      <c r="FP286" s="80"/>
      <c r="FQ286" s="80"/>
      <c r="FR286" s="80"/>
      <c r="FS286" s="80"/>
      <c r="FT286" s="80"/>
      <c r="FU286" s="80"/>
      <c r="FV286" s="80"/>
      <c r="FW286" s="80"/>
      <c r="FX286" s="80"/>
      <c r="FY286" s="80"/>
      <c r="FZ286" s="80"/>
      <c r="GA286" s="80"/>
      <c r="GB286" s="80"/>
      <c r="GC286" s="80"/>
      <c r="GD286" s="80"/>
      <c r="GE286" s="80"/>
      <c r="GF286" s="80"/>
      <c r="GG286" s="80"/>
      <c r="GH286" s="80"/>
      <c r="GI286" s="80"/>
      <c r="GJ286" s="80"/>
      <c r="GK286" s="80"/>
      <c r="GL286" s="80"/>
      <c r="GM286" s="80"/>
      <c r="GN286" s="80"/>
      <c r="GO286" s="80"/>
      <c r="GP286" s="80"/>
      <c r="GQ286" s="80"/>
      <c r="GR286" s="80"/>
      <c r="GS286" s="80"/>
      <c r="GT286" s="80"/>
      <c r="GU286" s="80"/>
      <c r="GV286" s="80"/>
      <c r="GW286" s="80"/>
      <c r="GX286" s="80"/>
      <c r="GY286" s="80"/>
      <c r="GZ286" s="80"/>
      <c r="HA286" s="80"/>
      <c r="HB286" s="80"/>
      <c r="HC286" s="80"/>
      <c r="HD286" s="80"/>
      <c r="HE286" s="80"/>
      <c r="HF286" s="80"/>
      <c r="HG286" s="80"/>
      <c r="HH286" s="80"/>
      <c r="HI286" s="80"/>
      <c r="HJ286" s="80"/>
      <c r="HK286" s="80"/>
      <c r="HL286" s="80"/>
      <c r="HM286" s="80"/>
      <c r="HN286" s="80"/>
      <c r="HO286" s="80"/>
      <c r="HP286" s="80"/>
      <c r="HQ286" s="80"/>
      <c r="HR286" s="80"/>
      <c r="HS286" s="80"/>
      <c r="HT286" s="80"/>
      <c r="HU286" s="80"/>
      <c r="HV286" s="80"/>
      <c r="HW286" s="80"/>
      <c r="HX286" s="80"/>
      <c r="HY286" s="80"/>
      <c r="HZ286" s="80"/>
      <c r="IA286" s="80"/>
      <c r="IB286" s="80"/>
      <c r="IC286" s="80"/>
      <c r="ID286" s="80"/>
      <c r="IE286" s="80"/>
      <c r="IF286" s="80"/>
      <c r="IG286" s="80"/>
      <c r="IH286" s="80"/>
      <c r="II286" s="80"/>
      <c r="IJ286" s="80"/>
      <c r="IK286" s="80"/>
      <c r="IL286" s="80"/>
      <c r="IM286" s="80"/>
      <c r="IN286" s="80"/>
      <c r="IO286" s="80"/>
      <c r="IP286" s="80"/>
      <c r="IQ286" s="80"/>
      <c r="IR286" s="80"/>
      <c r="IS286" s="80"/>
      <c r="IT286" s="80"/>
      <c r="IU286" s="80"/>
      <c r="IV286" s="80"/>
      <c r="IW286" s="80"/>
      <c r="IX286" s="80"/>
      <c r="IY286" s="80"/>
      <c r="IZ286" s="80"/>
      <c r="JA286" s="80"/>
      <c r="JB286" s="80"/>
      <c r="JC286" s="80"/>
      <c r="JD286" s="80"/>
      <c r="JE286" s="80"/>
      <c r="JF286" s="80"/>
      <c r="JG286" s="80"/>
      <c r="JH286" s="80"/>
      <c r="JI286" s="80"/>
      <c r="JJ286" s="80"/>
      <c r="JK286" s="80"/>
      <c r="JL286" s="80"/>
      <c r="JM286" s="80"/>
      <c r="JN286" s="80"/>
      <c r="JO286" s="80"/>
      <c r="JP286" s="80"/>
      <c r="JQ286" s="80"/>
      <c r="JR286" s="80"/>
      <c r="JS286" s="80"/>
      <c r="JT286" s="80"/>
      <c r="JU286" s="80"/>
      <c r="JV286" s="80"/>
      <c r="JW286" s="80"/>
      <c r="JX286" s="80"/>
      <c r="JY286" s="80"/>
      <c r="JZ286" s="80"/>
      <c r="KA286" s="80"/>
      <c r="KB286" s="80"/>
      <c r="KC286" s="80"/>
      <c r="KD286" s="80"/>
      <c r="KE286" s="80"/>
      <c r="KF286" s="80"/>
      <c r="KG286" s="80"/>
      <c r="KH286" s="80"/>
      <c r="KI286" s="80"/>
      <c r="KJ286" s="80"/>
      <c r="KK286" s="80"/>
      <c r="KL286" s="80"/>
      <c r="KM286" s="80"/>
      <c r="KN286" s="80"/>
      <c r="KO286" s="80"/>
      <c r="KP286" s="80"/>
      <c r="KQ286" s="80"/>
      <c r="KR286" s="80"/>
      <c r="KS286" s="80"/>
      <c r="KT286" s="80"/>
      <c r="KU286" s="80"/>
      <c r="KV286" s="80"/>
      <c r="KW286" s="80"/>
      <c r="KX286" s="80"/>
      <c r="KY286" s="80"/>
      <c r="KZ286" s="80"/>
      <c r="LA286" s="80"/>
      <c r="LB286" s="80"/>
      <c r="LC286" s="80"/>
      <c r="LD286" s="80"/>
      <c r="LE286" s="80"/>
      <c r="LF286" s="80"/>
      <c r="LG286" s="80"/>
      <c r="LH286" s="80"/>
      <c r="LI286" s="80"/>
      <c r="LJ286" s="80"/>
      <c r="LK286" s="80"/>
      <c r="LL286" s="80"/>
      <c r="LM286" s="80"/>
      <c r="LN286" s="80"/>
      <c r="LO286" s="80"/>
      <c r="LP286" s="80"/>
      <c r="LQ286" s="80"/>
      <c r="LR286" s="80"/>
      <c r="LS286" s="80"/>
      <c r="LT286" s="80"/>
      <c r="LU286" s="80"/>
      <c r="LV286" s="80"/>
      <c r="LW286" s="80"/>
      <c r="LX286" s="80"/>
      <c r="LY286" s="80"/>
      <c r="LZ286" s="80"/>
      <c r="MA286" s="80"/>
      <c r="MB286" s="80"/>
      <c r="MC286" s="80"/>
      <c r="MD286" s="80"/>
      <c r="ME286" s="80"/>
      <c r="MF286" s="80"/>
      <c r="MG286" s="80"/>
      <c r="MH286" s="80"/>
      <c r="MI286" s="80"/>
      <c r="MJ286" s="80"/>
      <c r="MK286" s="80"/>
      <c r="ML286" s="80"/>
      <c r="MM286" s="80"/>
      <c r="MN286" s="80"/>
      <c r="MO286" s="80"/>
      <c r="MP286" s="80"/>
      <c r="MQ286" s="80"/>
      <c r="MR286" s="80"/>
      <c r="MS286" s="80"/>
      <c r="MT286" s="80"/>
      <c r="MU286" s="80"/>
      <c r="MV286" s="80"/>
      <c r="MW286" s="80"/>
      <c r="MX286" s="80"/>
      <c r="MY286" s="80"/>
      <c r="MZ286" s="80"/>
      <c r="NA286" s="80"/>
      <c r="NB286" s="80"/>
      <c r="NC286" s="80"/>
      <c r="ND286" s="80"/>
      <c r="NE286" s="80"/>
      <c r="NF286" s="80"/>
      <c r="NG286" s="80"/>
      <c r="NH286" s="80"/>
      <c r="NI286" s="80"/>
      <c r="NJ286" s="80"/>
      <c r="NK286" s="80"/>
      <c r="NL286" s="80"/>
      <c r="NM286" s="80"/>
      <c r="NN286" s="80"/>
      <c r="NO286" s="80"/>
      <c r="NP286" s="80"/>
      <c r="NQ286" s="80"/>
      <c r="NR286" s="80"/>
      <c r="NS286" s="80"/>
      <c r="NT286" s="80"/>
      <c r="NU286" s="80"/>
      <c r="NV286" s="80"/>
      <c r="NW286" s="80"/>
      <c r="NX286" s="80"/>
      <c r="NY286" s="80"/>
      <c r="NZ286" s="80"/>
      <c r="OA286" s="80"/>
      <c r="OB286" s="80"/>
      <c r="OC286" s="80"/>
      <c r="OD286" s="80"/>
      <c r="OE286" s="80"/>
      <c r="OF286" s="80"/>
      <c r="OG286" s="80"/>
      <c r="OH286" s="80"/>
      <c r="OI286" s="80"/>
      <c r="OJ286" s="80"/>
      <c r="OK286" s="80"/>
      <c r="OL286" s="80"/>
      <c r="OM286" s="80"/>
      <c r="ON286" s="80"/>
      <c r="OO286" s="80"/>
      <c r="OP286" s="80"/>
      <c r="OQ286" s="80"/>
      <c r="OR286" s="80"/>
      <c r="OS286" s="80"/>
      <c r="OT286" s="80"/>
      <c r="OU286" s="80"/>
      <c r="OV286" s="80"/>
      <c r="OW286" s="80"/>
      <c r="OX286" s="80"/>
      <c r="OY286" s="80"/>
      <c r="OZ286" s="80"/>
      <c r="PA286" s="80"/>
      <c r="PB286" s="80"/>
      <c r="PC286" s="80"/>
      <c r="PD286" s="80"/>
      <c r="PE286" s="80"/>
      <c r="PF286" s="80"/>
      <c r="PG286" s="80"/>
      <c r="PH286" s="80"/>
      <c r="PI286" s="80"/>
      <c r="PJ286" s="80"/>
      <c r="PK286" s="80"/>
      <c r="PL286" s="80"/>
      <c r="PM286" s="80"/>
      <c r="PN286" s="80"/>
      <c r="PO286" s="80"/>
      <c r="PP286" s="80"/>
      <c r="PQ286" s="80"/>
      <c r="PR286" s="80"/>
      <c r="PS286" s="80"/>
      <c r="PT286" s="80"/>
      <c r="PU286" s="80"/>
      <c r="PV286" s="80"/>
      <c r="PW286" s="80"/>
      <c r="PX286" s="80"/>
      <c r="PY286" s="80"/>
      <c r="PZ286" s="80"/>
      <c r="QA286" s="80"/>
      <c r="QB286" s="80"/>
      <c r="QC286" s="80"/>
      <c r="QD286" s="80"/>
      <c r="QE286" s="80"/>
      <c r="QF286" s="80"/>
      <c r="QG286" s="80"/>
      <c r="QH286" s="80"/>
      <c r="QI286" s="80"/>
      <c r="QJ286" s="80"/>
      <c r="QK286" s="80"/>
      <c r="QL286" s="80"/>
      <c r="QM286" s="80"/>
      <c r="QN286" s="80"/>
      <c r="QO286" s="80"/>
      <c r="QP286" s="80"/>
      <c r="QQ286" s="80"/>
      <c r="QR286" s="80"/>
      <c r="QS286" s="80"/>
      <c r="QT286" s="80"/>
      <c r="QU286" s="80"/>
      <c r="QV286" s="80"/>
      <c r="QW286" s="80"/>
      <c r="QX286" s="80"/>
      <c r="QY286" s="80"/>
      <c r="QZ286" s="80"/>
      <c r="RA286" s="80"/>
      <c r="RB286" s="80"/>
      <c r="RC286" s="80"/>
      <c r="RD286" s="80"/>
      <c r="RE286" s="80"/>
      <c r="RF286" s="80"/>
      <c r="RG286" s="80"/>
      <c r="RH286" s="80"/>
      <c r="RI286" s="80"/>
      <c r="RJ286" s="80"/>
      <c r="RK286" s="80"/>
      <c r="RL286" s="80"/>
      <c r="RM286" s="80"/>
      <c r="RN286" s="80"/>
      <c r="RO286" s="80"/>
      <c r="RP286" s="80"/>
      <c r="RQ286" s="80"/>
      <c r="RR286" s="80"/>
      <c r="RS286" s="80"/>
      <c r="RT286" s="80"/>
      <c r="RU286" s="80"/>
      <c r="RV286" s="80"/>
      <c r="RW286" s="80"/>
      <c r="RX286" s="80"/>
      <c r="RY286" s="80"/>
      <c r="RZ286" s="80"/>
      <c r="SA286" s="80"/>
      <c r="SB286" s="80"/>
      <c r="SC286" s="80"/>
      <c r="SD286" s="80"/>
      <c r="SE286" s="80"/>
      <c r="SF286" s="80"/>
      <c r="SG286" s="80"/>
      <c r="SH286" s="80"/>
      <c r="SI286" s="80"/>
      <c r="SJ286" s="80"/>
      <c r="SK286" s="80"/>
      <c r="SL286" s="80"/>
      <c r="SM286" s="80"/>
      <c r="SN286" s="80"/>
      <c r="SO286" s="80"/>
      <c r="SP286" s="80"/>
      <c r="SQ286" s="80"/>
      <c r="SR286" s="80"/>
      <c r="SS286" s="80"/>
      <c r="ST286" s="80"/>
      <c r="SU286" s="80"/>
      <c r="SV286" s="80"/>
      <c r="SW286" s="80"/>
      <c r="SX286" s="80"/>
      <c r="SY286" s="80"/>
      <c r="SZ286" s="80"/>
      <c r="TA286" s="80"/>
      <c r="TB286" s="80"/>
      <c r="TC286" s="80"/>
      <c r="TD286" s="80"/>
      <c r="TE286" s="80"/>
      <c r="TF286" s="80"/>
      <c r="TG286" s="80"/>
      <c r="TH286" s="80"/>
      <c r="TI286" s="80"/>
      <c r="TJ286" s="80"/>
      <c r="TK286" s="80"/>
      <c r="TL286" s="80"/>
      <c r="TM286" s="80"/>
      <c r="TN286" s="80"/>
      <c r="TO286" s="80"/>
      <c r="TP286" s="80"/>
      <c r="TQ286" s="80"/>
      <c r="TR286" s="80"/>
      <c r="TS286" s="80"/>
      <c r="TT286" s="80"/>
      <c r="TU286" s="80"/>
      <c r="TV286" s="80"/>
      <c r="TW286" s="80"/>
      <c r="TX286" s="80"/>
      <c r="TY286" s="80"/>
      <c r="TZ286" s="80"/>
      <c r="UA286" s="80"/>
      <c r="UB286" s="80"/>
      <c r="UC286" s="80"/>
      <c r="UD286" s="80"/>
      <c r="UE286" s="80"/>
      <c r="UF286" s="80"/>
      <c r="UG286" s="80"/>
      <c r="UH286" s="80"/>
      <c r="UI286" s="80"/>
      <c r="UJ286" s="80"/>
      <c r="UK286" s="80"/>
      <c r="UL286" s="80"/>
      <c r="UM286" s="80"/>
      <c r="UN286" s="80"/>
      <c r="UO286" s="80"/>
      <c r="UP286" s="80"/>
      <c r="UQ286" s="80"/>
      <c r="UR286" s="80"/>
      <c r="US286" s="80"/>
      <c r="UT286" s="80"/>
      <c r="UU286" s="80"/>
      <c r="UV286" s="80"/>
      <c r="UW286" s="80"/>
      <c r="UX286" s="80"/>
      <c r="UY286" s="80"/>
      <c r="UZ286" s="80"/>
      <c r="VA286" s="80"/>
      <c r="VB286" s="80"/>
      <c r="VC286" s="80"/>
      <c r="VD286" s="80"/>
      <c r="VE286" s="80"/>
      <c r="VF286" s="80"/>
      <c r="VG286" s="80"/>
      <c r="VH286" s="80"/>
      <c r="VI286" s="80"/>
      <c r="VJ286" s="80"/>
      <c r="VK286" s="80"/>
      <c r="VL286" s="80"/>
    </row>
    <row r="287" spans="1:584" s="47" customFormat="1" ht="45" customHeight="1" x14ac:dyDescent="0.25">
      <c r="A287" s="45" t="s">
        <v>281</v>
      </c>
      <c r="B287" s="91" t="str">
        <f>'дод 3'!A13</f>
        <v>0160</v>
      </c>
      <c r="C287" s="91" t="str">
        <f>'дод 3'!B13</f>
        <v>0111</v>
      </c>
      <c r="D287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87" s="115">
        <v>18889002</v>
      </c>
      <c r="F287" s="115">
        <f>15454866-600761-69730</f>
        <v>14784375</v>
      </c>
      <c r="G287" s="115">
        <f>235000+4800+22000</f>
        <v>261800</v>
      </c>
      <c r="H287" s="115">
        <v>16943820.039999999</v>
      </c>
      <c r="I287" s="115">
        <v>13212558.939999999</v>
      </c>
      <c r="J287" s="115">
        <v>254833.92000000001</v>
      </c>
      <c r="K287" s="164">
        <f t="shared" si="83"/>
        <v>89.702039525433889</v>
      </c>
      <c r="L287" s="115">
        <f t="shared" si="71"/>
        <v>0</v>
      </c>
      <c r="M287" s="115"/>
      <c r="N287" s="115"/>
      <c r="O287" s="115"/>
      <c r="P287" s="115"/>
      <c r="Q287" s="115"/>
      <c r="R287" s="115">
        <f t="shared" si="72"/>
        <v>2120</v>
      </c>
      <c r="S287" s="115"/>
      <c r="T287" s="115">
        <v>2120</v>
      </c>
      <c r="U287" s="115"/>
      <c r="V287" s="115"/>
      <c r="W287" s="115"/>
      <c r="X287" s="149"/>
      <c r="Y287" s="115">
        <f t="shared" ref="Y287:Y293" si="96">H287+R287</f>
        <v>16945940.039999999</v>
      </c>
      <c r="Z287" s="187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  <c r="GB287" s="53"/>
      <c r="GC287" s="53"/>
      <c r="GD287" s="53"/>
      <c r="GE287" s="53"/>
      <c r="GF287" s="53"/>
      <c r="GG287" s="53"/>
      <c r="GH287" s="53"/>
      <c r="GI287" s="53"/>
      <c r="GJ287" s="53"/>
      <c r="GK287" s="53"/>
      <c r="GL287" s="53"/>
      <c r="GM287" s="53"/>
      <c r="GN287" s="53"/>
      <c r="GO287" s="53"/>
      <c r="GP287" s="53"/>
      <c r="GQ287" s="53"/>
      <c r="GR287" s="53"/>
      <c r="GS287" s="53"/>
      <c r="GT287" s="53"/>
      <c r="GU287" s="53"/>
      <c r="GV287" s="53"/>
      <c r="GW287" s="53"/>
      <c r="GX287" s="53"/>
      <c r="GY287" s="53"/>
      <c r="GZ287" s="53"/>
      <c r="HA287" s="53"/>
      <c r="HB287" s="53"/>
      <c r="HC287" s="53"/>
      <c r="HD287" s="53"/>
      <c r="HE287" s="53"/>
      <c r="HF287" s="53"/>
      <c r="HG287" s="53"/>
      <c r="HH287" s="53"/>
      <c r="HI287" s="53"/>
      <c r="HJ287" s="53"/>
      <c r="HK287" s="53"/>
      <c r="HL287" s="53"/>
      <c r="HM287" s="53"/>
      <c r="HN287" s="53"/>
      <c r="HO287" s="53"/>
      <c r="HP287" s="53"/>
      <c r="HQ287" s="53"/>
      <c r="HR287" s="53"/>
      <c r="HS287" s="53"/>
      <c r="HT287" s="53"/>
      <c r="HU287" s="53"/>
      <c r="HV287" s="53"/>
      <c r="HW287" s="53"/>
      <c r="HX287" s="53"/>
      <c r="HY287" s="53"/>
      <c r="HZ287" s="53"/>
      <c r="IA287" s="53"/>
      <c r="IB287" s="53"/>
      <c r="IC287" s="53"/>
      <c r="ID287" s="53"/>
      <c r="IE287" s="53"/>
      <c r="IF287" s="53"/>
      <c r="IG287" s="53"/>
      <c r="IH287" s="53"/>
      <c r="II287" s="53"/>
      <c r="IJ287" s="53"/>
      <c r="IK287" s="53"/>
      <c r="IL287" s="53"/>
      <c r="IM287" s="53"/>
      <c r="IN287" s="53"/>
      <c r="IO287" s="53"/>
      <c r="IP287" s="53"/>
      <c r="IQ287" s="53"/>
      <c r="IR287" s="53"/>
      <c r="IS287" s="53"/>
      <c r="IT287" s="53"/>
      <c r="IU287" s="53"/>
      <c r="IV287" s="53"/>
      <c r="IW287" s="53"/>
      <c r="IX287" s="53"/>
      <c r="IY287" s="53"/>
      <c r="IZ287" s="53"/>
      <c r="JA287" s="53"/>
      <c r="JB287" s="53"/>
      <c r="JC287" s="53"/>
      <c r="JD287" s="53"/>
      <c r="JE287" s="53"/>
      <c r="JF287" s="53"/>
      <c r="JG287" s="53"/>
      <c r="JH287" s="53"/>
      <c r="JI287" s="53"/>
      <c r="JJ287" s="53"/>
      <c r="JK287" s="53"/>
      <c r="JL287" s="53"/>
      <c r="JM287" s="53"/>
      <c r="JN287" s="53"/>
      <c r="JO287" s="53"/>
      <c r="JP287" s="53"/>
      <c r="JQ287" s="53"/>
      <c r="JR287" s="53"/>
      <c r="JS287" s="53"/>
      <c r="JT287" s="53"/>
      <c r="JU287" s="53"/>
      <c r="JV287" s="53"/>
      <c r="JW287" s="53"/>
      <c r="JX287" s="53"/>
      <c r="JY287" s="53"/>
      <c r="JZ287" s="53"/>
      <c r="KA287" s="53"/>
      <c r="KB287" s="53"/>
      <c r="KC287" s="53"/>
      <c r="KD287" s="53"/>
      <c r="KE287" s="53"/>
      <c r="KF287" s="53"/>
      <c r="KG287" s="53"/>
      <c r="KH287" s="53"/>
      <c r="KI287" s="53"/>
      <c r="KJ287" s="53"/>
      <c r="KK287" s="53"/>
      <c r="KL287" s="53"/>
      <c r="KM287" s="53"/>
      <c r="KN287" s="53"/>
      <c r="KO287" s="53"/>
      <c r="KP287" s="53"/>
      <c r="KQ287" s="53"/>
      <c r="KR287" s="53"/>
      <c r="KS287" s="53"/>
      <c r="KT287" s="53"/>
      <c r="KU287" s="53"/>
      <c r="KV287" s="53"/>
      <c r="KW287" s="53"/>
      <c r="KX287" s="53"/>
      <c r="KY287" s="53"/>
      <c r="KZ287" s="53"/>
      <c r="LA287" s="53"/>
      <c r="LB287" s="53"/>
      <c r="LC287" s="53"/>
      <c r="LD287" s="53"/>
      <c r="LE287" s="53"/>
      <c r="LF287" s="53"/>
      <c r="LG287" s="53"/>
      <c r="LH287" s="53"/>
      <c r="LI287" s="53"/>
      <c r="LJ287" s="53"/>
      <c r="LK287" s="53"/>
      <c r="LL287" s="53"/>
      <c r="LM287" s="53"/>
      <c r="LN287" s="53"/>
      <c r="LO287" s="53"/>
      <c r="LP287" s="53"/>
      <c r="LQ287" s="53"/>
      <c r="LR287" s="53"/>
      <c r="LS287" s="53"/>
      <c r="LT287" s="53"/>
      <c r="LU287" s="53"/>
      <c r="LV287" s="53"/>
      <c r="LW287" s="53"/>
      <c r="LX287" s="53"/>
      <c r="LY287" s="53"/>
      <c r="LZ287" s="53"/>
      <c r="MA287" s="53"/>
      <c r="MB287" s="53"/>
      <c r="MC287" s="53"/>
      <c r="MD287" s="53"/>
      <c r="ME287" s="53"/>
      <c r="MF287" s="53"/>
      <c r="MG287" s="53"/>
      <c r="MH287" s="53"/>
      <c r="MI287" s="53"/>
      <c r="MJ287" s="53"/>
      <c r="MK287" s="53"/>
      <c r="ML287" s="53"/>
      <c r="MM287" s="53"/>
      <c r="MN287" s="53"/>
      <c r="MO287" s="53"/>
      <c r="MP287" s="53"/>
      <c r="MQ287" s="53"/>
      <c r="MR287" s="53"/>
      <c r="MS287" s="53"/>
      <c r="MT287" s="53"/>
      <c r="MU287" s="53"/>
      <c r="MV287" s="53"/>
      <c r="MW287" s="53"/>
      <c r="MX287" s="53"/>
      <c r="MY287" s="53"/>
      <c r="MZ287" s="53"/>
      <c r="NA287" s="53"/>
      <c r="NB287" s="53"/>
      <c r="NC287" s="53"/>
      <c r="ND287" s="53"/>
      <c r="NE287" s="53"/>
      <c r="NF287" s="53"/>
      <c r="NG287" s="53"/>
      <c r="NH287" s="53"/>
      <c r="NI287" s="53"/>
      <c r="NJ287" s="53"/>
      <c r="NK287" s="53"/>
      <c r="NL287" s="53"/>
      <c r="NM287" s="53"/>
      <c r="NN287" s="53"/>
      <c r="NO287" s="53"/>
      <c r="NP287" s="53"/>
      <c r="NQ287" s="53"/>
      <c r="NR287" s="53"/>
      <c r="NS287" s="53"/>
      <c r="NT287" s="53"/>
      <c r="NU287" s="53"/>
      <c r="NV287" s="53"/>
      <c r="NW287" s="53"/>
      <c r="NX287" s="53"/>
      <c r="NY287" s="53"/>
      <c r="NZ287" s="53"/>
      <c r="OA287" s="53"/>
      <c r="OB287" s="53"/>
      <c r="OC287" s="53"/>
      <c r="OD287" s="53"/>
      <c r="OE287" s="53"/>
      <c r="OF287" s="53"/>
      <c r="OG287" s="53"/>
      <c r="OH287" s="53"/>
      <c r="OI287" s="53"/>
      <c r="OJ287" s="53"/>
      <c r="OK287" s="53"/>
      <c r="OL287" s="53"/>
      <c r="OM287" s="53"/>
      <c r="ON287" s="53"/>
      <c r="OO287" s="53"/>
      <c r="OP287" s="53"/>
      <c r="OQ287" s="53"/>
      <c r="OR287" s="53"/>
      <c r="OS287" s="53"/>
      <c r="OT287" s="53"/>
      <c r="OU287" s="53"/>
      <c r="OV287" s="53"/>
      <c r="OW287" s="53"/>
      <c r="OX287" s="53"/>
      <c r="OY287" s="53"/>
      <c r="OZ287" s="53"/>
      <c r="PA287" s="53"/>
      <c r="PB287" s="53"/>
      <c r="PC287" s="53"/>
      <c r="PD287" s="53"/>
      <c r="PE287" s="53"/>
      <c r="PF287" s="53"/>
      <c r="PG287" s="53"/>
      <c r="PH287" s="53"/>
      <c r="PI287" s="53"/>
      <c r="PJ287" s="53"/>
      <c r="PK287" s="53"/>
      <c r="PL287" s="53"/>
      <c r="PM287" s="53"/>
      <c r="PN287" s="53"/>
      <c r="PO287" s="53"/>
      <c r="PP287" s="53"/>
      <c r="PQ287" s="53"/>
      <c r="PR287" s="53"/>
      <c r="PS287" s="53"/>
      <c r="PT287" s="53"/>
      <c r="PU287" s="53"/>
      <c r="PV287" s="53"/>
      <c r="PW287" s="53"/>
      <c r="PX287" s="53"/>
      <c r="PY287" s="53"/>
      <c r="PZ287" s="53"/>
      <c r="QA287" s="53"/>
      <c r="QB287" s="53"/>
      <c r="QC287" s="53"/>
      <c r="QD287" s="53"/>
      <c r="QE287" s="53"/>
      <c r="QF287" s="53"/>
      <c r="QG287" s="53"/>
      <c r="QH287" s="53"/>
      <c r="QI287" s="53"/>
      <c r="QJ287" s="53"/>
      <c r="QK287" s="53"/>
      <c r="QL287" s="53"/>
      <c r="QM287" s="53"/>
      <c r="QN287" s="53"/>
      <c r="QO287" s="53"/>
      <c r="QP287" s="53"/>
      <c r="QQ287" s="53"/>
      <c r="QR287" s="53"/>
      <c r="QS287" s="53"/>
      <c r="QT287" s="53"/>
      <c r="QU287" s="53"/>
      <c r="QV287" s="53"/>
      <c r="QW287" s="53"/>
      <c r="QX287" s="53"/>
      <c r="QY287" s="53"/>
      <c r="QZ287" s="53"/>
      <c r="RA287" s="53"/>
      <c r="RB287" s="53"/>
      <c r="RC287" s="53"/>
      <c r="RD287" s="53"/>
      <c r="RE287" s="53"/>
      <c r="RF287" s="53"/>
      <c r="RG287" s="53"/>
      <c r="RH287" s="53"/>
      <c r="RI287" s="53"/>
      <c r="RJ287" s="53"/>
      <c r="RK287" s="53"/>
      <c r="RL287" s="53"/>
      <c r="RM287" s="53"/>
      <c r="RN287" s="53"/>
      <c r="RO287" s="53"/>
      <c r="RP287" s="53"/>
      <c r="RQ287" s="53"/>
      <c r="RR287" s="53"/>
      <c r="RS287" s="53"/>
      <c r="RT287" s="53"/>
      <c r="RU287" s="53"/>
      <c r="RV287" s="53"/>
      <c r="RW287" s="53"/>
      <c r="RX287" s="53"/>
      <c r="RY287" s="53"/>
      <c r="RZ287" s="53"/>
      <c r="SA287" s="53"/>
      <c r="SB287" s="53"/>
      <c r="SC287" s="53"/>
      <c r="SD287" s="53"/>
      <c r="SE287" s="53"/>
      <c r="SF287" s="53"/>
      <c r="SG287" s="53"/>
      <c r="SH287" s="53"/>
      <c r="SI287" s="53"/>
      <c r="SJ287" s="53"/>
      <c r="SK287" s="53"/>
      <c r="SL287" s="53"/>
      <c r="SM287" s="53"/>
      <c r="SN287" s="53"/>
      <c r="SO287" s="53"/>
      <c r="SP287" s="53"/>
      <c r="SQ287" s="53"/>
      <c r="SR287" s="53"/>
      <c r="SS287" s="53"/>
      <c r="ST287" s="53"/>
      <c r="SU287" s="53"/>
      <c r="SV287" s="53"/>
      <c r="SW287" s="53"/>
      <c r="SX287" s="53"/>
      <c r="SY287" s="53"/>
      <c r="SZ287" s="53"/>
      <c r="TA287" s="53"/>
      <c r="TB287" s="53"/>
      <c r="TC287" s="53"/>
      <c r="TD287" s="53"/>
      <c r="TE287" s="53"/>
      <c r="TF287" s="53"/>
      <c r="TG287" s="53"/>
      <c r="TH287" s="53"/>
      <c r="TI287" s="53"/>
      <c r="TJ287" s="53"/>
      <c r="TK287" s="53"/>
      <c r="TL287" s="53"/>
      <c r="TM287" s="53"/>
      <c r="TN287" s="53"/>
      <c r="TO287" s="53"/>
      <c r="TP287" s="53"/>
      <c r="TQ287" s="53"/>
      <c r="TR287" s="53"/>
      <c r="TS287" s="53"/>
      <c r="TT287" s="53"/>
      <c r="TU287" s="53"/>
      <c r="TV287" s="53"/>
      <c r="TW287" s="53"/>
      <c r="TX287" s="53"/>
      <c r="TY287" s="53"/>
      <c r="TZ287" s="53"/>
      <c r="UA287" s="53"/>
      <c r="UB287" s="53"/>
      <c r="UC287" s="53"/>
      <c r="UD287" s="53"/>
      <c r="UE287" s="53"/>
      <c r="UF287" s="53"/>
      <c r="UG287" s="53"/>
      <c r="UH287" s="53"/>
      <c r="UI287" s="53"/>
      <c r="UJ287" s="53"/>
      <c r="UK287" s="53"/>
      <c r="UL287" s="53"/>
      <c r="UM287" s="53"/>
      <c r="UN287" s="53"/>
      <c r="UO287" s="53"/>
      <c r="UP287" s="53"/>
      <c r="UQ287" s="53"/>
      <c r="UR287" s="53"/>
      <c r="US287" s="53"/>
      <c r="UT287" s="53"/>
      <c r="UU287" s="53"/>
      <c r="UV287" s="53"/>
      <c r="UW287" s="53"/>
      <c r="UX287" s="53"/>
      <c r="UY287" s="53"/>
      <c r="UZ287" s="53"/>
      <c r="VA287" s="53"/>
      <c r="VB287" s="53"/>
      <c r="VC287" s="53"/>
      <c r="VD287" s="53"/>
      <c r="VE287" s="53"/>
      <c r="VF287" s="53"/>
      <c r="VG287" s="53"/>
      <c r="VH287" s="53"/>
      <c r="VI287" s="53"/>
      <c r="VJ287" s="53"/>
      <c r="VK287" s="53"/>
      <c r="VL287" s="53"/>
    </row>
    <row r="288" spans="1:584" s="58" customFormat="1" ht="19.5" customHeight="1" x14ac:dyDescent="0.25">
      <c r="A288" s="45" t="s">
        <v>282</v>
      </c>
      <c r="B288" s="91" t="str">
        <f>'дод 3'!A161</f>
        <v>7130</v>
      </c>
      <c r="C288" s="91" t="str">
        <f>'дод 3'!B161</f>
        <v>0421</v>
      </c>
      <c r="D288" s="48" t="str">
        <f>'дод 3'!C161</f>
        <v>Здійснення  заходів із землеустрою</v>
      </c>
      <c r="E288" s="115">
        <v>936000</v>
      </c>
      <c r="F288" s="115"/>
      <c r="G288" s="115"/>
      <c r="H288" s="115">
        <v>634905</v>
      </c>
      <c r="I288" s="115"/>
      <c r="J288" s="115"/>
      <c r="K288" s="164">
        <f t="shared" si="83"/>
        <v>67.831730769230774</v>
      </c>
      <c r="L288" s="115">
        <f t="shared" si="71"/>
        <v>50703.33</v>
      </c>
      <c r="M288" s="115"/>
      <c r="N288" s="115">
        <f>14343.33+36360</f>
        <v>50703.33</v>
      </c>
      <c r="O288" s="115"/>
      <c r="P288" s="115"/>
      <c r="Q288" s="115"/>
      <c r="R288" s="115">
        <f t="shared" si="72"/>
        <v>50703.33</v>
      </c>
      <c r="S288" s="115"/>
      <c r="T288" s="115">
        <v>50703.33</v>
      </c>
      <c r="U288" s="115"/>
      <c r="V288" s="115"/>
      <c r="W288" s="115"/>
      <c r="X288" s="166">
        <f t="shared" si="84"/>
        <v>100</v>
      </c>
      <c r="Y288" s="115">
        <f t="shared" si="96"/>
        <v>685608.33</v>
      </c>
      <c r="Z288" s="187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  <c r="CA288" s="78"/>
      <c r="CB288" s="78"/>
      <c r="CC288" s="78"/>
      <c r="CD288" s="7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  <c r="FO288" s="78"/>
      <c r="FP288" s="78"/>
      <c r="FQ288" s="78"/>
      <c r="FR288" s="78"/>
      <c r="FS288" s="78"/>
      <c r="FT288" s="78"/>
      <c r="FU288" s="78"/>
      <c r="FV288" s="78"/>
      <c r="FW288" s="78"/>
      <c r="FX288" s="78"/>
      <c r="FY288" s="78"/>
      <c r="FZ288" s="78"/>
      <c r="GA288" s="78"/>
      <c r="GB288" s="78"/>
      <c r="GC288" s="78"/>
      <c r="GD288" s="78"/>
      <c r="GE288" s="78"/>
      <c r="GF288" s="78"/>
      <c r="GG288" s="78"/>
      <c r="GH288" s="78"/>
      <c r="GI288" s="78"/>
      <c r="GJ288" s="78"/>
      <c r="GK288" s="78"/>
      <c r="GL288" s="78"/>
      <c r="GM288" s="78"/>
      <c r="GN288" s="78"/>
      <c r="GO288" s="78"/>
      <c r="GP288" s="78"/>
      <c r="GQ288" s="78"/>
      <c r="GR288" s="78"/>
      <c r="GS288" s="78"/>
      <c r="GT288" s="78"/>
      <c r="GU288" s="78"/>
      <c r="GV288" s="78"/>
      <c r="GW288" s="78"/>
      <c r="GX288" s="78"/>
      <c r="GY288" s="78"/>
      <c r="GZ288" s="78"/>
      <c r="HA288" s="78"/>
      <c r="HB288" s="78"/>
      <c r="HC288" s="78"/>
      <c r="HD288" s="78"/>
      <c r="HE288" s="78"/>
      <c r="HF288" s="78"/>
      <c r="HG288" s="78"/>
      <c r="HH288" s="78"/>
      <c r="HI288" s="78"/>
      <c r="HJ288" s="78"/>
      <c r="HK288" s="78"/>
      <c r="HL288" s="78"/>
      <c r="HM288" s="78"/>
      <c r="HN288" s="78"/>
      <c r="HO288" s="78"/>
      <c r="HP288" s="78"/>
      <c r="HQ288" s="78"/>
      <c r="HR288" s="78"/>
      <c r="HS288" s="78"/>
      <c r="HT288" s="78"/>
      <c r="HU288" s="78"/>
      <c r="HV288" s="78"/>
      <c r="HW288" s="78"/>
      <c r="HX288" s="78"/>
      <c r="HY288" s="78"/>
      <c r="HZ288" s="78"/>
      <c r="IA288" s="78"/>
      <c r="IB288" s="78"/>
      <c r="IC288" s="78"/>
      <c r="ID288" s="78"/>
      <c r="IE288" s="78"/>
      <c r="IF288" s="78"/>
      <c r="IG288" s="78"/>
      <c r="IH288" s="78"/>
      <c r="II288" s="78"/>
      <c r="IJ288" s="78"/>
      <c r="IK288" s="78"/>
      <c r="IL288" s="78"/>
      <c r="IM288" s="78"/>
      <c r="IN288" s="78"/>
      <c r="IO288" s="78"/>
      <c r="IP288" s="78"/>
      <c r="IQ288" s="78"/>
      <c r="IR288" s="78"/>
      <c r="IS288" s="78"/>
      <c r="IT288" s="78"/>
      <c r="IU288" s="78"/>
      <c r="IV288" s="78"/>
      <c r="IW288" s="78"/>
      <c r="IX288" s="78"/>
      <c r="IY288" s="78"/>
      <c r="IZ288" s="78"/>
      <c r="JA288" s="78"/>
      <c r="JB288" s="78"/>
      <c r="JC288" s="78"/>
      <c r="JD288" s="78"/>
      <c r="JE288" s="78"/>
      <c r="JF288" s="78"/>
      <c r="JG288" s="78"/>
      <c r="JH288" s="78"/>
      <c r="JI288" s="78"/>
      <c r="JJ288" s="78"/>
      <c r="JK288" s="78"/>
      <c r="JL288" s="78"/>
      <c r="JM288" s="78"/>
      <c r="JN288" s="78"/>
      <c r="JO288" s="78"/>
      <c r="JP288" s="78"/>
      <c r="JQ288" s="78"/>
      <c r="JR288" s="78"/>
      <c r="JS288" s="78"/>
      <c r="JT288" s="78"/>
      <c r="JU288" s="78"/>
      <c r="JV288" s="78"/>
      <c r="JW288" s="78"/>
      <c r="JX288" s="78"/>
      <c r="JY288" s="78"/>
      <c r="JZ288" s="78"/>
      <c r="KA288" s="78"/>
      <c r="KB288" s="78"/>
      <c r="KC288" s="78"/>
      <c r="KD288" s="78"/>
      <c r="KE288" s="78"/>
      <c r="KF288" s="78"/>
      <c r="KG288" s="78"/>
      <c r="KH288" s="78"/>
      <c r="KI288" s="78"/>
      <c r="KJ288" s="78"/>
      <c r="KK288" s="78"/>
      <c r="KL288" s="78"/>
      <c r="KM288" s="78"/>
      <c r="KN288" s="78"/>
      <c r="KO288" s="78"/>
      <c r="KP288" s="78"/>
      <c r="KQ288" s="78"/>
      <c r="KR288" s="78"/>
      <c r="KS288" s="78"/>
      <c r="KT288" s="78"/>
      <c r="KU288" s="78"/>
      <c r="KV288" s="78"/>
      <c r="KW288" s="78"/>
      <c r="KX288" s="78"/>
      <c r="KY288" s="78"/>
      <c r="KZ288" s="78"/>
      <c r="LA288" s="78"/>
      <c r="LB288" s="78"/>
      <c r="LC288" s="78"/>
      <c r="LD288" s="78"/>
      <c r="LE288" s="78"/>
      <c r="LF288" s="78"/>
      <c r="LG288" s="78"/>
      <c r="LH288" s="78"/>
      <c r="LI288" s="78"/>
      <c r="LJ288" s="78"/>
      <c r="LK288" s="78"/>
      <c r="LL288" s="78"/>
      <c r="LM288" s="78"/>
      <c r="LN288" s="78"/>
      <c r="LO288" s="78"/>
      <c r="LP288" s="78"/>
      <c r="LQ288" s="78"/>
      <c r="LR288" s="78"/>
      <c r="LS288" s="78"/>
      <c r="LT288" s="78"/>
      <c r="LU288" s="78"/>
      <c r="LV288" s="78"/>
      <c r="LW288" s="78"/>
      <c r="LX288" s="78"/>
      <c r="LY288" s="78"/>
      <c r="LZ288" s="78"/>
      <c r="MA288" s="78"/>
      <c r="MB288" s="78"/>
      <c r="MC288" s="78"/>
      <c r="MD288" s="78"/>
      <c r="ME288" s="78"/>
      <c r="MF288" s="78"/>
      <c r="MG288" s="78"/>
      <c r="MH288" s="78"/>
      <c r="MI288" s="78"/>
      <c r="MJ288" s="78"/>
      <c r="MK288" s="78"/>
      <c r="ML288" s="78"/>
      <c r="MM288" s="78"/>
      <c r="MN288" s="78"/>
      <c r="MO288" s="78"/>
      <c r="MP288" s="78"/>
      <c r="MQ288" s="78"/>
      <c r="MR288" s="78"/>
      <c r="MS288" s="78"/>
      <c r="MT288" s="78"/>
      <c r="MU288" s="78"/>
      <c r="MV288" s="78"/>
      <c r="MW288" s="78"/>
      <c r="MX288" s="78"/>
      <c r="MY288" s="78"/>
      <c r="MZ288" s="78"/>
      <c r="NA288" s="78"/>
      <c r="NB288" s="78"/>
      <c r="NC288" s="78"/>
      <c r="ND288" s="78"/>
      <c r="NE288" s="78"/>
      <c r="NF288" s="78"/>
      <c r="NG288" s="78"/>
      <c r="NH288" s="78"/>
      <c r="NI288" s="78"/>
      <c r="NJ288" s="78"/>
      <c r="NK288" s="78"/>
      <c r="NL288" s="78"/>
      <c r="NM288" s="78"/>
      <c r="NN288" s="78"/>
      <c r="NO288" s="78"/>
      <c r="NP288" s="78"/>
      <c r="NQ288" s="78"/>
      <c r="NR288" s="78"/>
      <c r="NS288" s="78"/>
      <c r="NT288" s="78"/>
      <c r="NU288" s="78"/>
      <c r="NV288" s="78"/>
      <c r="NW288" s="78"/>
      <c r="NX288" s="78"/>
      <c r="NY288" s="78"/>
      <c r="NZ288" s="78"/>
      <c r="OA288" s="78"/>
      <c r="OB288" s="78"/>
      <c r="OC288" s="78"/>
      <c r="OD288" s="78"/>
      <c r="OE288" s="78"/>
      <c r="OF288" s="78"/>
      <c r="OG288" s="78"/>
      <c r="OH288" s="78"/>
      <c r="OI288" s="78"/>
      <c r="OJ288" s="78"/>
      <c r="OK288" s="78"/>
      <c r="OL288" s="78"/>
      <c r="OM288" s="78"/>
      <c r="ON288" s="78"/>
      <c r="OO288" s="78"/>
      <c r="OP288" s="78"/>
      <c r="OQ288" s="78"/>
      <c r="OR288" s="78"/>
      <c r="OS288" s="78"/>
      <c r="OT288" s="78"/>
      <c r="OU288" s="78"/>
      <c r="OV288" s="78"/>
      <c r="OW288" s="78"/>
      <c r="OX288" s="78"/>
      <c r="OY288" s="78"/>
      <c r="OZ288" s="78"/>
      <c r="PA288" s="78"/>
      <c r="PB288" s="78"/>
      <c r="PC288" s="78"/>
      <c r="PD288" s="78"/>
      <c r="PE288" s="78"/>
      <c r="PF288" s="78"/>
      <c r="PG288" s="78"/>
      <c r="PH288" s="78"/>
      <c r="PI288" s="78"/>
      <c r="PJ288" s="78"/>
      <c r="PK288" s="78"/>
      <c r="PL288" s="78"/>
      <c r="PM288" s="78"/>
      <c r="PN288" s="78"/>
      <c r="PO288" s="78"/>
      <c r="PP288" s="78"/>
      <c r="PQ288" s="78"/>
      <c r="PR288" s="78"/>
      <c r="PS288" s="78"/>
      <c r="PT288" s="78"/>
      <c r="PU288" s="78"/>
      <c r="PV288" s="78"/>
      <c r="PW288" s="78"/>
      <c r="PX288" s="78"/>
      <c r="PY288" s="78"/>
      <c r="PZ288" s="78"/>
      <c r="QA288" s="78"/>
      <c r="QB288" s="78"/>
      <c r="QC288" s="78"/>
      <c r="QD288" s="78"/>
      <c r="QE288" s="78"/>
      <c r="QF288" s="78"/>
      <c r="QG288" s="78"/>
      <c r="QH288" s="78"/>
      <c r="QI288" s="78"/>
      <c r="QJ288" s="78"/>
      <c r="QK288" s="78"/>
      <c r="QL288" s="78"/>
      <c r="QM288" s="78"/>
      <c r="QN288" s="78"/>
      <c r="QO288" s="78"/>
      <c r="QP288" s="78"/>
      <c r="QQ288" s="78"/>
      <c r="QR288" s="78"/>
      <c r="QS288" s="78"/>
      <c r="QT288" s="78"/>
      <c r="QU288" s="78"/>
      <c r="QV288" s="78"/>
      <c r="QW288" s="78"/>
      <c r="QX288" s="78"/>
      <c r="QY288" s="78"/>
      <c r="QZ288" s="78"/>
      <c r="RA288" s="78"/>
      <c r="RB288" s="78"/>
      <c r="RC288" s="78"/>
      <c r="RD288" s="78"/>
      <c r="RE288" s="78"/>
      <c r="RF288" s="78"/>
      <c r="RG288" s="78"/>
      <c r="RH288" s="78"/>
      <c r="RI288" s="78"/>
      <c r="RJ288" s="78"/>
      <c r="RK288" s="78"/>
      <c r="RL288" s="78"/>
      <c r="RM288" s="78"/>
      <c r="RN288" s="78"/>
      <c r="RO288" s="78"/>
      <c r="RP288" s="78"/>
      <c r="RQ288" s="78"/>
      <c r="RR288" s="78"/>
      <c r="RS288" s="78"/>
      <c r="RT288" s="78"/>
      <c r="RU288" s="78"/>
      <c r="RV288" s="78"/>
      <c r="RW288" s="78"/>
      <c r="RX288" s="78"/>
      <c r="RY288" s="78"/>
      <c r="RZ288" s="78"/>
      <c r="SA288" s="78"/>
      <c r="SB288" s="78"/>
      <c r="SC288" s="78"/>
      <c r="SD288" s="78"/>
      <c r="SE288" s="78"/>
      <c r="SF288" s="78"/>
      <c r="SG288" s="78"/>
      <c r="SH288" s="78"/>
      <c r="SI288" s="78"/>
      <c r="SJ288" s="78"/>
      <c r="SK288" s="78"/>
      <c r="SL288" s="78"/>
      <c r="SM288" s="78"/>
      <c r="SN288" s="78"/>
      <c r="SO288" s="78"/>
      <c r="SP288" s="78"/>
      <c r="SQ288" s="78"/>
      <c r="SR288" s="78"/>
      <c r="SS288" s="78"/>
      <c r="ST288" s="78"/>
      <c r="SU288" s="78"/>
      <c r="SV288" s="78"/>
      <c r="SW288" s="78"/>
      <c r="SX288" s="78"/>
      <c r="SY288" s="78"/>
      <c r="SZ288" s="78"/>
      <c r="TA288" s="78"/>
      <c r="TB288" s="78"/>
      <c r="TC288" s="78"/>
      <c r="TD288" s="78"/>
      <c r="TE288" s="78"/>
      <c r="TF288" s="78"/>
      <c r="TG288" s="78"/>
      <c r="TH288" s="78"/>
      <c r="TI288" s="78"/>
      <c r="TJ288" s="78"/>
      <c r="TK288" s="78"/>
      <c r="TL288" s="78"/>
      <c r="TM288" s="78"/>
      <c r="TN288" s="78"/>
      <c r="TO288" s="78"/>
      <c r="TP288" s="78"/>
      <c r="TQ288" s="78"/>
      <c r="TR288" s="78"/>
      <c r="TS288" s="78"/>
      <c r="TT288" s="78"/>
      <c r="TU288" s="78"/>
      <c r="TV288" s="78"/>
      <c r="TW288" s="78"/>
      <c r="TX288" s="78"/>
      <c r="TY288" s="78"/>
      <c r="TZ288" s="78"/>
      <c r="UA288" s="78"/>
      <c r="UB288" s="78"/>
      <c r="UC288" s="78"/>
      <c r="UD288" s="78"/>
      <c r="UE288" s="78"/>
      <c r="UF288" s="78"/>
      <c r="UG288" s="78"/>
      <c r="UH288" s="78"/>
      <c r="UI288" s="78"/>
      <c r="UJ288" s="78"/>
      <c r="UK288" s="78"/>
      <c r="UL288" s="78"/>
      <c r="UM288" s="78"/>
      <c r="UN288" s="78"/>
      <c r="UO288" s="78"/>
      <c r="UP288" s="78"/>
      <c r="UQ288" s="78"/>
      <c r="UR288" s="78"/>
      <c r="US288" s="78"/>
      <c r="UT288" s="78"/>
      <c r="UU288" s="78"/>
      <c r="UV288" s="78"/>
      <c r="UW288" s="78"/>
      <c r="UX288" s="78"/>
      <c r="UY288" s="78"/>
      <c r="UZ288" s="78"/>
      <c r="VA288" s="78"/>
      <c r="VB288" s="78"/>
      <c r="VC288" s="78"/>
      <c r="VD288" s="78"/>
      <c r="VE288" s="78"/>
      <c r="VF288" s="78"/>
      <c r="VG288" s="78"/>
      <c r="VH288" s="78"/>
      <c r="VI288" s="78"/>
      <c r="VJ288" s="78"/>
      <c r="VK288" s="78"/>
      <c r="VL288" s="78"/>
    </row>
    <row r="289" spans="1:584" s="58" customFormat="1" ht="33" customHeight="1" x14ac:dyDescent="0.25">
      <c r="A289" s="45" t="s">
        <v>553</v>
      </c>
      <c r="B289" s="91" t="str">
        <f>'дод 3'!A174</f>
        <v>7370</v>
      </c>
      <c r="C289" s="91" t="str">
        <f>'дод 3'!B174</f>
        <v>0490</v>
      </c>
      <c r="D289" s="48" t="str">
        <f>'дод 3'!C174</f>
        <v>Реалізація інших заходів щодо соціально-економічного розвитку територій</v>
      </c>
      <c r="E289" s="115">
        <v>0</v>
      </c>
      <c r="F289" s="115"/>
      <c r="G289" s="115"/>
      <c r="H289" s="115"/>
      <c r="I289" s="115"/>
      <c r="J289" s="115"/>
      <c r="K289" s="164"/>
      <c r="L289" s="115">
        <f t="shared" si="71"/>
        <v>12888400</v>
      </c>
      <c r="M289" s="115">
        <v>12888400</v>
      </c>
      <c r="N289" s="115"/>
      <c r="O289" s="115"/>
      <c r="P289" s="115"/>
      <c r="Q289" s="115">
        <v>12888400</v>
      </c>
      <c r="R289" s="115">
        <f t="shared" si="72"/>
        <v>12888400</v>
      </c>
      <c r="S289" s="115">
        <v>12888400</v>
      </c>
      <c r="T289" s="115"/>
      <c r="U289" s="115"/>
      <c r="V289" s="115"/>
      <c r="W289" s="115">
        <v>12888400</v>
      </c>
      <c r="X289" s="166">
        <f t="shared" si="84"/>
        <v>100</v>
      </c>
      <c r="Y289" s="115">
        <f t="shared" si="96"/>
        <v>12888400</v>
      </c>
      <c r="Z289" s="187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  <c r="CA289" s="78"/>
      <c r="CB289" s="78"/>
      <c r="CC289" s="78"/>
      <c r="CD289" s="7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  <c r="FO289" s="78"/>
      <c r="FP289" s="78"/>
      <c r="FQ289" s="78"/>
      <c r="FR289" s="78"/>
      <c r="FS289" s="78"/>
      <c r="FT289" s="78"/>
      <c r="FU289" s="78"/>
      <c r="FV289" s="78"/>
      <c r="FW289" s="78"/>
      <c r="FX289" s="78"/>
      <c r="FY289" s="78"/>
      <c r="FZ289" s="78"/>
      <c r="GA289" s="78"/>
      <c r="GB289" s="78"/>
      <c r="GC289" s="78"/>
      <c r="GD289" s="78"/>
      <c r="GE289" s="78"/>
      <c r="GF289" s="78"/>
      <c r="GG289" s="78"/>
      <c r="GH289" s="78"/>
      <c r="GI289" s="78"/>
      <c r="GJ289" s="78"/>
      <c r="GK289" s="78"/>
      <c r="GL289" s="78"/>
      <c r="GM289" s="78"/>
      <c r="GN289" s="78"/>
      <c r="GO289" s="78"/>
      <c r="GP289" s="78"/>
      <c r="GQ289" s="78"/>
      <c r="GR289" s="78"/>
      <c r="GS289" s="78"/>
      <c r="GT289" s="78"/>
      <c r="GU289" s="78"/>
      <c r="GV289" s="78"/>
      <c r="GW289" s="78"/>
      <c r="GX289" s="78"/>
      <c r="GY289" s="78"/>
      <c r="GZ289" s="78"/>
      <c r="HA289" s="78"/>
      <c r="HB289" s="78"/>
      <c r="HC289" s="78"/>
      <c r="HD289" s="78"/>
      <c r="HE289" s="78"/>
      <c r="HF289" s="78"/>
      <c r="HG289" s="78"/>
      <c r="HH289" s="78"/>
      <c r="HI289" s="78"/>
      <c r="HJ289" s="78"/>
      <c r="HK289" s="78"/>
      <c r="HL289" s="78"/>
      <c r="HM289" s="78"/>
      <c r="HN289" s="78"/>
      <c r="HO289" s="78"/>
      <c r="HP289" s="78"/>
      <c r="HQ289" s="78"/>
      <c r="HR289" s="78"/>
      <c r="HS289" s="78"/>
      <c r="HT289" s="78"/>
      <c r="HU289" s="78"/>
      <c r="HV289" s="78"/>
      <c r="HW289" s="78"/>
      <c r="HX289" s="78"/>
      <c r="HY289" s="78"/>
      <c r="HZ289" s="78"/>
      <c r="IA289" s="78"/>
      <c r="IB289" s="78"/>
      <c r="IC289" s="78"/>
      <c r="ID289" s="78"/>
      <c r="IE289" s="78"/>
      <c r="IF289" s="78"/>
      <c r="IG289" s="78"/>
      <c r="IH289" s="78"/>
      <c r="II289" s="78"/>
      <c r="IJ289" s="78"/>
      <c r="IK289" s="78"/>
      <c r="IL289" s="78"/>
      <c r="IM289" s="78"/>
      <c r="IN289" s="78"/>
      <c r="IO289" s="78"/>
      <c r="IP289" s="78"/>
      <c r="IQ289" s="78"/>
      <c r="IR289" s="78"/>
      <c r="IS289" s="78"/>
      <c r="IT289" s="78"/>
      <c r="IU289" s="78"/>
      <c r="IV289" s="78"/>
      <c r="IW289" s="78"/>
      <c r="IX289" s="78"/>
      <c r="IY289" s="78"/>
      <c r="IZ289" s="78"/>
      <c r="JA289" s="78"/>
      <c r="JB289" s="78"/>
      <c r="JC289" s="78"/>
      <c r="JD289" s="78"/>
      <c r="JE289" s="78"/>
      <c r="JF289" s="78"/>
      <c r="JG289" s="78"/>
      <c r="JH289" s="78"/>
      <c r="JI289" s="78"/>
      <c r="JJ289" s="78"/>
      <c r="JK289" s="78"/>
      <c r="JL289" s="78"/>
      <c r="JM289" s="78"/>
      <c r="JN289" s="78"/>
      <c r="JO289" s="78"/>
      <c r="JP289" s="78"/>
      <c r="JQ289" s="78"/>
      <c r="JR289" s="78"/>
      <c r="JS289" s="78"/>
      <c r="JT289" s="78"/>
      <c r="JU289" s="78"/>
      <c r="JV289" s="78"/>
      <c r="JW289" s="78"/>
      <c r="JX289" s="78"/>
      <c r="JY289" s="78"/>
      <c r="JZ289" s="78"/>
      <c r="KA289" s="78"/>
      <c r="KB289" s="78"/>
      <c r="KC289" s="78"/>
      <c r="KD289" s="78"/>
      <c r="KE289" s="78"/>
      <c r="KF289" s="78"/>
      <c r="KG289" s="78"/>
      <c r="KH289" s="78"/>
      <c r="KI289" s="78"/>
      <c r="KJ289" s="78"/>
      <c r="KK289" s="78"/>
      <c r="KL289" s="78"/>
      <c r="KM289" s="78"/>
      <c r="KN289" s="78"/>
      <c r="KO289" s="78"/>
      <c r="KP289" s="78"/>
      <c r="KQ289" s="78"/>
      <c r="KR289" s="78"/>
      <c r="KS289" s="78"/>
      <c r="KT289" s="78"/>
      <c r="KU289" s="78"/>
      <c r="KV289" s="78"/>
      <c r="KW289" s="78"/>
      <c r="KX289" s="78"/>
      <c r="KY289" s="78"/>
      <c r="KZ289" s="78"/>
      <c r="LA289" s="78"/>
      <c r="LB289" s="78"/>
      <c r="LC289" s="78"/>
      <c r="LD289" s="78"/>
      <c r="LE289" s="78"/>
      <c r="LF289" s="78"/>
      <c r="LG289" s="78"/>
      <c r="LH289" s="78"/>
      <c r="LI289" s="78"/>
      <c r="LJ289" s="78"/>
      <c r="LK289" s="78"/>
      <c r="LL289" s="78"/>
      <c r="LM289" s="78"/>
      <c r="LN289" s="78"/>
      <c r="LO289" s="78"/>
      <c r="LP289" s="78"/>
      <c r="LQ289" s="78"/>
      <c r="LR289" s="78"/>
      <c r="LS289" s="78"/>
      <c r="LT289" s="78"/>
      <c r="LU289" s="78"/>
      <c r="LV289" s="78"/>
      <c r="LW289" s="78"/>
      <c r="LX289" s="78"/>
      <c r="LY289" s="78"/>
      <c r="LZ289" s="78"/>
      <c r="MA289" s="78"/>
      <c r="MB289" s="78"/>
      <c r="MC289" s="78"/>
      <c r="MD289" s="78"/>
      <c r="ME289" s="78"/>
      <c r="MF289" s="78"/>
      <c r="MG289" s="78"/>
      <c r="MH289" s="78"/>
      <c r="MI289" s="78"/>
      <c r="MJ289" s="78"/>
      <c r="MK289" s="78"/>
      <c r="ML289" s="78"/>
      <c r="MM289" s="78"/>
      <c r="MN289" s="78"/>
      <c r="MO289" s="78"/>
      <c r="MP289" s="78"/>
      <c r="MQ289" s="78"/>
      <c r="MR289" s="78"/>
      <c r="MS289" s="78"/>
      <c r="MT289" s="78"/>
      <c r="MU289" s="78"/>
      <c r="MV289" s="78"/>
      <c r="MW289" s="78"/>
      <c r="MX289" s="78"/>
      <c r="MY289" s="78"/>
      <c r="MZ289" s="78"/>
      <c r="NA289" s="78"/>
      <c r="NB289" s="78"/>
      <c r="NC289" s="78"/>
      <c r="ND289" s="78"/>
      <c r="NE289" s="78"/>
      <c r="NF289" s="78"/>
      <c r="NG289" s="78"/>
      <c r="NH289" s="78"/>
      <c r="NI289" s="78"/>
      <c r="NJ289" s="78"/>
      <c r="NK289" s="78"/>
      <c r="NL289" s="78"/>
      <c r="NM289" s="78"/>
      <c r="NN289" s="78"/>
      <c r="NO289" s="78"/>
      <c r="NP289" s="78"/>
      <c r="NQ289" s="78"/>
      <c r="NR289" s="78"/>
      <c r="NS289" s="78"/>
      <c r="NT289" s="78"/>
      <c r="NU289" s="78"/>
      <c r="NV289" s="78"/>
      <c r="NW289" s="78"/>
      <c r="NX289" s="78"/>
      <c r="NY289" s="78"/>
      <c r="NZ289" s="78"/>
      <c r="OA289" s="78"/>
      <c r="OB289" s="78"/>
      <c r="OC289" s="78"/>
      <c r="OD289" s="78"/>
      <c r="OE289" s="78"/>
      <c r="OF289" s="78"/>
      <c r="OG289" s="78"/>
      <c r="OH289" s="78"/>
      <c r="OI289" s="78"/>
      <c r="OJ289" s="78"/>
      <c r="OK289" s="78"/>
      <c r="OL289" s="78"/>
      <c r="OM289" s="78"/>
      <c r="ON289" s="78"/>
      <c r="OO289" s="78"/>
      <c r="OP289" s="78"/>
      <c r="OQ289" s="78"/>
      <c r="OR289" s="78"/>
      <c r="OS289" s="78"/>
      <c r="OT289" s="78"/>
      <c r="OU289" s="78"/>
      <c r="OV289" s="78"/>
      <c r="OW289" s="78"/>
      <c r="OX289" s="78"/>
      <c r="OY289" s="78"/>
      <c r="OZ289" s="78"/>
      <c r="PA289" s="78"/>
      <c r="PB289" s="78"/>
      <c r="PC289" s="78"/>
      <c r="PD289" s="78"/>
      <c r="PE289" s="78"/>
      <c r="PF289" s="78"/>
      <c r="PG289" s="78"/>
      <c r="PH289" s="78"/>
      <c r="PI289" s="78"/>
      <c r="PJ289" s="78"/>
      <c r="PK289" s="78"/>
      <c r="PL289" s="78"/>
      <c r="PM289" s="78"/>
      <c r="PN289" s="78"/>
      <c r="PO289" s="78"/>
      <c r="PP289" s="78"/>
      <c r="PQ289" s="78"/>
      <c r="PR289" s="78"/>
      <c r="PS289" s="78"/>
      <c r="PT289" s="78"/>
      <c r="PU289" s="78"/>
      <c r="PV289" s="78"/>
      <c r="PW289" s="78"/>
      <c r="PX289" s="78"/>
      <c r="PY289" s="78"/>
      <c r="PZ289" s="78"/>
      <c r="QA289" s="78"/>
      <c r="QB289" s="78"/>
      <c r="QC289" s="78"/>
      <c r="QD289" s="78"/>
      <c r="QE289" s="78"/>
      <c r="QF289" s="78"/>
      <c r="QG289" s="78"/>
      <c r="QH289" s="78"/>
      <c r="QI289" s="78"/>
      <c r="QJ289" s="78"/>
      <c r="QK289" s="78"/>
      <c r="QL289" s="78"/>
      <c r="QM289" s="78"/>
      <c r="QN289" s="78"/>
      <c r="QO289" s="78"/>
      <c r="QP289" s="78"/>
      <c r="QQ289" s="78"/>
      <c r="QR289" s="78"/>
      <c r="QS289" s="78"/>
      <c r="QT289" s="78"/>
      <c r="QU289" s="78"/>
      <c r="QV289" s="78"/>
      <c r="QW289" s="78"/>
      <c r="QX289" s="78"/>
      <c r="QY289" s="78"/>
      <c r="QZ289" s="78"/>
      <c r="RA289" s="78"/>
      <c r="RB289" s="78"/>
      <c r="RC289" s="78"/>
      <c r="RD289" s="78"/>
      <c r="RE289" s="78"/>
      <c r="RF289" s="78"/>
      <c r="RG289" s="78"/>
      <c r="RH289" s="78"/>
      <c r="RI289" s="78"/>
      <c r="RJ289" s="78"/>
      <c r="RK289" s="78"/>
      <c r="RL289" s="78"/>
      <c r="RM289" s="78"/>
      <c r="RN289" s="78"/>
      <c r="RO289" s="78"/>
      <c r="RP289" s="78"/>
      <c r="RQ289" s="78"/>
      <c r="RR289" s="78"/>
      <c r="RS289" s="78"/>
      <c r="RT289" s="78"/>
      <c r="RU289" s="78"/>
      <c r="RV289" s="78"/>
      <c r="RW289" s="78"/>
      <c r="RX289" s="78"/>
      <c r="RY289" s="78"/>
      <c r="RZ289" s="78"/>
      <c r="SA289" s="78"/>
      <c r="SB289" s="78"/>
      <c r="SC289" s="78"/>
      <c r="SD289" s="78"/>
      <c r="SE289" s="78"/>
      <c r="SF289" s="78"/>
      <c r="SG289" s="78"/>
      <c r="SH289" s="78"/>
      <c r="SI289" s="78"/>
      <c r="SJ289" s="78"/>
      <c r="SK289" s="78"/>
      <c r="SL289" s="78"/>
      <c r="SM289" s="78"/>
      <c r="SN289" s="78"/>
      <c r="SO289" s="78"/>
      <c r="SP289" s="78"/>
      <c r="SQ289" s="78"/>
      <c r="SR289" s="78"/>
      <c r="SS289" s="78"/>
      <c r="ST289" s="78"/>
      <c r="SU289" s="78"/>
      <c r="SV289" s="78"/>
      <c r="SW289" s="78"/>
      <c r="SX289" s="78"/>
      <c r="SY289" s="78"/>
      <c r="SZ289" s="78"/>
      <c r="TA289" s="78"/>
      <c r="TB289" s="78"/>
      <c r="TC289" s="78"/>
      <c r="TD289" s="78"/>
      <c r="TE289" s="78"/>
      <c r="TF289" s="78"/>
      <c r="TG289" s="78"/>
      <c r="TH289" s="78"/>
      <c r="TI289" s="78"/>
      <c r="TJ289" s="78"/>
      <c r="TK289" s="78"/>
      <c r="TL289" s="78"/>
      <c r="TM289" s="78"/>
      <c r="TN289" s="78"/>
      <c r="TO289" s="78"/>
      <c r="TP289" s="78"/>
      <c r="TQ289" s="78"/>
      <c r="TR289" s="78"/>
      <c r="TS289" s="78"/>
      <c r="TT289" s="78"/>
      <c r="TU289" s="78"/>
      <c r="TV289" s="78"/>
      <c r="TW289" s="78"/>
      <c r="TX289" s="78"/>
      <c r="TY289" s="78"/>
      <c r="TZ289" s="78"/>
      <c r="UA289" s="78"/>
      <c r="UB289" s="78"/>
      <c r="UC289" s="78"/>
      <c r="UD289" s="78"/>
      <c r="UE289" s="78"/>
      <c r="UF289" s="78"/>
      <c r="UG289" s="78"/>
      <c r="UH289" s="78"/>
      <c r="UI289" s="78"/>
      <c r="UJ289" s="78"/>
      <c r="UK289" s="78"/>
      <c r="UL289" s="78"/>
      <c r="UM289" s="78"/>
      <c r="UN289" s="78"/>
      <c r="UO289" s="78"/>
      <c r="UP289" s="78"/>
      <c r="UQ289" s="78"/>
      <c r="UR289" s="78"/>
      <c r="US289" s="78"/>
      <c r="UT289" s="78"/>
      <c r="UU289" s="78"/>
      <c r="UV289" s="78"/>
      <c r="UW289" s="78"/>
      <c r="UX289" s="78"/>
      <c r="UY289" s="78"/>
      <c r="UZ289" s="78"/>
      <c r="VA289" s="78"/>
      <c r="VB289" s="78"/>
      <c r="VC289" s="78"/>
      <c r="VD289" s="78"/>
      <c r="VE289" s="78"/>
      <c r="VF289" s="78"/>
      <c r="VG289" s="78"/>
      <c r="VH289" s="78"/>
      <c r="VI289" s="78"/>
      <c r="VJ289" s="78"/>
      <c r="VK289" s="78"/>
      <c r="VL289" s="78"/>
    </row>
    <row r="290" spans="1:584" s="47" customFormat="1" ht="27" customHeight="1" x14ac:dyDescent="0.25">
      <c r="A290" s="49" t="s">
        <v>283</v>
      </c>
      <c r="B290" s="93" t="str">
        <f>'дод 3'!A188</f>
        <v>7610</v>
      </c>
      <c r="C290" s="93" t="str">
        <f>'дод 3'!B188</f>
        <v>0411</v>
      </c>
      <c r="D290" s="46" t="str">
        <f>'дод 3'!C188</f>
        <v>Сприяння розвитку малого та середнього підприємництва</v>
      </c>
      <c r="E290" s="115">
        <v>307000</v>
      </c>
      <c r="F290" s="115"/>
      <c r="G290" s="115"/>
      <c r="H290" s="115">
        <v>182105</v>
      </c>
      <c r="I290" s="115"/>
      <c r="J290" s="115"/>
      <c r="K290" s="164">
        <f t="shared" si="83"/>
        <v>59.317589576547235</v>
      </c>
      <c r="L290" s="115">
        <f t="shared" si="71"/>
        <v>0</v>
      </c>
      <c r="M290" s="115"/>
      <c r="N290" s="115"/>
      <c r="O290" s="115"/>
      <c r="P290" s="115"/>
      <c r="Q290" s="115"/>
      <c r="R290" s="115">
        <f t="shared" si="72"/>
        <v>0</v>
      </c>
      <c r="S290" s="115"/>
      <c r="T290" s="115"/>
      <c r="U290" s="115"/>
      <c r="V290" s="115"/>
      <c r="W290" s="115"/>
      <c r="X290" s="166"/>
      <c r="Y290" s="115">
        <f t="shared" si="96"/>
        <v>182105</v>
      </c>
      <c r="Z290" s="187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  <c r="DG290" s="53"/>
      <c r="DH290" s="53"/>
      <c r="DI290" s="53"/>
      <c r="DJ290" s="53"/>
      <c r="DK290" s="53"/>
      <c r="DL290" s="53"/>
      <c r="DM290" s="53"/>
      <c r="DN290" s="53"/>
      <c r="DO290" s="53"/>
      <c r="DP290" s="53"/>
      <c r="DQ290" s="53"/>
      <c r="DR290" s="53"/>
      <c r="DS290" s="53"/>
      <c r="DT290" s="53"/>
      <c r="DU290" s="53"/>
      <c r="DV290" s="53"/>
      <c r="DW290" s="53"/>
      <c r="DX290" s="53"/>
      <c r="DY290" s="53"/>
      <c r="DZ290" s="53"/>
      <c r="EA290" s="53"/>
      <c r="EB290" s="53"/>
      <c r="EC290" s="53"/>
      <c r="ED290" s="53"/>
      <c r="EE290" s="53"/>
      <c r="EF290" s="53"/>
      <c r="EG290" s="53"/>
      <c r="EH290" s="53"/>
      <c r="EI290" s="53"/>
      <c r="EJ290" s="53"/>
      <c r="EK290" s="53"/>
      <c r="EL290" s="53"/>
      <c r="EM290" s="53"/>
      <c r="EN290" s="53"/>
      <c r="EO290" s="53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  <c r="FH290" s="53"/>
      <c r="FI290" s="53"/>
      <c r="FJ290" s="53"/>
      <c r="FK290" s="53"/>
      <c r="FL290" s="53"/>
      <c r="FM290" s="53"/>
      <c r="FN290" s="53"/>
      <c r="FO290" s="53"/>
      <c r="FP290" s="53"/>
      <c r="FQ290" s="53"/>
      <c r="FR290" s="53"/>
      <c r="FS290" s="53"/>
      <c r="FT290" s="53"/>
      <c r="FU290" s="53"/>
      <c r="FV290" s="53"/>
      <c r="FW290" s="53"/>
      <c r="FX290" s="53"/>
      <c r="FY290" s="53"/>
      <c r="FZ290" s="53"/>
      <c r="GA290" s="53"/>
      <c r="GB290" s="53"/>
      <c r="GC290" s="53"/>
      <c r="GD290" s="53"/>
      <c r="GE290" s="53"/>
      <c r="GF290" s="53"/>
      <c r="GG290" s="53"/>
      <c r="GH290" s="53"/>
      <c r="GI290" s="53"/>
      <c r="GJ290" s="53"/>
      <c r="GK290" s="53"/>
      <c r="GL290" s="53"/>
      <c r="GM290" s="53"/>
      <c r="GN290" s="53"/>
      <c r="GO290" s="53"/>
      <c r="GP290" s="53"/>
      <c r="GQ290" s="53"/>
      <c r="GR290" s="53"/>
      <c r="GS290" s="53"/>
      <c r="GT290" s="53"/>
      <c r="GU290" s="53"/>
      <c r="GV290" s="53"/>
      <c r="GW290" s="53"/>
      <c r="GX290" s="53"/>
      <c r="GY290" s="53"/>
      <c r="GZ290" s="53"/>
      <c r="HA290" s="53"/>
      <c r="HB290" s="53"/>
      <c r="HC290" s="53"/>
      <c r="HD290" s="53"/>
      <c r="HE290" s="53"/>
      <c r="HF290" s="53"/>
      <c r="HG290" s="53"/>
      <c r="HH290" s="53"/>
      <c r="HI290" s="53"/>
      <c r="HJ290" s="53"/>
      <c r="HK290" s="53"/>
      <c r="HL290" s="53"/>
      <c r="HM290" s="53"/>
      <c r="HN290" s="53"/>
      <c r="HO290" s="53"/>
      <c r="HP290" s="53"/>
      <c r="HQ290" s="53"/>
      <c r="HR290" s="53"/>
      <c r="HS290" s="53"/>
      <c r="HT290" s="53"/>
      <c r="HU290" s="53"/>
      <c r="HV290" s="53"/>
      <c r="HW290" s="53"/>
      <c r="HX290" s="53"/>
      <c r="HY290" s="53"/>
      <c r="HZ290" s="53"/>
      <c r="IA290" s="53"/>
      <c r="IB290" s="53"/>
      <c r="IC290" s="53"/>
      <c r="ID290" s="53"/>
      <c r="IE290" s="53"/>
      <c r="IF290" s="53"/>
      <c r="IG290" s="53"/>
      <c r="IH290" s="53"/>
      <c r="II290" s="53"/>
      <c r="IJ290" s="53"/>
      <c r="IK290" s="53"/>
      <c r="IL290" s="53"/>
      <c r="IM290" s="53"/>
      <c r="IN290" s="53"/>
      <c r="IO290" s="53"/>
      <c r="IP290" s="53"/>
      <c r="IQ290" s="53"/>
      <c r="IR290" s="53"/>
      <c r="IS290" s="53"/>
      <c r="IT290" s="53"/>
      <c r="IU290" s="53"/>
      <c r="IV290" s="53"/>
      <c r="IW290" s="53"/>
      <c r="IX290" s="53"/>
      <c r="IY290" s="53"/>
      <c r="IZ290" s="53"/>
      <c r="JA290" s="53"/>
      <c r="JB290" s="53"/>
      <c r="JC290" s="53"/>
      <c r="JD290" s="53"/>
      <c r="JE290" s="53"/>
      <c r="JF290" s="53"/>
      <c r="JG290" s="53"/>
      <c r="JH290" s="53"/>
      <c r="JI290" s="53"/>
      <c r="JJ290" s="53"/>
      <c r="JK290" s="53"/>
      <c r="JL290" s="53"/>
      <c r="JM290" s="53"/>
      <c r="JN290" s="53"/>
      <c r="JO290" s="53"/>
      <c r="JP290" s="53"/>
      <c r="JQ290" s="53"/>
      <c r="JR290" s="53"/>
      <c r="JS290" s="53"/>
      <c r="JT290" s="53"/>
      <c r="JU290" s="53"/>
      <c r="JV290" s="53"/>
      <c r="JW290" s="53"/>
      <c r="JX290" s="53"/>
      <c r="JY290" s="53"/>
      <c r="JZ290" s="53"/>
      <c r="KA290" s="53"/>
      <c r="KB290" s="53"/>
      <c r="KC290" s="53"/>
      <c r="KD290" s="53"/>
      <c r="KE290" s="53"/>
      <c r="KF290" s="53"/>
      <c r="KG290" s="53"/>
      <c r="KH290" s="53"/>
      <c r="KI290" s="53"/>
      <c r="KJ290" s="53"/>
      <c r="KK290" s="53"/>
      <c r="KL290" s="53"/>
      <c r="KM290" s="53"/>
      <c r="KN290" s="53"/>
      <c r="KO290" s="53"/>
      <c r="KP290" s="53"/>
      <c r="KQ290" s="53"/>
      <c r="KR290" s="53"/>
      <c r="KS290" s="53"/>
      <c r="KT290" s="53"/>
      <c r="KU290" s="53"/>
      <c r="KV290" s="53"/>
      <c r="KW290" s="53"/>
      <c r="KX290" s="53"/>
      <c r="KY290" s="53"/>
      <c r="KZ290" s="53"/>
      <c r="LA290" s="53"/>
      <c r="LB290" s="53"/>
      <c r="LC290" s="53"/>
      <c r="LD290" s="53"/>
      <c r="LE290" s="53"/>
      <c r="LF290" s="53"/>
      <c r="LG290" s="53"/>
      <c r="LH290" s="53"/>
      <c r="LI290" s="53"/>
      <c r="LJ290" s="53"/>
      <c r="LK290" s="53"/>
      <c r="LL290" s="53"/>
      <c r="LM290" s="53"/>
      <c r="LN290" s="53"/>
      <c r="LO290" s="53"/>
      <c r="LP290" s="53"/>
      <c r="LQ290" s="53"/>
      <c r="LR290" s="53"/>
      <c r="LS290" s="53"/>
      <c r="LT290" s="53"/>
      <c r="LU290" s="53"/>
      <c r="LV290" s="53"/>
      <c r="LW290" s="53"/>
      <c r="LX290" s="53"/>
      <c r="LY290" s="53"/>
      <c r="LZ290" s="53"/>
      <c r="MA290" s="53"/>
      <c r="MB290" s="53"/>
      <c r="MC290" s="53"/>
      <c r="MD290" s="53"/>
      <c r="ME290" s="53"/>
      <c r="MF290" s="53"/>
      <c r="MG290" s="53"/>
      <c r="MH290" s="53"/>
      <c r="MI290" s="53"/>
      <c r="MJ290" s="53"/>
      <c r="MK290" s="53"/>
      <c r="ML290" s="53"/>
      <c r="MM290" s="53"/>
      <c r="MN290" s="53"/>
      <c r="MO290" s="53"/>
      <c r="MP290" s="53"/>
      <c r="MQ290" s="53"/>
      <c r="MR290" s="53"/>
      <c r="MS290" s="53"/>
      <c r="MT290" s="53"/>
      <c r="MU290" s="53"/>
      <c r="MV290" s="53"/>
      <c r="MW290" s="53"/>
      <c r="MX290" s="53"/>
      <c r="MY290" s="53"/>
      <c r="MZ290" s="53"/>
      <c r="NA290" s="53"/>
      <c r="NB290" s="53"/>
      <c r="NC290" s="53"/>
      <c r="ND290" s="53"/>
      <c r="NE290" s="53"/>
      <c r="NF290" s="53"/>
      <c r="NG290" s="53"/>
      <c r="NH290" s="53"/>
      <c r="NI290" s="53"/>
      <c r="NJ290" s="53"/>
      <c r="NK290" s="53"/>
      <c r="NL290" s="53"/>
      <c r="NM290" s="53"/>
      <c r="NN290" s="53"/>
      <c r="NO290" s="53"/>
      <c r="NP290" s="53"/>
      <c r="NQ290" s="53"/>
      <c r="NR290" s="53"/>
      <c r="NS290" s="53"/>
      <c r="NT290" s="53"/>
      <c r="NU290" s="53"/>
      <c r="NV290" s="53"/>
      <c r="NW290" s="53"/>
      <c r="NX290" s="53"/>
      <c r="NY290" s="53"/>
      <c r="NZ290" s="53"/>
      <c r="OA290" s="53"/>
      <c r="OB290" s="53"/>
      <c r="OC290" s="53"/>
      <c r="OD290" s="53"/>
      <c r="OE290" s="53"/>
      <c r="OF290" s="53"/>
      <c r="OG290" s="53"/>
      <c r="OH290" s="53"/>
      <c r="OI290" s="53"/>
      <c r="OJ290" s="53"/>
      <c r="OK290" s="53"/>
      <c r="OL290" s="53"/>
      <c r="OM290" s="53"/>
      <c r="ON290" s="53"/>
      <c r="OO290" s="53"/>
      <c r="OP290" s="53"/>
      <c r="OQ290" s="53"/>
      <c r="OR290" s="53"/>
      <c r="OS290" s="53"/>
      <c r="OT290" s="53"/>
      <c r="OU290" s="53"/>
      <c r="OV290" s="53"/>
      <c r="OW290" s="53"/>
      <c r="OX290" s="53"/>
      <c r="OY290" s="53"/>
      <c r="OZ290" s="53"/>
      <c r="PA290" s="53"/>
      <c r="PB290" s="53"/>
      <c r="PC290" s="53"/>
      <c r="PD290" s="53"/>
      <c r="PE290" s="53"/>
      <c r="PF290" s="53"/>
      <c r="PG290" s="53"/>
      <c r="PH290" s="53"/>
      <c r="PI290" s="53"/>
      <c r="PJ290" s="53"/>
      <c r="PK290" s="53"/>
      <c r="PL290" s="53"/>
      <c r="PM290" s="53"/>
      <c r="PN290" s="53"/>
      <c r="PO290" s="53"/>
      <c r="PP290" s="53"/>
      <c r="PQ290" s="53"/>
      <c r="PR290" s="53"/>
      <c r="PS290" s="53"/>
      <c r="PT290" s="53"/>
      <c r="PU290" s="53"/>
      <c r="PV290" s="53"/>
      <c r="PW290" s="53"/>
      <c r="PX290" s="53"/>
      <c r="PY290" s="53"/>
      <c r="PZ290" s="53"/>
      <c r="QA290" s="53"/>
      <c r="QB290" s="53"/>
      <c r="QC290" s="53"/>
      <c r="QD290" s="53"/>
      <c r="QE290" s="53"/>
      <c r="QF290" s="53"/>
      <c r="QG290" s="53"/>
      <c r="QH290" s="53"/>
      <c r="QI290" s="53"/>
      <c r="QJ290" s="53"/>
      <c r="QK290" s="53"/>
      <c r="QL290" s="53"/>
      <c r="QM290" s="53"/>
      <c r="QN290" s="53"/>
      <c r="QO290" s="53"/>
      <c r="QP290" s="53"/>
      <c r="QQ290" s="53"/>
      <c r="QR290" s="53"/>
      <c r="QS290" s="53"/>
      <c r="QT290" s="53"/>
      <c r="QU290" s="53"/>
      <c r="QV290" s="53"/>
      <c r="QW290" s="53"/>
      <c r="QX290" s="53"/>
      <c r="QY290" s="53"/>
      <c r="QZ290" s="53"/>
      <c r="RA290" s="53"/>
      <c r="RB290" s="53"/>
      <c r="RC290" s="53"/>
      <c r="RD290" s="53"/>
      <c r="RE290" s="53"/>
      <c r="RF290" s="53"/>
      <c r="RG290" s="53"/>
      <c r="RH290" s="53"/>
      <c r="RI290" s="53"/>
      <c r="RJ290" s="53"/>
      <c r="RK290" s="53"/>
      <c r="RL290" s="53"/>
      <c r="RM290" s="53"/>
      <c r="RN290" s="53"/>
      <c r="RO290" s="53"/>
      <c r="RP290" s="53"/>
      <c r="RQ290" s="53"/>
      <c r="RR290" s="53"/>
      <c r="RS290" s="53"/>
      <c r="RT290" s="53"/>
      <c r="RU290" s="53"/>
      <c r="RV290" s="53"/>
      <c r="RW290" s="53"/>
      <c r="RX290" s="53"/>
      <c r="RY290" s="53"/>
      <c r="RZ290" s="53"/>
      <c r="SA290" s="53"/>
      <c r="SB290" s="53"/>
      <c r="SC290" s="53"/>
      <c r="SD290" s="53"/>
      <c r="SE290" s="53"/>
      <c r="SF290" s="53"/>
      <c r="SG290" s="53"/>
      <c r="SH290" s="53"/>
      <c r="SI290" s="53"/>
      <c r="SJ290" s="53"/>
      <c r="SK290" s="53"/>
      <c r="SL290" s="53"/>
      <c r="SM290" s="53"/>
      <c r="SN290" s="53"/>
      <c r="SO290" s="53"/>
      <c r="SP290" s="53"/>
      <c r="SQ290" s="53"/>
      <c r="SR290" s="53"/>
      <c r="SS290" s="53"/>
      <c r="ST290" s="53"/>
      <c r="SU290" s="53"/>
      <c r="SV290" s="53"/>
      <c r="SW290" s="53"/>
      <c r="SX290" s="53"/>
      <c r="SY290" s="53"/>
      <c r="SZ290" s="53"/>
      <c r="TA290" s="53"/>
      <c r="TB290" s="53"/>
      <c r="TC290" s="53"/>
      <c r="TD290" s="53"/>
      <c r="TE290" s="53"/>
      <c r="TF290" s="53"/>
      <c r="TG290" s="53"/>
      <c r="TH290" s="53"/>
      <c r="TI290" s="53"/>
      <c r="TJ290" s="53"/>
      <c r="TK290" s="53"/>
      <c r="TL290" s="53"/>
      <c r="TM290" s="53"/>
      <c r="TN290" s="53"/>
      <c r="TO290" s="53"/>
      <c r="TP290" s="53"/>
      <c r="TQ290" s="53"/>
      <c r="TR290" s="53"/>
      <c r="TS290" s="53"/>
      <c r="TT290" s="53"/>
      <c r="TU290" s="53"/>
      <c r="TV290" s="53"/>
      <c r="TW290" s="53"/>
      <c r="TX290" s="53"/>
      <c r="TY290" s="53"/>
      <c r="TZ290" s="53"/>
      <c r="UA290" s="53"/>
      <c r="UB290" s="53"/>
      <c r="UC290" s="53"/>
      <c r="UD290" s="53"/>
      <c r="UE290" s="53"/>
      <c r="UF290" s="53"/>
      <c r="UG290" s="53"/>
      <c r="UH290" s="53"/>
      <c r="UI290" s="53"/>
      <c r="UJ290" s="53"/>
      <c r="UK290" s="53"/>
      <c r="UL290" s="53"/>
      <c r="UM290" s="53"/>
      <c r="UN290" s="53"/>
      <c r="UO290" s="53"/>
      <c r="UP290" s="53"/>
      <c r="UQ290" s="53"/>
      <c r="UR290" s="53"/>
      <c r="US290" s="53"/>
      <c r="UT290" s="53"/>
      <c r="UU290" s="53"/>
      <c r="UV290" s="53"/>
      <c r="UW290" s="53"/>
      <c r="UX290" s="53"/>
      <c r="UY290" s="53"/>
      <c r="UZ290" s="53"/>
      <c r="VA290" s="53"/>
      <c r="VB290" s="53"/>
      <c r="VC290" s="53"/>
      <c r="VD290" s="53"/>
      <c r="VE290" s="53"/>
      <c r="VF290" s="53"/>
      <c r="VG290" s="53"/>
      <c r="VH290" s="53"/>
      <c r="VI290" s="53"/>
      <c r="VJ290" s="53"/>
      <c r="VK290" s="53"/>
      <c r="VL290" s="53"/>
    </row>
    <row r="291" spans="1:584" s="47" customFormat="1" ht="37.5" customHeight="1" x14ac:dyDescent="0.25">
      <c r="A291" s="49" t="s">
        <v>343</v>
      </c>
      <c r="B291" s="93" t="str">
        <f>'дод 3'!A190</f>
        <v>7650</v>
      </c>
      <c r="C291" s="93" t="str">
        <f>'дод 3'!B190</f>
        <v>0490</v>
      </c>
      <c r="D291" s="46" t="str">
        <f>'дод 3'!C190</f>
        <v>Проведення експертної  грошової  оцінки  земельної ділянки чи права на неї</v>
      </c>
      <c r="E291" s="115">
        <v>0</v>
      </c>
      <c r="F291" s="115"/>
      <c r="G291" s="115"/>
      <c r="H291" s="115"/>
      <c r="I291" s="115"/>
      <c r="J291" s="115"/>
      <c r="K291" s="164"/>
      <c r="L291" s="115">
        <f t="shared" si="71"/>
        <v>50000</v>
      </c>
      <c r="M291" s="115">
        <v>50000</v>
      </c>
      <c r="N291" s="115"/>
      <c r="O291" s="115"/>
      <c r="P291" s="115"/>
      <c r="Q291" s="115">
        <v>50000</v>
      </c>
      <c r="R291" s="115">
        <f t="shared" si="72"/>
        <v>13500</v>
      </c>
      <c r="S291" s="115">
        <v>13500</v>
      </c>
      <c r="T291" s="115"/>
      <c r="U291" s="115"/>
      <c r="V291" s="115"/>
      <c r="W291" s="115">
        <v>13500</v>
      </c>
      <c r="X291" s="166">
        <f t="shared" si="84"/>
        <v>27</v>
      </c>
      <c r="Y291" s="115">
        <f t="shared" si="96"/>
        <v>13500</v>
      </c>
      <c r="Z291" s="187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3"/>
      <c r="CY291" s="53"/>
      <c r="CZ291" s="53"/>
      <c r="DA291" s="53"/>
      <c r="DB291" s="53"/>
      <c r="DC291" s="53"/>
      <c r="DD291" s="53"/>
      <c r="DE291" s="53"/>
      <c r="DF291" s="53"/>
      <c r="DG291" s="53"/>
      <c r="DH291" s="53"/>
      <c r="DI291" s="53"/>
      <c r="DJ291" s="53"/>
      <c r="DK291" s="53"/>
      <c r="DL291" s="53"/>
      <c r="DM291" s="53"/>
      <c r="DN291" s="53"/>
      <c r="DO291" s="53"/>
      <c r="DP291" s="53"/>
      <c r="DQ291" s="53"/>
      <c r="DR291" s="53"/>
      <c r="DS291" s="53"/>
      <c r="DT291" s="53"/>
      <c r="DU291" s="53"/>
      <c r="DV291" s="53"/>
      <c r="DW291" s="53"/>
      <c r="DX291" s="53"/>
      <c r="DY291" s="53"/>
      <c r="DZ291" s="53"/>
      <c r="EA291" s="53"/>
      <c r="EB291" s="53"/>
      <c r="EC291" s="53"/>
      <c r="ED291" s="53"/>
      <c r="EE291" s="53"/>
      <c r="EF291" s="53"/>
      <c r="EG291" s="53"/>
      <c r="EH291" s="53"/>
      <c r="EI291" s="53"/>
      <c r="EJ291" s="53"/>
      <c r="EK291" s="53"/>
      <c r="EL291" s="53"/>
      <c r="EM291" s="53"/>
      <c r="EN291" s="53"/>
      <c r="EO291" s="53"/>
      <c r="EP291" s="53"/>
      <c r="EQ291" s="53"/>
      <c r="ER291" s="53"/>
      <c r="ES291" s="53"/>
      <c r="ET291" s="53"/>
      <c r="EU291" s="53"/>
      <c r="EV291" s="53"/>
      <c r="EW291" s="53"/>
      <c r="EX291" s="53"/>
      <c r="EY291" s="53"/>
      <c r="EZ291" s="53"/>
      <c r="FA291" s="53"/>
      <c r="FB291" s="53"/>
      <c r="FC291" s="53"/>
      <c r="FD291" s="53"/>
      <c r="FE291" s="53"/>
      <c r="FF291" s="53"/>
      <c r="FG291" s="53"/>
      <c r="FH291" s="53"/>
      <c r="FI291" s="53"/>
      <c r="FJ291" s="53"/>
      <c r="FK291" s="53"/>
      <c r="FL291" s="53"/>
      <c r="FM291" s="53"/>
      <c r="FN291" s="53"/>
      <c r="FO291" s="53"/>
      <c r="FP291" s="53"/>
      <c r="FQ291" s="53"/>
      <c r="FR291" s="53"/>
      <c r="FS291" s="53"/>
      <c r="FT291" s="53"/>
      <c r="FU291" s="53"/>
      <c r="FV291" s="53"/>
      <c r="FW291" s="53"/>
      <c r="FX291" s="53"/>
      <c r="FY291" s="53"/>
      <c r="FZ291" s="53"/>
      <c r="GA291" s="53"/>
      <c r="GB291" s="53"/>
      <c r="GC291" s="53"/>
      <c r="GD291" s="53"/>
      <c r="GE291" s="53"/>
      <c r="GF291" s="53"/>
      <c r="GG291" s="53"/>
      <c r="GH291" s="53"/>
      <c r="GI291" s="53"/>
      <c r="GJ291" s="53"/>
      <c r="GK291" s="53"/>
      <c r="GL291" s="53"/>
      <c r="GM291" s="53"/>
      <c r="GN291" s="53"/>
      <c r="GO291" s="53"/>
      <c r="GP291" s="53"/>
      <c r="GQ291" s="53"/>
      <c r="GR291" s="53"/>
      <c r="GS291" s="53"/>
      <c r="GT291" s="53"/>
      <c r="GU291" s="53"/>
      <c r="GV291" s="53"/>
      <c r="GW291" s="53"/>
      <c r="GX291" s="53"/>
      <c r="GY291" s="53"/>
      <c r="GZ291" s="53"/>
      <c r="HA291" s="53"/>
      <c r="HB291" s="53"/>
      <c r="HC291" s="53"/>
      <c r="HD291" s="53"/>
      <c r="HE291" s="53"/>
      <c r="HF291" s="53"/>
      <c r="HG291" s="53"/>
      <c r="HH291" s="53"/>
      <c r="HI291" s="53"/>
      <c r="HJ291" s="53"/>
      <c r="HK291" s="53"/>
      <c r="HL291" s="53"/>
      <c r="HM291" s="53"/>
      <c r="HN291" s="53"/>
      <c r="HO291" s="53"/>
      <c r="HP291" s="53"/>
      <c r="HQ291" s="53"/>
      <c r="HR291" s="53"/>
      <c r="HS291" s="53"/>
      <c r="HT291" s="53"/>
      <c r="HU291" s="53"/>
      <c r="HV291" s="53"/>
      <c r="HW291" s="53"/>
      <c r="HX291" s="53"/>
      <c r="HY291" s="53"/>
      <c r="HZ291" s="53"/>
      <c r="IA291" s="53"/>
      <c r="IB291" s="53"/>
      <c r="IC291" s="53"/>
      <c r="ID291" s="53"/>
      <c r="IE291" s="53"/>
      <c r="IF291" s="53"/>
      <c r="IG291" s="53"/>
      <c r="IH291" s="53"/>
      <c r="II291" s="53"/>
      <c r="IJ291" s="53"/>
      <c r="IK291" s="53"/>
      <c r="IL291" s="53"/>
      <c r="IM291" s="53"/>
      <c r="IN291" s="53"/>
      <c r="IO291" s="53"/>
      <c r="IP291" s="53"/>
      <c r="IQ291" s="53"/>
      <c r="IR291" s="53"/>
      <c r="IS291" s="53"/>
      <c r="IT291" s="53"/>
      <c r="IU291" s="53"/>
      <c r="IV291" s="53"/>
      <c r="IW291" s="53"/>
      <c r="IX291" s="53"/>
      <c r="IY291" s="53"/>
      <c r="IZ291" s="53"/>
      <c r="JA291" s="53"/>
      <c r="JB291" s="53"/>
      <c r="JC291" s="53"/>
      <c r="JD291" s="53"/>
      <c r="JE291" s="53"/>
      <c r="JF291" s="53"/>
      <c r="JG291" s="53"/>
      <c r="JH291" s="53"/>
      <c r="JI291" s="53"/>
      <c r="JJ291" s="53"/>
      <c r="JK291" s="53"/>
      <c r="JL291" s="53"/>
      <c r="JM291" s="53"/>
      <c r="JN291" s="53"/>
      <c r="JO291" s="53"/>
      <c r="JP291" s="53"/>
      <c r="JQ291" s="53"/>
      <c r="JR291" s="53"/>
      <c r="JS291" s="53"/>
      <c r="JT291" s="53"/>
      <c r="JU291" s="53"/>
      <c r="JV291" s="53"/>
      <c r="JW291" s="53"/>
      <c r="JX291" s="53"/>
      <c r="JY291" s="53"/>
      <c r="JZ291" s="53"/>
      <c r="KA291" s="53"/>
      <c r="KB291" s="53"/>
      <c r="KC291" s="53"/>
      <c r="KD291" s="53"/>
      <c r="KE291" s="53"/>
      <c r="KF291" s="53"/>
      <c r="KG291" s="53"/>
      <c r="KH291" s="53"/>
      <c r="KI291" s="53"/>
      <c r="KJ291" s="53"/>
      <c r="KK291" s="53"/>
      <c r="KL291" s="53"/>
      <c r="KM291" s="53"/>
      <c r="KN291" s="53"/>
      <c r="KO291" s="53"/>
      <c r="KP291" s="53"/>
      <c r="KQ291" s="53"/>
      <c r="KR291" s="53"/>
      <c r="KS291" s="53"/>
      <c r="KT291" s="53"/>
      <c r="KU291" s="53"/>
      <c r="KV291" s="53"/>
      <c r="KW291" s="53"/>
      <c r="KX291" s="53"/>
      <c r="KY291" s="53"/>
      <c r="KZ291" s="53"/>
      <c r="LA291" s="53"/>
      <c r="LB291" s="53"/>
      <c r="LC291" s="53"/>
      <c r="LD291" s="53"/>
      <c r="LE291" s="53"/>
      <c r="LF291" s="53"/>
      <c r="LG291" s="53"/>
      <c r="LH291" s="53"/>
      <c r="LI291" s="53"/>
      <c r="LJ291" s="53"/>
      <c r="LK291" s="53"/>
      <c r="LL291" s="53"/>
      <c r="LM291" s="53"/>
      <c r="LN291" s="53"/>
      <c r="LO291" s="53"/>
      <c r="LP291" s="53"/>
      <c r="LQ291" s="53"/>
      <c r="LR291" s="53"/>
      <c r="LS291" s="53"/>
      <c r="LT291" s="53"/>
      <c r="LU291" s="53"/>
      <c r="LV291" s="53"/>
      <c r="LW291" s="53"/>
      <c r="LX291" s="53"/>
      <c r="LY291" s="53"/>
      <c r="LZ291" s="53"/>
      <c r="MA291" s="53"/>
      <c r="MB291" s="53"/>
      <c r="MC291" s="53"/>
      <c r="MD291" s="53"/>
      <c r="ME291" s="53"/>
      <c r="MF291" s="53"/>
      <c r="MG291" s="53"/>
      <c r="MH291" s="53"/>
      <c r="MI291" s="53"/>
      <c r="MJ291" s="53"/>
      <c r="MK291" s="53"/>
      <c r="ML291" s="53"/>
      <c r="MM291" s="53"/>
      <c r="MN291" s="53"/>
      <c r="MO291" s="53"/>
      <c r="MP291" s="53"/>
      <c r="MQ291" s="53"/>
      <c r="MR291" s="53"/>
      <c r="MS291" s="53"/>
      <c r="MT291" s="53"/>
      <c r="MU291" s="53"/>
      <c r="MV291" s="53"/>
      <c r="MW291" s="53"/>
      <c r="MX291" s="53"/>
      <c r="MY291" s="53"/>
      <c r="MZ291" s="53"/>
      <c r="NA291" s="53"/>
      <c r="NB291" s="53"/>
      <c r="NC291" s="53"/>
      <c r="ND291" s="53"/>
      <c r="NE291" s="53"/>
      <c r="NF291" s="53"/>
      <c r="NG291" s="53"/>
      <c r="NH291" s="53"/>
      <c r="NI291" s="53"/>
      <c r="NJ291" s="53"/>
      <c r="NK291" s="53"/>
      <c r="NL291" s="53"/>
      <c r="NM291" s="53"/>
      <c r="NN291" s="53"/>
      <c r="NO291" s="53"/>
      <c r="NP291" s="53"/>
      <c r="NQ291" s="53"/>
      <c r="NR291" s="53"/>
      <c r="NS291" s="53"/>
      <c r="NT291" s="53"/>
      <c r="NU291" s="53"/>
      <c r="NV291" s="53"/>
      <c r="NW291" s="53"/>
      <c r="NX291" s="53"/>
      <c r="NY291" s="53"/>
      <c r="NZ291" s="53"/>
      <c r="OA291" s="53"/>
      <c r="OB291" s="53"/>
      <c r="OC291" s="53"/>
      <c r="OD291" s="53"/>
      <c r="OE291" s="53"/>
      <c r="OF291" s="53"/>
      <c r="OG291" s="53"/>
      <c r="OH291" s="53"/>
      <c r="OI291" s="53"/>
      <c r="OJ291" s="53"/>
      <c r="OK291" s="53"/>
      <c r="OL291" s="53"/>
      <c r="OM291" s="53"/>
      <c r="ON291" s="53"/>
      <c r="OO291" s="53"/>
      <c r="OP291" s="53"/>
      <c r="OQ291" s="53"/>
      <c r="OR291" s="53"/>
      <c r="OS291" s="53"/>
      <c r="OT291" s="53"/>
      <c r="OU291" s="53"/>
      <c r="OV291" s="53"/>
      <c r="OW291" s="53"/>
      <c r="OX291" s="53"/>
      <c r="OY291" s="53"/>
      <c r="OZ291" s="53"/>
      <c r="PA291" s="53"/>
      <c r="PB291" s="53"/>
      <c r="PC291" s="53"/>
      <c r="PD291" s="53"/>
      <c r="PE291" s="53"/>
      <c r="PF291" s="53"/>
      <c r="PG291" s="53"/>
      <c r="PH291" s="53"/>
      <c r="PI291" s="53"/>
      <c r="PJ291" s="53"/>
      <c r="PK291" s="53"/>
      <c r="PL291" s="53"/>
      <c r="PM291" s="53"/>
      <c r="PN291" s="53"/>
      <c r="PO291" s="53"/>
      <c r="PP291" s="53"/>
      <c r="PQ291" s="53"/>
      <c r="PR291" s="53"/>
      <c r="PS291" s="53"/>
      <c r="PT291" s="53"/>
      <c r="PU291" s="53"/>
      <c r="PV291" s="53"/>
      <c r="PW291" s="53"/>
      <c r="PX291" s="53"/>
      <c r="PY291" s="53"/>
      <c r="PZ291" s="53"/>
      <c r="QA291" s="53"/>
      <c r="QB291" s="53"/>
      <c r="QC291" s="53"/>
      <c r="QD291" s="53"/>
      <c r="QE291" s="53"/>
      <c r="QF291" s="53"/>
      <c r="QG291" s="53"/>
      <c r="QH291" s="53"/>
      <c r="QI291" s="53"/>
      <c r="QJ291" s="53"/>
      <c r="QK291" s="53"/>
      <c r="QL291" s="53"/>
      <c r="QM291" s="53"/>
      <c r="QN291" s="53"/>
      <c r="QO291" s="53"/>
      <c r="QP291" s="53"/>
      <c r="QQ291" s="53"/>
      <c r="QR291" s="53"/>
      <c r="QS291" s="53"/>
      <c r="QT291" s="53"/>
      <c r="QU291" s="53"/>
      <c r="QV291" s="53"/>
      <c r="QW291" s="53"/>
      <c r="QX291" s="53"/>
      <c r="QY291" s="53"/>
      <c r="QZ291" s="53"/>
      <c r="RA291" s="53"/>
      <c r="RB291" s="53"/>
      <c r="RC291" s="53"/>
      <c r="RD291" s="53"/>
      <c r="RE291" s="53"/>
      <c r="RF291" s="53"/>
      <c r="RG291" s="53"/>
      <c r="RH291" s="53"/>
      <c r="RI291" s="53"/>
      <c r="RJ291" s="53"/>
      <c r="RK291" s="53"/>
      <c r="RL291" s="53"/>
      <c r="RM291" s="53"/>
      <c r="RN291" s="53"/>
      <c r="RO291" s="53"/>
      <c r="RP291" s="53"/>
      <c r="RQ291" s="53"/>
      <c r="RR291" s="53"/>
      <c r="RS291" s="53"/>
      <c r="RT291" s="53"/>
      <c r="RU291" s="53"/>
      <c r="RV291" s="53"/>
      <c r="RW291" s="53"/>
      <c r="RX291" s="53"/>
      <c r="RY291" s="53"/>
      <c r="RZ291" s="53"/>
      <c r="SA291" s="53"/>
      <c r="SB291" s="53"/>
      <c r="SC291" s="53"/>
      <c r="SD291" s="53"/>
      <c r="SE291" s="53"/>
      <c r="SF291" s="53"/>
      <c r="SG291" s="53"/>
      <c r="SH291" s="53"/>
      <c r="SI291" s="53"/>
      <c r="SJ291" s="53"/>
      <c r="SK291" s="53"/>
      <c r="SL291" s="53"/>
      <c r="SM291" s="53"/>
      <c r="SN291" s="53"/>
      <c r="SO291" s="53"/>
      <c r="SP291" s="53"/>
      <c r="SQ291" s="53"/>
      <c r="SR291" s="53"/>
      <c r="SS291" s="53"/>
      <c r="ST291" s="53"/>
      <c r="SU291" s="53"/>
      <c r="SV291" s="53"/>
      <c r="SW291" s="53"/>
      <c r="SX291" s="53"/>
      <c r="SY291" s="53"/>
      <c r="SZ291" s="53"/>
      <c r="TA291" s="53"/>
      <c r="TB291" s="53"/>
      <c r="TC291" s="53"/>
      <c r="TD291" s="53"/>
      <c r="TE291" s="53"/>
      <c r="TF291" s="53"/>
      <c r="TG291" s="53"/>
      <c r="TH291" s="53"/>
      <c r="TI291" s="53"/>
      <c r="TJ291" s="53"/>
      <c r="TK291" s="53"/>
      <c r="TL291" s="53"/>
      <c r="TM291" s="53"/>
      <c r="TN291" s="53"/>
      <c r="TO291" s="53"/>
      <c r="TP291" s="53"/>
      <c r="TQ291" s="53"/>
      <c r="TR291" s="53"/>
      <c r="TS291" s="53"/>
      <c r="TT291" s="53"/>
      <c r="TU291" s="53"/>
      <c r="TV291" s="53"/>
      <c r="TW291" s="53"/>
      <c r="TX291" s="53"/>
      <c r="TY291" s="53"/>
      <c r="TZ291" s="53"/>
      <c r="UA291" s="53"/>
      <c r="UB291" s="53"/>
      <c r="UC291" s="53"/>
      <c r="UD291" s="53"/>
      <c r="UE291" s="53"/>
      <c r="UF291" s="53"/>
      <c r="UG291" s="53"/>
      <c r="UH291" s="53"/>
      <c r="UI291" s="53"/>
      <c r="UJ291" s="53"/>
      <c r="UK291" s="53"/>
      <c r="UL291" s="53"/>
      <c r="UM291" s="53"/>
      <c r="UN291" s="53"/>
      <c r="UO291" s="53"/>
      <c r="UP291" s="53"/>
      <c r="UQ291" s="53"/>
      <c r="UR291" s="53"/>
      <c r="US291" s="53"/>
      <c r="UT291" s="53"/>
      <c r="UU291" s="53"/>
      <c r="UV291" s="53"/>
      <c r="UW291" s="53"/>
      <c r="UX291" s="53"/>
      <c r="UY291" s="53"/>
      <c r="UZ291" s="53"/>
      <c r="VA291" s="53"/>
      <c r="VB291" s="53"/>
      <c r="VC291" s="53"/>
      <c r="VD291" s="53"/>
      <c r="VE291" s="53"/>
      <c r="VF291" s="53"/>
      <c r="VG291" s="53"/>
      <c r="VH291" s="53"/>
      <c r="VI291" s="53"/>
      <c r="VJ291" s="53"/>
      <c r="VK291" s="53"/>
      <c r="VL291" s="53"/>
    </row>
    <row r="292" spans="1:584" s="47" customFormat="1" ht="51.75" customHeight="1" x14ac:dyDescent="0.25">
      <c r="A292" s="49" t="s">
        <v>345</v>
      </c>
      <c r="B292" s="93" t="str">
        <f>'дод 3'!A191</f>
        <v>7660</v>
      </c>
      <c r="C292" s="93" t="str">
        <f>'дод 3'!B191</f>
        <v>0490</v>
      </c>
      <c r="D292" s="46" t="str">
        <f>'дод 3'!C191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2" s="115">
        <v>0</v>
      </c>
      <c r="F292" s="115"/>
      <c r="G292" s="115"/>
      <c r="H292" s="115"/>
      <c r="I292" s="115"/>
      <c r="J292" s="115"/>
      <c r="K292" s="164"/>
      <c r="L292" s="115">
        <f t="shared" si="71"/>
        <v>25000</v>
      </c>
      <c r="M292" s="115">
        <v>25000</v>
      </c>
      <c r="N292" s="115"/>
      <c r="O292" s="115"/>
      <c r="P292" s="115"/>
      <c r="Q292" s="115">
        <v>25000</v>
      </c>
      <c r="R292" s="115">
        <f t="shared" si="72"/>
        <v>0</v>
      </c>
      <c r="S292" s="115"/>
      <c r="T292" s="115"/>
      <c r="U292" s="115"/>
      <c r="V292" s="115"/>
      <c r="W292" s="115"/>
      <c r="X292" s="149">
        <f t="shared" si="84"/>
        <v>0</v>
      </c>
      <c r="Y292" s="115">
        <f t="shared" si="96"/>
        <v>0</v>
      </c>
      <c r="Z292" s="187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3"/>
      <c r="EI292" s="53"/>
      <c r="EJ292" s="53"/>
      <c r="EK292" s="53"/>
      <c r="EL292" s="53"/>
      <c r="EM292" s="53"/>
      <c r="EN292" s="53"/>
      <c r="EO292" s="53"/>
      <c r="EP292" s="53"/>
      <c r="EQ292" s="53"/>
      <c r="ER292" s="53"/>
      <c r="ES292" s="53"/>
      <c r="ET292" s="53"/>
      <c r="EU292" s="53"/>
      <c r="EV292" s="53"/>
      <c r="EW292" s="53"/>
      <c r="EX292" s="53"/>
      <c r="EY292" s="53"/>
      <c r="EZ292" s="53"/>
      <c r="FA292" s="53"/>
      <c r="FB292" s="53"/>
      <c r="FC292" s="53"/>
      <c r="FD292" s="53"/>
      <c r="FE292" s="53"/>
      <c r="FF292" s="53"/>
      <c r="FG292" s="53"/>
      <c r="FH292" s="53"/>
      <c r="FI292" s="53"/>
      <c r="FJ292" s="53"/>
      <c r="FK292" s="53"/>
      <c r="FL292" s="53"/>
      <c r="FM292" s="53"/>
      <c r="FN292" s="53"/>
      <c r="FO292" s="53"/>
      <c r="FP292" s="53"/>
      <c r="FQ292" s="53"/>
      <c r="FR292" s="53"/>
      <c r="FS292" s="53"/>
      <c r="FT292" s="53"/>
      <c r="FU292" s="53"/>
      <c r="FV292" s="53"/>
      <c r="FW292" s="53"/>
      <c r="FX292" s="53"/>
      <c r="FY292" s="53"/>
      <c r="FZ292" s="53"/>
      <c r="GA292" s="53"/>
      <c r="GB292" s="53"/>
      <c r="GC292" s="53"/>
      <c r="GD292" s="53"/>
      <c r="GE292" s="53"/>
      <c r="GF292" s="53"/>
      <c r="GG292" s="53"/>
      <c r="GH292" s="53"/>
      <c r="GI292" s="53"/>
      <c r="GJ292" s="53"/>
      <c r="GK292" s="53"/>
      <c r="GL292" s="53"/>
      <c r="GM292" s="53"/>
      <c r="GN292" s="53"/>
      <c r="GO292" s="53"/>
      <c r="GP292" s="53"/>
      <c r="GQ292" s="53"/>
      <c r="GR292" s="53"/>
      <c r="GS292" s="53"/>
      <c r="GT292" s="53"/>
      <c r="GU292" s="53"/>
      <c r="GV292" s="53"/>
      <c r="GW292" s="53"/>
      <c r="GX292" s="53"/>
      <c r="GY292" s="53"/>
      <c r="GZ292" s="53"/>
      <c r="HA292" s="53"/>
      <c r="HB292" s="53"/>
      <c r="HC292" s="53"/>
      <c r="HD292" s="53"/>
      <c r="HE292" s="53"/>
      <c r="HF292" s="53"/>
      <c r="HG292" s="53"/>
      <c r="HH292" s="53"/>
      <c r="HI292" s="53"/>
      <c r="HJ292" s="53"/>
      <c r="HK292" s="53"/>
      <c r="HL292" s="53"/>
      <c r="HM292" s="53"/>
      <c r="HN292" s="53"/>
      <c r="HO292" s="53"/>
      <c r="HP292" s="53"/>
      <c r="HQ292" s="53"/>
      <c r="HR292" s="53"/>
      <c r="HS292" s="53"/>
      <c r="HT292" s="53"/>
      <c r="HU292" s="53"/>
      <c r="HV292" s="53"/>
      <c r="HW292" s="53"/>
      <c r="HX292" s="53"/>
      <c r="HY292" s="53"/>
      <c r="HZ292" s="53"/>
      <c r="IA292" s="53"/>
      <c r="IB292" s="53"/>
      <c r="IC292" s="53"/>
      <c r="ID292" s="53"/>
      <c r="IE292" s="53"/>
      <c r="IF292" s="53"/>
      <c r="IG292" s="53"/>
      <c r="IH292" s="53"/>
      <c r="II292" s="53"/>
      <c r="IJ292" s="53"/>
      <c r="IK292" s="53"/>
      <c r="IL292" s="53"/>
      <c r="IM292" s="53"/>
      <c r="IN292" s="53"/>
      <c r="IO292" s="53"/>
      <c r="IP292" s="53"/>
      <c r="IQ292" s="53"/>
      <c r="IR292" s="53"/>
      <c r="IS292" s="53"/>
      <c r="IT292" s="53"/>
      <c r="IU292" s="53"/>
      <c r="IV292" s="53"/>
      <c r="IW292" s="53"/>
      <c r="IX292" s="53"/>
      <c r="IY292" s="53"/>
      <c r="IZ292" s="53"/>
      <c r="JA292" s="53"/>
      <c r="JB292" s="53"/>
      <c r="JC292" s="53"/>
      <c r="JD292" s="53"/>
      <c r="JE292" s="53"/>
      <c r="JF292" s="53"/>
      <c r="JG292" s="53"/>
      <c r="JH292" s="53"/>
      <c r="JI292" s="53"/>
      <c r="JJ292" s="53"/>
      <c r="JK292" s="53"/>
      <c r="JL292" s="53"/>
      <c r="JM292" s="53"/>
      <c r="JN292" s="53"/>
      <c r="JO292" s="53"/>
      <c r="JP292" s="53"/>
      <c r="JQ292" s="53"/>
      <c r="JR292" s="53"/>
      <c r="JS292" s="53"/>
      <c r="JT292" s="53"/>
      <c r="JU292" s="53"/>
      <c r="JV292" s="53"/>
      <c r="JW292" s="53"/>
      <c r="JX292" s="53"/>
      <c r="JY292" s="53"/>
      <c r="JZ292" s="53"/>
      <c r="KA292" s="53"/>
      <c r="KB292" s="53"/>
      <c r="KC292" s="53"/>
      <c r="KD292" s="53"/>
      <c r="KE292" s="53"/>
      <c r="KF292" s="53"/>
      <c r="KG292" s="53"/>
      <c r="KH292" s="53"/>
      <c r="KI292" s="53"/>
      <c r="KJ292" s="53"/>
      <c r="KK292" s="53"/>
      <c r="KL292" s="53"/>
      <c r="KM292" s="53"/>
      <c r="KN292" s="53"/>
      <c r="KO292" s="53"/>
      <c r="KP292" s="53"/>
      <c r="KQ292" s="53"/>
      <c r="KR292" s="53"/>
      <c r="KS292" s="53"/>
      <c r="KT292" s="53"/>
      <c r="KU292" s="53"/>
      <c r="KV292" s="53"/>
      <c r="KW292" s="53"/>
      <c r="KX292" s="53"/>
      <c r="KY292" s="53"/>
      <c r="KZ292" s="53"/>
      <c r="LA292" s="53"/>
      <c r="LB292" s="53"/>
      <c r="LC292" s="53"/>
      <c r="LD292" s="53"/>
      <c r="LE292" s="53"/>
      <c r="LF292" s="53"/>
      <c r="LG292" s="53"/>
      <c r="LH292" s="53"/>
      <c r="LI292" s="53"/>
      <c r="LJ292" s="53"/>
      <c r="LK292" s="53"/>
      <c r="LL292" s="53"/>
      <c r="LM292" s="53"/>
      <c r="LN292" s="53"/>
      <c r="LO292" s="53"/>
      <c r="LP292" s="53"/>
      <c r="LQ292" s="53"/>
      <c r="LR292" s="53"/>
      <c r="LS292" s="53"/>
      <c r="LT292" s="53"/>
      <c r="LU292" s="53"/>
      <c r="LV292" s="53"/>
      <c r="LW292" s="53"/>
      <c r="LX292" s="53"/>
      <c r="LY292" s="53"/>
      <c r="LZ292" s="53"/>
      <c r="MA292" s="53"/>
      <c r="MB292" s="53"/>
      <c r="MC292" s="53"/>
      <c r="MD292" s="53"/>
      <c r="ME292" s="53"/>
      <c r="MF292" s="53"/>
      <c r="MG292" s="53"/>
      <c r="MH292" s="53"/>
      <c r="MI292" s="53"/>
      <c r="MJ292" s="53"/>
      <c r="MK292" s="53"/>
      <c r="ML292" s="53"/>
      <c r="MM292" s="53"/>
      <c r="MN292" s="53"/>
      <c r="MO292" s="53"/>
      <c r="MP292" s="53"/>
      <c r="MQ292" s="53"/>
      <c r="MR292" s="53"/>
      <c r="MS292" s="53"/>
      <c r="MT292" s="53"/>
      <c r="MU292" s="53"/>
      <c r="MV292" s="53"/>
      <c r="MW292" s="53"/>
      <c r="MX292" s="53"/>
      <c r="MY292" s="53"/>
      <c r="MZ292" s="53"/>
      <c r="NA292" s="53"/>
      <c r="NB292" s="53"/>
      <c r="NC292" s="53"/>
      <c r="ND292" s="53"/>
      <c r="NE292" s="53"/>
      <c r="NF292" s="53"/>
      <c r="NG292" s="53"/>
      <c r="NH292" s="53"/>
      <c r="NI292" s="53"/>
      <c r="NJ292" s="53"/>
      <c r="NK292" s="53"/>
      <c r="NL292" s="53"/>
      <c r="NM292" s="53"/>
      <c r="NN292" s="53"/>
      <c r="NO292" s="53"/>
      <c r="NP292" s="53"/>
      <c r="NQ292" s="53"/>
      <c r="NR292" s="53"/>
      <c r="NS292" s="53"/>
      <c r="NT292" s="53"/>
      <c r="NU292" s="53"/>
      <c r="NV292" s="53"/>
      <c r="NW292" s="53"/>
      <c r="NX292" s="53"/>
      <c r="NY292" s="53"/>
      <c r="NZ292" s="53"/>
      <c r="OA292" s="53"/>
      <c r="OB292" s="53"/>
      <c r="OC292" s="53"/>
      <c r="OD292" s="53"/>
      <c r="OE292" s="53"/>
      <c r="OF292" s="53"/>
      <c r="OG292" s="53"/>
      <c r="OH292" s="53"/>
      <c r="OI292" s="53"/>
      <c r="OJ292" s="53"/>
      <c r="OK292" s="53"/>
      <c r="OL292" s="53"/>
      <c r="OM292" s="53"/>
      <c r="ON292" s="53"/>
      <c r="OO292" s="53"/>
      <c r="OP292" s="53"/>
      <c r="OQ292" s="53"/>
      <c r="OR292" s="53"/>
      <c r="OS292" s="53"/>
      <c r="OT292" s="53"/>
      <c r="OU292" s="53"/>
      <c r="OV292" s="53"/>
      <c r="OW292" s="53"/>
      <c r="OX292" s="53"/>
      <c r="OY292" s="53"/>
      <c r="OZ292" s="53"/>
      <c r="PA292" s="53"/>
      <c r="PB292" s="53"/>
      <c r="PC292" s="53"/>
      <c r="PD292" s="53"/>
      <c r="PE292" s="53"/>
      <c r="PF292" s="53"/>
      <c r="PG292" s="53"/>
      <c r="PH292" s="53"/>
      <c r="PI292" s="53"/>
      <c r="PJ292" s="53"/>
      <c r="PK292" s="53"/>
      <c r="PL292" s="53"/>
      <c r="PM292" s="53"/>
      <c r="PN292" s="53"/>
      <c r="PO292" s="53"/>
      <c r="PP292" s="53"/>
      <c r="PQ292" s="53"/>
      <c r="PR292" s="53"/>
      <c r="PS292" s="53"/>
      <c r="PT292" s="53"/>
      <c r="PU292" s="53"/>
      <c r="PV292" s="53"/>
      <c r="PW292" s="53"/>
      <c r="PX292" s="53"/>
      <c r="PY292" s="53"/>
      <c r="PZ292" s="53"/>
      <c r="QA292" s="53"/>
      <c r="QB292" s="53"/>
      <c r="QC292" s="53"/>
      <c r="QD292" s="53"/>
      <c r="QE292" s="53"/>
      <c r="QF292" s="53"/>
      <c r="QG292" s="53"/>
      <c r="QH292" s="53"/>
      <c r="QI292" s="53"/>
      <c r="QJ292" s="53"/>
      <c r="QK292" s="53"/>
      <c r="QL292" s="53"/>
      <c r="QM292" s="53"/>
      <c r="QN292" s="53"/>
      <c r="QO292" s="53"/>
      <c r="QP292" s="53"/>
      <c r="QQ292" s="53"/>
      <c r="QR292" s="53"/>
      <c r="QS292" s="53"/>
      <c r="QT292" s="53"/>
      <c r="QU292" s="53"/>
      <c r="QV292" s="53"/>
      <c r="QW292" s="53"/>
      <c r="QX292" s="53"/>
      <c r="QY292" s="53"/>
      <c r="QZ292" s="53"/>
      <c r="RA292" s="53"/>
      <c r="RB292" s="53"/>
      <c r="RC292" s="53"/>
      <c r="RD292" s="53"/>
      <c r="RE292" s="53"/>
      <c r="RF292" s="53"/>
      <c r="RG292" s="53"/>
      <c r="RH292" s="53"/>
      <c r="RI292" s="53"/>
      <c r="RJ292" s="53"/>
      <c r="RK292" s="53"/>
      <c r="RL292" s="53"/>
      <c r="RM292" s="53"/>
      <c r="RN292" s="53"/>
      <c r="RO292" s="53"/>
      <c r="RP292" s="53"/>
      <c r="RQ292" s="53"/>
      <c r="RR292" s="53"/>
      <c r="RS292" s="53"/>
      <c r="RT292" s="53"/>
      <c r="RU292" s="53"/>
      <c r="RV292" s="53"/>
      <c r="RW292" s="53"/>
      <c r="RX292" s="53"/>
      <c r="RY292" s="53"/>
      <c r="RZ292" s="53"/>
      <c r="SA292" s="53"/>
      <c r="SB292" s="53"/>
      <c r="SC292" s="53"/>
      <c r="SD292" s="53"/>
      <c r="SE292" s="53"/>
      <c r="SF292" s="53"/>
      <c r="SG292" s="53"/>
      <c r="SH292" s="53"/>
      <c r="SI292" s="53"/>
      <c r="SJ292" s="53"/>
      <c r="SK292" s="53"/>
      <c r="SL292" s="53"/>
      <c r="SM292" s="53"/>
      <c r="SN292" s="53"/>
      <c r="SO292" s="53"/>
      <c r="SP292" s="53"/>
      <c r="SQ292" s="53"/>
      <c r="SR292" s="53"/>
      <c r="SS292" s="53"/>
      <c r="ST292" s="53"/>
      <c r="SU292" s="53"/>
      <c r="SV292" s="53"/>
      <c r="SW292" s="53"/>
      <c r="SX292" s="53"/>
      <c r="SY292" s="53"/>
      <c r="SZ292" s="53"/>
      <c r="TA292" s="53"/>
      <c r="TB292" s="53"/>
      <c r="TC292" s="53"/>
      <c r="TD292" s="53"/>
      <c r="TE292" s="53"/>
      <c r="TF292" s="53"/>
      <c r="TG292" s="53"/>
      <c r="TH292" s="53"/>
      <c r="TI292" s="53"/>
      <c r="TJ292" s="53"/>
      <c r="TK292" s="53"/>
      <c r="TL292" s="53"/>
      <c r="TM292" s="53"/>
      <c r="TN292" s="53"/>
      <c r="TO292" s="53"/>
      <c r="TP292" s="53"/>
      <c r="TQ292" s="53"/>
      <c r="TR292" s="53"/>
      <c r="TS292" s="53"/>
      <c r="TT292" s="53"/>
      <c r="TU292" s="53"/>
      <c r="TV292" s="53"/>
      <c r="TW292" s="53"/>
      <c r="TX292" s="53"/>
      <c r="TY292" s="53"/>
      <c r="TZ292" s="53"/>
      <c r="UA292" s="53"/>
      <c r="UB292" s="53"/>
      <c r="UC292" s="53"/>
      <c r="UD292" s="53"/>
      <c r="UE292" s="53"/>
      <c r="UF292" s="53"/>
      <c r="UG292" s="53"/>
      <c r="UH292" s="53"/>
      <c r="UI292" s="53"/>
      <c r="UJ292" s="53"/>
      <c r="UK292" s="53"/>
      <c r="UL292" s="53"/>
      <c r="UM292" s="53"/>
      <c r="UN292" s="53"/>
      <c r="UO292" s="53"/>
      <c r="UP292" s="53"/>
      <c r="UQ292" s="53"/>
      <c r="UR292" s="53"/>
      <c r="US292" s="53"/>
      <c r="UT292" s="53"/>
      <c r="UU292" s="53"/>
      <c r="UV292" s="53"/>
      <c r="UW292" s="53"/>
      <c r="UX292" s="53"/>
      <c r="UY292" s="53"/>
      <c r="UZ292" s="53"/>
      <c r="VA292" s="53"/>
      <c r="VB292" s="53"/>
      <c r="VC292" s="53"/>
      <c r="VD292" s="53"/>
      <c r="VE292" s="53"/>
      <c r="VF292" s="53"/>
      <c r="VG292" s="53"/>
      <c r="VH292" s="53"/>
      <c r="VI292" s="53"/>
      <c r="VJ292" s="53"/>
      <c r="VK292" s="53"/>
      <c r="VL292" s="53"/>
    </row>
    <row r="293" spans="1:584" s="47" customFormat="1" ht="23.25" customHeight="1" x14ac:dyDescent="0.25">
      <c r="A293" s="49" t="s">
        <v>339</v>
      </c>
      <c r="B293" s="93" t="str">
        <f>'дод 3'!A195</f>
        <v>7693</v>
      </c>
      <c r="C293" s="93" t="str">
        <f>'дод 3'!B195</f>
        <v>0490</v>
      </c>
      <c r="D293" s="46" t="str">
        <f>'дод 3'!C195</f>
        <v>Інші заходи, пов'язані з економічною діяльністю</v>
      </c>
      <c r="E293" s="115">
        <v>645000</v>
      </c>
      <c r="F293" s="115"/>
      <c r="G293" s="115"/>
      <c r="H293" s="115">
        <v>541033.93000000005</v>
      </c>
      <c r="I293" s="115"/>
      <c r="J293" s="115"/>
      <c r="K293" s="164">
        <f t="shared" si="83"/>
        <v>83.881229457364341</v>
      </c>
      <c r="L293" s="115">
        <f t="shared" si="71"/>
        <v>0</v>
      </c>
      <c r="M293" s="115"/>
      <c r="N293" s="115"/>
      <c r="O293" s="115"/>
      <c r="P293" s="115"/>
      <c r="Q293" s="115"/>
      <c r="R293" s="115">
        <f t="shared" si="72"/>
        <v>0</v>
      </c>
      <c r="S293" s="115"/>
      <c r="T293" s="115"/>
      <c r="U293" s="115"/>
      <c r="V293" s="115"/>
      <c r="W293" s="115"/>
      <c r="X293" s="149"/>
      <c r="Y293" s="115">
        <f t="shared" si="96"/>
        <v>541033.93000000005</v>
      </c>
      <c r="Z293" s="187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3"/>
      <c r="FD293" s="53"/>
      <c r="FE293" s="53"/>
      <c r="FF293" s="53"/>
      <c r="FG293" s="53"/>
      <c r="FH293" s="53"/>
      <c r="FI293" s="53"/>
      <c r="FJ293" s="53"/>
      <c r="FK293" s="53"/>
      <c r="FL293" s="53"/>
      <c r="FM293" s="53"/>
      <c r="FN293" s="53"/>
      <c r="FO293" s="53"/>
      <c r="FP293" s="53"/>
      <c r="FQ293" s="53"/>
      <c r="FR293" s="53"/>
      <c r="FS293" s="53"/>
      <c r="FT293" s="53"/>
      <c r="FU293" s="53"/>
      <c r="FV293" s="53"/>
      <c r="FW293" s="53"/>
      <c r="FX293" s="53"/>
      <c r="FY293" s="53"/>
      <c r="FZ293" s="53"/>
      <c r="GA293" s="53"/>
      <c r="GB293" s="53"/>
      <c r="GC293" s="53"/>
      <c r="GD293" s="53"/>
      <c r="GE293" s="53"/>
      <c r="GF293" s="53"/>
      <c r="GG293" s="53"/>
      <c r="GH293" s="53"/>
      <c r="GI293" s="53"/>
      <c r="GJ293" s="53"/>
      <c r="GK293" s="53"/>
      <c r="GL293" s="53"/>
      <c r="GM293" s="53"/>
      <c r="GN293" s="53"/>
      <c r="GO293" s="53"/>
      <c r="GP293" s="53"/>
      <c r="GQ293" s="53"/>
      <c r="GR293" s="53"/>
      <c r="GS293" s="53"/>
      <c r="GT293" s="53"/>
      <c r="GU293" s="53"/>
      <c r="GV293" s="53"/>
      <c r="GW293" s="53"/>
      <c r="GX293" s="53"/>
      <c r="GY293" s="53"/>
      <c r="GZ293" s="53"/>
      <c r="HA293" s="53"/>
      <c r="HB293" s="53"/>
      <c r="HC293" s="53"/>
      <c r="HD293" s="53"/>
      <c r="HE293" s="53"/>
      <c r="HF293" s="53"/>
      <c r="HG293" s="53"/>
      <c r="HH293" s="53"/>
      <c r="HI293" s="53"/>
      <c r="HJ293" s="53"/>
      <c r="HK293" s="53"/>
      <c r="HL293" s="53"/>
      <c r="HM293" s="53"/>
      <c r="HN293" s="53"/>
      <c r="HO293" s="53"/>
      <c r="HP293" s="53"/>
      <c r="HQ293" s="53"/>
      <c r="HR293" s="53"/>
      <c r="HS293" s="53"/>
      <c r="HT293" s="53"/>
      <c r="HU293" s="53"/>
      <c r="HV293" s="53"/>
      <c r="HW293" s="53"/>
      <c r="HX293" s="53"/>
      <c r="HY293" s="53"/>
      <c r="HZ293" s="53"/>
      <c r="IA293" s="53"/>
      <c r="IB293" s="53"/>
      <c r="IC293" s="53"/>
      <c r="ID293" s="53"/>
      <c r="IE293" s="53"/>
      <c r="IF293" s="53"/>
      <c r="IG293" s="53"/>
      <c r="IH293" s="53"/>
      <c r="II293" s="53"/>
      <c r="IJ293" s="53"/>
      <c r="IK293" s="53"/>
      <c r="IL293" s="53"/>
      <c r="IM293" s="53"/>
      <c r="IN293" s="53"/>
      <c r="IO293" s="53"/>
      <c r="IP293" s="53"/>
      <c r="IQ293" s="53"/>
      <c r="IR293" s="53"/>
      <c r="IS293" s="53"/>
      <c r="IT293" s="53"/>
      <c r="IU293" s="53"/>
      <c r="IV293" s="53"/>
      <c r="IW293" s="53"/>
      <c r="IX293" s="53"/>
      <c r="IY293" s="53"/>
      <c r="IZ293" s="53"/>
      <c r="JA293" s="53"/>
      <c r="JB293" s="53"/>
      <c r="JC293" s="53"/>
      <c r="JD293" s="53"/>
      <c r="JE293" s="53"/>
      <c r="JF293" s="53"/>
      <c r="JG293" s="53"/>
      <c r="JH293" s="53"/>
      <c r="JI293" s="53"/>
      <c r="JJ293" s="53"/>
      <c r="JK293" s="53"/>
      <c r="JL293" s="53"/>
      <c r="JM293" s="53"/>
      <c r="JN293" s="53"/>
      <c r="JO293" s="53"/>
      <c r="JP293" s="53"/>
      <c r="JQ293" s="53"/>
      <c r="JR293" s="53"/>
      <c r="JS293" s="53"/>
      <c r="JT293" s="53"/>
      <c r="JU293" s="53"/>
      <c r="JV293" s="53"/>
      <c r="JW293" s="53"/>
      <c r="JX293" s="53"/>
      <c r="JY293" s="53"/>
      <c r="JZ293" s="53"/>
      <c r="KA293" s="53"/>
      <c r="KB293" s="53"/>
      <c r="KC293" s="53"/>
      <c r="KD293" s="53"/>
      <c r="KE293" s="53"/>
      <c r="KF293" s="53"/>
      <c r="KG293" s="53"/>
      <c r="KH293" s="53"/>
      <c r="KI293" s="53"/>
      <c r="KJ293" s="53"/>
      <c r="KK293" s="53"/>
      <c r="KL293" s="53"/>
      <c r="KM293" s="53"/>
      <c r="KN293" s="53"/>
      <c r="KO293" s="53"/>
      <c r="KP293" s="53"/>
      <c r="KQ293" s="53"/>
      <c r="KR293" s="53"/>
      <c r="KS293" s="53"/>
      <c r="KT293" s="53"/>
      <c r="KU293" s="53"/>
      <c r="KV293" s="53"/>
      <c r="KW293" s="53"/>
      <c r="KX293" s="53"/>
      <c r="KY293" s="53"/>
      <c r="KZ293" s="53"/>
      <c r="LA293" s="53"/>
      <c r="LB293" s="53"/>
      <c r="LC293" s="53"/>
      <c r="LD293" s="53"/>
      <c r="LE293" s="53"/>
      <c r="LF293" s="53"/>
      <c r="LG293" s="53"/>
      <c r="LH293" s="53"/>
      <c r="LI293" s="53"/>
      <c r="LJ293" s="53"/>
      <c r="LK293" s="53"/>
      <c r="LL293" s="53"/>
      <c r="LM293" s="53"/>
      <c r="LN293" s="53"/>
      <c r="LO293" s="53"/>
      <c r="LP293" s="53"/>
      <c r="LQ293" s="53"/>
      <c r="LR293" s="53"/>
      <c r="LS293" s="53"/>
      <c r="LT293" s="53"/>
      <c r="LU293" s="53"/>
      <c r="LV293" s="53"/>
      <c r="LW293" s="53"/>
      <c r="LX293" s="53"/>
      <c r="LY293" s="53"/>
      <c r="LZ293" s="53"/>
      <c r="MA293" s="53"/>
      <c r="MB293" s="53"/>
      <c r="MC293" s="53"/>
      <c r="MD293" s="53"/>
      <c r="ME293" s="53"/>
      <c r="MF293" s="53"/>
      <c r="MG293" s="53"/>
      <c r="MH293" s="53"/>
      <c r="MI293" s="53"/>
      <c r="MJ293" s="53"/>
      <c r="MK293" s="53"/>
      <c r="ML293" s="53"/>
      <c r="MM293" s="53"/>
      <c r="MN293" s="53"/>
      <c r="MO293" s="53"/>
      <c r="MP293" s="53"/>
      <c r="MQ293" s="53"/>
      <c r="MR293" s="53"/>
      <c r="MS293" s="53"/>
      <c r="MT293" s="53"/>
      <c r="MU293" s="53"/>
      <c r="MV293" s="53"/>
      <c r="MW293" s="53"/>
      <c r="MX293" s="53"/>
      <c r="MY293" s="53"/>
      <c r="MZ293" s="53"/>
      <c r="NA293" s="53"/>
      <c r="NB293" s="53"/>
      <c r="NC293" s="53"/>
      <c r="ND293" s="53"/>
      <c r="NE293" s="53"/>
      <c r="NF293" s="53"/>
      <c r="NG293" s="53"/>
      <c r="NH293" s="53"/>
      <c r="NI293" s="53"/>
      <c r="NJ293" s="53"/>
      <c r="NK293" s="53"/>
      <c r="NL293" s="53"/>
      <c r="NM293" s="53"/>
      <c r="NN293" s="53"/>
      <c r="NO293" s="53"/>
      <c r="NP293" s="53"/>
      <c r="NQ293" s="53"/>
      <c r="NR293" s="53"/>
      <c r="NS293" s="53"/>
      <c r="NT293" s="53"/>
      <c r="NU293" s="53"/>
      <c r="NV293" s="53"/>
      <c r="NW293" s="53"/>
      <c r="NX293" s="53"/>
      <c r="NY293" s="53"/>
      <c r="NZ293" s="53"/>
      <c r="OA293" s="53"/>
      <c r="OB293" s="53"/>
      <c r="OC293" s="53"/>
      <c r="OD293" s="53"/>
      <c r="OE293" s="53"/>
      <c r="OF293" s="53"/>
      <c r="OG293" s="53"/>
      <c r="OH293" s="53"/>
      <c r="OI293" s="53"/>
      <c r="OJ293" s="53"/>
      <c r="OK293" s="53"/>
      <c r="OL293" s="53"/>
      <c r="OM293" s="53"/>
      <c r="ON293" s="53"/>
      <c r="OO293" s="53"/>
      <c r="OP293" s="53"/>
      <c r="OQ293" s="53"/>
      <c r="OR293" s="53"/>
      <c r="OS293" s="53"/>
      <c r="OT293" s="53"/>
      <c r="OU293" s="53"/>
      <c r="OV293" s="53"/>
      <c r="OW293" s="53"/>
      <c r="OX293" s="53"/>
      <c r="OY293" s="53"/>
      <c r="OZ293" s="53"/>
      <c r="PA293" s="53"/>
      <c r="PB293" s="53"/>
      <c r="PC293" s="53"/>
      <c r="PD293" s="53"/>
      <c r="PE293" s="53"/>
      <c r="PF293" s="53"/>
      <c r="PG293" s="53"/>
      <c r="PH293" s="53"/>
      <c r="PI293" s="53"/>
      <c r="PJ293" s="53"/>
      <c r="PK293" s="53"/>
      <c r="PL293" s="53"/>
      <c r="PM293" s="53"/>
      <c r="PN293" s="53"/>
      <c r="PO293" s="53"/>
      <c r="PP293" s="53"/>
      <c r="PQ293" s="53"/>
      <c r="PR293" s="53"/>
      <c r="PS293" s="53"/>
      <c r="PT293" s="53"/>
      <c r="PU293" s="53"/>
      <c r="PV293" s="53"/>
      <c r="PW293" s="53"/>
      <c r="PX293" s="53"/>
      <c r="PY293" s="53"/>
      <c r="PZ293" s="53"/>
      <c r="QA293" s="53"/>
      <c r="QB293" s="53"/>
      <c r="QC293" s="53"/>
      <c r="QD293" s="53"/>
      <c r="QE293" s="53"/>
      <c r="QF293" s="53"/>
      <c r="QG293" s="53"/>
      <c r="QH293" s="53"/>
      <c r="QI293" s="53"/>
      <c r="QJ293" s="53"/>
      <c r="QK293" s="53"/>
      <c r="QL293" s="53"/>
      <c r="QM293" s="53"/>
      <c r="QN293" s="53"/>
      <c r="QO293" s="53"/>
      <c r="QP293" s="53"/>
      <c r="QQ293" s="53"/>
      <c r="QR293" s="53"/>
      <c r="QS293" s="53"/>
      <c r="QT293" s="53"/>
      <c r="QU293" s="53"/>
      <c r="QV293" s="53"/>
      <c r="QW293" s="53"/>
      <c r="QX293" s="53"/>
      <c r="QY293" s="53"/>
      <c r="QZ293" s="53"/>
      <c r="RA293" s="53"/>
      <c r="RB293" s="53"/>
      <c r="RC293" s="53"/>
      <c r="RD293" s="53"/>
      <c r="RE293" s="53"/>
      <c r="RF293" s="53"/>
      <c r="RG293" s="53"/>
      <c r="RH293" s="53"/>
      <c r="RI293" s="53"/>
      <c r="RJ293" s="53"/>
      <c r="RK293" s="53"/>
      <c r="RL293" s="53"/>
      <c r="RM293" s="53"/>
      <c r="RN293" s="53"/>
      <c r="RO293" s="53"/>
      <c r="RP293" s="53"/>
      <c r="RQ293" s="53"/>
      <c r="RR293" s="53"/>
      <c r="RS293" s="53"/>
      <c r="RT293" s="53"/>
      <c r="RU293" s="53"/>
      <c r="RV293" s="53"/>
      <c r="RW293" s="53"/>
      <c r="RX293" s="53"/>
      <c r="RY293" s="53"/>
      <c r="RZ293" s="53"/>
      <c r="SA293" s="53"/>
      <c r="SB293" s="53"/>
      <c r="SC293" s="53"/>
      <c r="SD293" s="53"/>
      <c r="SE293" s="53"/>
      <c r="SF293" s="53"/>
      <c r="SG293" s="53"/>
      <c r="SH293" s="53"/>
      <c r="SI293" s="53"/>
      <c r="SJ293" s="53"/>
      <c r="SK293" s="53"/>
      <c r="SL293" s="53"/>
      <c r="SM293" s="53"/>
      <c r="SN293" s="53"/>
      <c r="SO293" s="53"/>
      <c r="SP293" s="53"/>
      <c r="SQ293" s="53"/>
      <c r="SR293" s="53"/>
      <c r="SS293" s="53"/>
      <c r="ST293" s="53"/>
      <c r="SU293" s="53"/>
      <c r="SV293" s="53"/>
      <c r="SW293" s="53"/>
      <c r="SX293" s="53"/>
      <c r="SY293" s="53"/>
      <c r="SZ293" s="53"/>
      <c r="TA293" s="53"/>
      <c r="TB293" s="53"/>
      <c r="TC293" s="53"/>
      <c r="TD293" s="53"/>
      <c r="TE293" s="53"/>
      <c r="TF293" s="53"/>
      <c r="TG293" s="53"/>
      <c r="TH293" s="53"/>
      <c r="TI293" s="53"/>
      <c r="TJ293" s="53"/>
      <c r="TK293" s="53"/>
      <c r="TL293" s="53"/>
      <c r="TM293" s="53"/>
      <c r="TN293" s="53"/>
      <c r="TO293" s="53"/>
      <c r="TP293" s="53"/>
      <c r="TQ293" s="53"/>
      <c r="TR293" s="53"/>
      <c r="TS293" s="53"/>
      <c r="TT293" s="53"/>
      <c r="TU293" s="53"/>
      <c r="TV293" s="53"/>
      <c r="TW293" s="53"/>
      <c r="TX293" s="53"/>
      <c r="TY293" s="53"/>
      <c r="TZ293" s="53"/>
      <c r="UA293" s="53"/>
      <c r="UB293" s="53"/>
      <c r="UC293" s="53"/>
      <c r="UD293" s="53"/>
      <c r="UE293" s="53"/>
      <c r="UF293" s="53"/>
      <c r="UG293" s="53"/>
      <c r="UH293" s="53"/>
      <c r="UI293" s="53"/>
      <c r="UJ293" s="53"/>
      <c r="UK293" s="53"/>
      <c r="UL293" s="53"/>
      <c r="UM293" s="53"/>
      <c r="UN293" s="53"/>
      <c r="UO293" s="53"/>
      <c r="UP293" s="53"/>
      <c r="UQ293" s="53"/>
      <c r="UR293" s="53"/>
      <c r="US293" s="53"/>
      <c r="UT293" s="53"/>
      <c r="UU293" s="53"/>
      <c r="UV293" s="53"/>
      <c r="UW293" s="53"/>
      <c r="UX293" s="53"/>
      <c r="UY293" s="53"/>
      <c r="UZ293" s="53"/>
      <c r="VA293" s="53"/>
      <c r="VB293" s="53"/>
      <c r="VC293" s="53"/>
      <c r="VD293" s="53"/>
      <c r="VE293" s="53"/>
      <c r="VF293" s="53"/>
      <c r="VG293" s="53"/>
      <c r="VH293" s="53"/>
      <c r="VI293" s="53"/>
      <c r="VJ293" s="53"/>
      <c r="VK293" s="53"/>
      <c r="VL293" s="53"/>
    </row>
    <row r="294" spans="1:584" s="47" customFormat="1" ht="45" hidden="1" customHeight="1" x14ac:dyDescent="0.25">
      <c r="A294" s="49" t="s">
        <v>494</v>
      </c>
      <c r="B294" s="94" t="str">
        <f>'дод 3'!A229</f>
        <v>9800</v>
      </c>
      <c r="C294" s="94" t="str">
        <f>'дод 3'!B229</f>
        <v>0180</v>
      </c>
      <c r="D294" s="46" t="str">
        <f>'дод 3'!C229</f>
        <v xml:space="preserve">Субвенція з місцевого бюджету державному бюджету на виконання програм соціально-економічного розвитку регіонів </v>
      </c>
      <c r="E294" s="115"/>
      <c r="F294" s="115"/>
      <c r="G294" s="115"/>
      <c r="H294" s="115"/>
      <c r="I294" s="115"/>
      <c r="J294" s="115"/>
      <c r="K294" s="135" t="e">
        <f t="shared" si="83"/>
        <v>#DIV/0!</v>
      </c>
      <c r="L294" s="115">
        <f t="shared" si="71"/>
        <v>0</v>
      </c>
      <c r="M294" s="115"/>
      <c r="N294" s="115"/>
      <c r="O294" s="115"/>
      <c r="P294" s="115"/>
      <c r="Q294" s="115"/>
      <c r="R294" s="115">
        <f t="shared" si="72"/>
        <v>0</v>
      </c>
      <c r="S294" s="115"/>
      <c r="T294" s="115"/>
      <c r="U294" s="115"/>
      <c r="V294" s="115"/>
      <c r="W294" s="115"/>
      <c r="X294" s="149" t="e">
        <f t="shared" si="84"/>
        <v>#DIV/0!</v>
      </c>
      <c r="Y294" s="115">
        <f t="shared" ref="Y294" si="97">E294+L294</f>
        <v>0</v>
      </c>
      <c r="Z294" s="187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/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/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/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53"/>
      <c r="EY294" s="53"/>
      <c r="EZ294" s="53"/>
      <c r="FA294" s="53"/>
      <c r="FB294" s="53"/>
      <c r="FC294" s="53"/>
      <c r="FD294" s="53"/>
      <c r="FE294" s="53"/>
      <c r="FF294" s="53"/>
      <c r="FG294" s="53"/>
      <c r="FH294" s="53"/>
      <c r="FI294" s="53"/>
      <c r="FJ294" s="53"/>
      <c r="FK294" s="53"/>
      <c r="FL294" s="53"/>
      <c r="FM294" s="53"/>
      <c r="FN294" s="53"/>
      <c r="FO294" s="53"/>
      <c r="FP294" s="53"/>
      <c r="FQ294" s="53"/>
      <c r="FR294" s="53"/>
      <c r="FS294" s="53"/>
      <c r="FT294" s="53"/>
      <c r="FU294" s="53"/>
      <c r="FV294" s="53"/>
      <c r="FW294" s="53"/>
      <c r="FX294" s="53"/>
      <c r="FY294" s="53"/>
      <c r="FZ294" s="53"/>
      <c r="GA294" s="53"/>
      <c r="GB294" s="53"/>
      <c r="GC294" s="53"/>
      <c r="GD294" s="53"/>
      <c r="GE294" s="53"/>
      <c r="GF294" s="53"/>
      <c r="GG294" s="53"/>
      <c r="GH294" s="53"/>
      <c r="GI294" s="53"/>
      <c r="GJ294" s="53"/>
      <c r="GK294" s="53"/>
      <c r="GL294" s="53"/>
      <c r="GM294" s="53"/>
      <c r="GN294" s="53"/>
      <c r="GO294" s="53"/>
      <c r="GP294" s="53"/>
      <c r="GQ294" s="53"/>
      <c r="GR294" s="53"/>
      <c r="GS294" s="53"/>
      <c r="GT294" s="53"/>
      <c r="GU294" s="53"/>
      <c r="GV294" s="53"/>
      <c r="GW294" s="53"/>
      <c r="GX294" s="53"/>
      <c r="GY294" s="53"/>
      <c r="GZ294" s="53"/>
      <c r="HA294" s="53"/>
      <c r="HB294" s="53"/>
      <c r="HC294" s="53"/>
      <c r="HD294" s="53"/>
      <c r="HE294" s="53"/>
      <c r="HF294" s="53"/>
      <c r="HG294" s="53"/>
      <c r="HH294" s="53"/>
      <c r="HI294" s="53"/>
      <c r="HJ294" s="53"/>
      <c r="HK294" s="53"/>
      <c r="HL294" s="53"/>
      <c r="HM294" s="53"/>
      <c r="HN294" s="53"/>
      <c r="HO294" s="53"/>
      <c r="HP294" s="53"/>
      <c r="HQ294" s="53"/>
      <c r="HR294" s="53"/>
      <c r="HS294" s="53"/>
      <c r="HT294" s="53"/>
      <c r="HU294" s="53"/>
      <c r="HV294" s="53"/>
      <c r="HW294" s="53"/>
      <c r="HX294" s="53"/>
      <c r="HY294" s="53"/>
      <c r="HZ294" s="53"/>
      <c r="IA294" s="53"/>
      <c r="IB294" s="53"/>
      <c r="IC294" s="53"/>
      <c r="ID294" s="53"/>
      <c r="IE294" s="53"/>
      <c r="IF294" s="53"/>
      <c r="IG294" s="53"/>
      <c r="IH294" s="53"/>
      <c r="II294" s="53"/>
      <c r="IJ294" s="53"/>
      <c r="IK294" s="53"/>
      <c r="IL294" s="53"/>
      <c r="IM294" s="53"/>
      <c r="IN294" s="53"/>
      <c r="IO294" s="53"/>
      <c r="IP294" s="53"/>
      <c r="IQ294" s="53"/>
      <c r="IR294" s="53"/>
      <c r="IS294" s="53"/>
      <c r="IT294" s="53"/>
      <c r="IU294" s="53"/>
      <c r="IV294" s="53"/>
      <c r="IW294" s="53"/>
      <c r="IX294" s="53"/>
      <c r="IY294" s="53"/>
      <c r="IZ294" s="53"/>
      <c r="JA294" s="53"/>
      <c r="JB294" s="53"/>
      <c r="JC294" s="53"/>
      <c r="JD294" s="53"/>
      <c r="JE294" s="53"/>
      <c r="JF294" s="53"/>
      <c r="JG294" s="53"/>
      <c r="JH294" s="53"/>
      <c r="JI294" s="53"/>
      <c r="JJ294" s="53"/>
      <c r="JK294" s="53"/>
      <c r="JL294" s="53"/>
      <c r="JM294" s="53"/>
      <c r="JN294" s="53"/>
      <c r="JO294" s="53"/>
      <c r="JP294" s="53"/>
      <c r="JQ294" s="53"/>
      <c r="JR294" s="53"/>
      <c r="JS294" s="53"/>
      <c r="JT294" s="53"/>
      <c r="JU294" s="53"/>
      <c r="JV294" s="53"/>
      <c r="JW294" s="53"/>
      <c r="JX294" s="53"/>
      <c r="JY294" s="53"/>
      <c r="JZ294" s="53"/>
      <c r="KA294" s="53"/>
      <c r="KB294" s="53"/>
      <c r="KC294" s="53"/>
      <c r="KD294" s="53"/>
      <c r="KE294" s="53"/>
      <c r="KF294" s="53"/>
      <c r="KG294" s="53"/>
      <c r="KH294" s="53"/>
      <c r="KI294" s="53"/>
      <c r="KJ294" s="53"/>
      <c r="KK294" s="53"/>
      <c r="KL294" s="53"/>
      <c r="KM294" s="53"/>
      <c r="KN294" s="53"/>
      <c r="KO294" s="53"/>
      <c r="KP294" s="53"/>
      <c r="KQ294" s="53"/>
      <c r="KR294" s="53"/>
      <c r="KS294" s="53"/>
      <c r="KT294" s="53"/>
      <c r="KU294" s="53"/>
      <c r="KV294" s="53"/>
      <c r="KW294" s="53"/>
      <c r="KX294" s="53"/>
      <c r="KY294" s="53"/>
      <c r="KZ294" s="53"/>
      <c r="LA294" s="53"/>
      <c r="LB294" s="53"/>
      <c r="LC294" s="53"/>
      <c r="LD294" s="53"/>
      <c r="LE294" s="53"/>
      <c r="LF294" s="53"/>
      <c r="LG294" s="53"/>
      <c r="LH294" s="53"/>
      <c r="LI294" s="53"/>
      <c r="LJ294" s="53"/>
      <c r="LK294" s="53"/>
      <c r="LL294" s="53"/>
      <c r="LM294" s="53"/>
      <c r="LN294" s="53"/>
      <c r="LO294" s="53"/>
      <c r="LP294" s="53"/>
      <c r="LQ294" s="53"/>
      <c r="LR294" s="53"/>
      <c r="LS294" s="53"/>
      <c r="LT294" s="53"/>
      <c r="LU294" s="53"/>
      <c r="LV294" s="53"/>
      <c r="LW294" s="53"/>
      <c r="LX294" s="53"/>
      <c r="LY294" s="53"/>
      <c r="LZ294" s="53"/>
      <c r="MA294" s="53"/>
      <c r="MB294" s="53"/>
      <c r="MC294" s="53"/>
      <c r="MD294" s="53"/>
      <c r="ME294" s="53"/>
      <c r="MF294" s="53"/>
      <c r="MG294" s="53"/>
      <c r="MH294" s="53"/>
      <c r="MI294" s="53"/>
      <c r="MJ294" s="53"/>
      <c r="MK294" s="53"/>
      <c r="ML294" s="53"/>
      <c r="MM294" s="53"/>
      <c r="MN294" s="53"/>
      <c r="MO294" s="53"/>
      <c r="MP294" s="53"/>
      <c r="MQ294" s="53"/>
      <c r="MR294" s="53"/>
      <c r="MS294" s="53"/>
      <c r="MT294" s="53"/>
      <c r="MU294" s="53"/>
      <c r="MV294" s="53"/>
      <c r="MW294" s="53"/>
      <c r="MX294" s="53"/>
      <c r="MY294" s="53"/>
      <c r="MZ294" s="53"/>
      <c r="NA294" s="53"/>
      <c r="NB294" s="53"/>
      <c r="NC294" s="53"/>
      <c r="ND294" s="53"/>
      <c r="NE294" s="53"/>
      <c r="NF294" s="53"/>
      <c r="NG294" s="53"/>
      <c r="NH294" s="53"/>
      <c r="NI294" s="53"/>
      <c r="NJ294" s="53"/>
      <c r="NK294" s="53"/>
      <c r="NL294" s="53"/>
      <c r="NM294" s="53"/>
      <c r="NN294" s="53"/>
      <c r="NO294" s="53"/>
      <c r="NP294" s="53"/>
      <c r="NQ294" s="53"/>
      <c r="NR294" s="53"/>
      <c r="NS294" s="53"/>
      <c r="NT294" s="53"/>
      <c r="NU294" s="53"/>
      <c r="NV294" s="53"/>
      <c r="NW294" s="53"/>
      <c r="NX294" s="53"/>
      <c r="NY294" s="53"/>
      <c r="NZ294" s="53"/>
      <c r="OA294" s="53"/>
      <c r="OB294" s="53"/>
      <c r="OC294" s="53"/>
      <c r="OD294" s="53"/>
      <c r="OE294" s="53"/>
      <c r="OF294" s="53"/>
      <c r="OG294" s="53"/>
      <c r="OH294" s="53"/>
      <c r="OI294" s="53"/>
      <c r="OJ294" s="53"/>
      <c r="OK294" s="53"/>
      <c r="OL294" s="53"/>
      <c r="OM294" s="53"/>
      <c r="ON294" s="53"/>
      <c r="OO294" s="53"/>
      <c r="OP294" s="53"/>
      <c r="OQ294" s="53"/>
      <c r="OR294" s="53"/>
      <c r="OS294" s="53"/>
      <c r="OT294" s="53"/>
      <c r="OU294" s="53"/>
      <c r="OV294" s="53"/>
      <c r="OW294" s="53"/>
      <c r="OX294" s="53"/>
      <c r="OY294" s="53"/>
      <c r="OZ294" s="53"/>
      <c r="PA294" s="53"/>
      <c r="PB294" s="53"/>
      <c r="PC294" s="53"/>
      <c r="PD294" s="53"/>
      <c r="PE294" s="53"/>
      <c r="PF294" s="53"/>
      <c r="PG294" s="53"/>
      <c r="PH294" s="53"/>
      <c r="PI294" s="53"/>
      <c r="PJ294" s="53"/>
      <c r="PK294" s="53"/>
      <c r="PL294" s="53"/>
      <c r="PM294" s="53"/>
      <c r="PN294" s="53"/>
      <c r="PO294" s="53"/>
      <c r="PP294" s="53"/>
      <c r="PQ294" s="53"/>
      <c r="PR294" s="53"/>
      <c r="PS294" s="53"/>
      <c r="PT294" s="53"/>
      <c r="PU294" s="53"/>
      <c r="PV294" s="53"/>
      <c r="PW294" s="53"/>
      <c r="PX294" s="53"/>
      <c r="PY294" s="53"/>
      <c r="PZ294" s="53"/>
      <c r="QA294" s="53"/>
      <c r="QB294" s="53"/>
      <c r="QC294" s="53"/>
      <c r="QD294" s="53"/>
      <c r="QE294" s="53"/>
      <c r="QF294" s="53"/>
      <c r="QG294" s="53"/>
      <c r="QH294" s="53"/>
      <c r="QI294" s="53"/>
      <c r="QJ294" s="53"/>
      <c r="QK294" s="53"/>
      <c r="QL294" s="53"/>
      <c r="QM294" s="53"/>
      <c r="QN294" s="53"/>
      <c r="QO294" s="53"/>
      <c r="QP294" s="53"/>
      <c r="QQ294" s="53"/>
      <c r="QR294" s="53"/>
      <c r="QS294" s="53"/>
      <c r="QT294" s="53"/>
      <c r="QU294" s="53"/>
      <c r="QV294" s="53"/>
      <c r="QW294" s="53"/>
      <c r="QX294" s="53"/>
      <c r="QY294" s="53"/>
      <c r="QZ294" s="53"/>
      <c r="RA294" s="53"/>
      <c r="RB294" s="53"/>
      <c r="RC294" s="53"/>
      <c r="RD294" s="53"/>
      <c r="RE294" s="53"/>
      <c r="RF294" s="53"/>
      <c r="RG294" s="53"/>
      <c r="RH294" s="53"/>
      <c r="RI294" s="53"/>
      <c r="RJ294" s="53"/>
      <c r="RK294" s="53"/>
      <c r="RL294" s="53"/>
      <c r="RM294" s="53"/>
      <c r="RN294" s="53"/>
      <c r="RO294" s="53"/>
      <c r="RP294" s="53"/>
      <c r="RQ294" s="53"/>
      <c r="RR294" s="53"/>
      <c r="RS294" s="53"/>
      <c r="RT294" s="53"/>
      <c r="RU294" s="53"/>
      <c r="RV294" s="53"/>
      <c r="RW294" s="53"/>
      <c r="RX294" s="53"/>
      <c r="RY294" s="53"/>
      <c r="RZ294" s="53"/>
      <c r="SA294" s="53"/>
      <c r="SB294" s="53"/>
      <c r="SC294" s="53"/>
      <c r="SD294" s="53"/>
      <c r="SE294" s="53"/>
      <c r="SF294" s="53"/>
      <c r="SG294" s="53"/>
      <c r="SH294" s="53"/>
      <c r="SI294" s="53"/>
      <c r="SJ294" s="53"/>
      <c r="SK294" s="53"/>
      <c r="SL294" s="53"/>
      <c r="SM294" s="53"/>
      <c r="SN294" s="53"/>
      <c r="SO294" s="53"/>
      <c r="SP294" s="53"/>
      <c r="SQ294" s="53"/>
      <c r="SR294" s="53"/>
      <c r="SS294" s="53"/>
      <c r="ST294" s="53"/>
      <c r="SU294" s="53"/>
      <c r="SV294" s="53"/>
      <c r="SW294" s="53"/>
      <c r="SX294" s="53"/>
      <c r="SY294" s="53"/>
      <c r="SZ294" s="53"/>
      <c r="TA294" s="53"/>
      <c r="TB294" s="53"/>
      <c r="TC294" s="53"/>
      <c r="TD294" s="53"/>
      <c r="TE294" s="53"/>
      <c r="TF294" s="53"/>
      <c r="TG294" s="53"/>
      <c r="TH294" s="53"/>
      <c r="TI294" s="53"/>
      <c r="TJ294" s="53"/>
      <c r="TK294" s="53"/>
      <c r="TL294" s="53"/>
      <c r="TM294" s="53"/>
      <c r="TN294" s="53"/>
      <c r="TO294" s="53"/>
      <c r="TP294" s="53"/>
      <c r="TQ294" s="53"/>
      <c r="TR294" s="53"/>
      <c r="TS294" s="53"/>
      <c r="TT294" s="53"/>
      <c r="TU294" s="53"/>
      <c r="TV294" s="53"/>
      <c r="TW294" s="53"/>
      <c r="TX294" s="53"/>
      <c r="TY294" s="53"/>
      <c r="TZ294" s="53"/>
      <c r="UA294" s="53"/>
      <c r="UB294" s="53"/>
      <c r="UC294" s="53"/>
      <c r="UD294" s="53"/>
      <c r="UE294" s="53"/>
      <c r="UF294" s="53"/>
      <c r="UG294" s="53"/>
      <c r="UH294" s="53"/>
      <c r="UI294" s="53"/>
      <c r="UJ294" s="53"/>
      <c r="UK294" s="53"/>
      <c r="UL294" s="53"/>
      <c r="UM294" s="53"/>
      <c r="UN294" s="53"/>
      <c r="UO294" s="53"/>
      <c r="UP294" s="53"/>
      <c r="UQ294" s="53"/>
      <c r="UR294" s="53"/>
      <c r="US294" s="53"/>
      <c r="UT294" s="53"/>
      <c r="UU294" s="53"/>
      <c r="UV294" s="53"/>
      <c r="UW294" s="53"/>
      <c r="UX294" s="53"/>
      <c r="UY294" s="53"/>
      <c r="UZ294" s="53"/>
      <c r="VA294" s="53"/>
      <c r="VB294" s="53"/>
      <c r="VC294" s="53"/>
      <c r="VD294" s="53"/>
      <c r="VE294" s="53"/>
      <c r="VF294" s="53"/>
      <c r="VG294" s="53"/>
      <c r="VH294" s="53"/>
      <c r="VI294" s="53"/>
      <c r="VJ294" s="53"/>
      <c r="VK294" s="53"/>
      <c r="VL294" s="53"/>
    </row>
    <row r="295" spans="1:584" s="47" customFormat="1" ht="34.5" customHeight="1" x14ac:dyDescent="0.25">
      <c r="A295" s="110" t="s">
        <v>591</v>
      </c>
      <c r="B295" s="94"/>
      <c r="C295" s="94"/>
      <c r="D295" s="107" t="s">
        <v>590</v>
      </c>
      <c r="E295" s="116">
        <f>SUM(E296)</f>
        <v>140942.49</v>
      </c>
      <c r="F295" s="116">
        <f t="shared" ref="F295:Y295" si="98">SUM(F296)</f>
        <v>115526.63</v>
      </c>
      <c r="G295" s="116">
        <f t="shared" si="98"/>
        <v>0</v>
      </c>
      <c r="H295" s="116">
        <f>SUM(H296)</f>
        <v>140942.49</v>
      </c>
      <c r="I295" s="116">
        <f t="shared" si="98"/>
        <v>115526.63</v>
      </c>
      <c r="J295" s="116">
        <f t="shared" si="98"/>
        <v>0</v>
      </c>
      <c r="K295" s="135">
        <f t="shared" si="83"/>
        <v>100</v>
      </c>
      <c r="L295" s="116">
        <f t="shared" si="98"/>
        <v>0</v>
      </c>
      <c r="M295" s="116">
        <f t="shared" si="98"/>
        <v>0</v>
      </c>
      <c r="N295" s="116">
        <f t="shared" si="98"/>
        <v>0</v>
      </c>
      <c r="O295" s="116">
        <f t="shared" si="98"/>
        <v>0</v>
      </c>
      <c r="P295" s="116">
        <f t="shared" si="98"/>
        <v>0</v>
      </c>
      <c r="Q295" s="116">
        <f t="shared" si="98"/>
        <v>0</v>
      </c>
      <c r="R295" s="116">
        <f t="shared" si="98"/>
        <v>0</v>
      </c>
      <c r="S295" s="116">
        <f t="shared" si="98"/>
        <v>0</v>
      </c>
      <c r="T295" s="116">
        <f t="shared" si="98"/>
        <v>0</v>
      </c>
      <c r="U295" s="116">
        <f t="shared" si="98"/>
        <v>0</v>
      </c>
      <c r="V295" s="116">
        <f t="shared" si="98"/>
        <v>0</v>
      </c>
      <c r="W295" s="116">
        <f t="shared" si="98"/>
        <v>0</v>
      </c>
      <c r="X295" s="149"/>
      <c r="Y295" s="116">
        <f t="shared" si="98"/>
        <v>140942.49</v>
      </c>
      <c r="Z295" s="187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  <c r="GN295" s="53"/>
      <c r="GO295" s="53"/>
      <c r="GP295" s="53"/>
      <c r="GQ295" s="53"/>
      <c r="GR295" s="53"/>
      <c r="GS295" s="53"/>
      <c r="GT295" s="53"/>
      <c r="GU295" s="53"/>
      <c r="GV295" s="53"/>
      <c r="GW295" s="53"/>
      <c r="GX295" s="53"/>
      <c r="GY295" s="53"/>
      <c r="GZ295" s="53"/>
      <c r="HA295" s="53"/>
      <c r="HB295" s="53"/>
      <c r="HC295" s="53"/>
      <c r="HD295" s="53"/>
      <c r="HE295" s="53"/>
      <c r="HF295" s="53"/>
      <c r="HG295" s="53"/>
      <c r="HH295" s="53"/>
      <c r="HI295" s="53"/>
      <c r="HJ295" s="53"/>
      <c r="HK295" s="53"/>
      <c r="HL295" s="53"/>
      <c r="HM295" s="53"/>
      <c r="HN295" s="53"/>
      <c r="HO295" s="53"/>
      <c r="HP295" s="53"/>
      <c r="HQ295" s="53"/>
      <c r="HR295" s="53"/>
      <c r="HS295" s="53"/>
      <c r="HT295" s="53"/>
      <c r="HU295" s="53"/>
      <c r="HV295" s="53"/>
      <c r="HW295" s="53"/>
      <c r="HX295" s="53"/>
      <c r="HY295" s="53"/>
      <c r="HZ295" s="53"/>
      <c r="IA295" s="53"/>
      <c r="IB295" s="53"/>
      <c r="IC295" s="53"/>
      <c r="ID295" s="53"/>
      <c r="IE295" s="53"/>
      <c r="IF295" s="53"/>
      <c r="IG295" s="53"/>
      <c r="IH295" s="53"/>
      <c r="II295" s="53"/>
      <c r="IJ295" s="53"/>
      <c r="IK295" s="53"/>
      <c r="IL295" s="53"/>
      <c r="IM295" s="53"/>
      <c r="IN295" s="53"/>
      <c r="IO295" s="53"/>
      <c r="IP295" s="53"/>
      <c r="IQ295" s="53"/>
      <c r="IR295" s="53"/>
      <c r="IS295" s="53"/>
      <c r="IT295" s="53"/>
      <c r="IU295" s="53"/>
      <c r="IV295" s="53"/>
      <c r="IW295" s="53"/>
      <c r="IX295" s="53"/>
      <c r="IY295" s="53"/>
      <c r="IZ295" s="53"/>
      <c r="JA295" s="53"/>
      <c r="JB295" s="53"/>
      <c r="JC295" s="53"/>
      <c r="JD295" s="53"/>
      <c r="JE295" s="53"/>
      <c r="JF295" s="53"/>
      <c r="JG295" s="53"/>
      <c r="JH295" s="53"/>
      <c r="JI295" s="53"/>
      <c r="JJ295" s="53"/>
      <c r="JK295" s="53"/>
      <c r="JL295" s="53"/>
      <c r="JM295" s="53"/>
      <c r="JN295" s="53"/>
      <c r="JO295" s="53"/>
      <c r="JP295" s="53"/>
      <c r="JQ295" s="53"/>
      <c r="JR295" s="53"/>
      <c r="JS295" s="53"/>
      <c r="JT295" s="53"/>
      <c r="JU295" s="53"/>
      <c r="JV295" s="53"/>
      <c r="JW295" s="53"/>
      <c r="JX295" s="53"/>
      <c r="JY295" s="53"/>
      <c r="JZ295" s="53"/>
      <c r="KA295" s="53"/>
      <c r="KB295" s="53"/>
      <c r="KC295" s="53"/>
      <c r="KD295" s="53"/>
      <c r="KE295" s="53"/>
      <c r="KF295" s="53"/>
      <c r="KG295" s="53"/>
      <c r="KH295" s="53"/>
      <c r="KI295" s="53"/>
      <c r="KJ295" s="53"/>
      <c r="KK295" s="53"/>
      <c r="KL295" s="53"/>
      <c r="KM295" s="53"/>
      <c r="KN295" s="53"/>
      <c r="KO295" s="53"/>
      <c r="KP295" s="53"/>
      <c r="KQ295" s="53"/>
      <c r="KR295" s="53"/>
      <c r="KS295" s="53"/>
      <c r="KT295" s="53"/>
      <c r="KU295" s="53"/>
      <c r="KV295" s="53"/>
      <c r="KW295" s="53"/>
      <c r="KX295" s="53"/>
      <c r="KY295" s="53"/>
      <c r="KZ295" s="53"/>
      <c r="LA295" s="53"/>
      <c r="LB295" s="53"/>
      <c r="LC295" s="53"/>
      <c r="LD295" s="53"/>
      <c r="LE295" s="53"/>
      <c r="LF295" s="53"/>
      <c r="LG295" s="53"/>
      <c r="LH295" s="53"/>
      <c r="LI295" s="53"/>
      <c r="LJ295" s="53"/>
      <c r="LK295" s="53"/>
      <c r="LL295" s="53"/>
      <c r="LM295" s="53"/>
      <c r="LN295" s="53"/>
      <c r="LO295" s="53"/>
      <c r="LP295" s="53"/>
      <c r="LQ295" s="53"/>
      <c r="LR295" s="53"/>
      <c r="LS295" s="53"/>
      <c r="LT295" s="53"/>
      <c r="LU295" s="53"/>
      <c r="LV295" s="53"/>
      <c r="LW295" s="53"/>
      <c r="LX295" s="53"/>
      <c r="LY295" s="53"/>
      <c r="LZ295" s="53"/>
      <c r="MA295" s="53"/>
      <c r="MB295" s="53"/>
      <c r="MC295" s="53"/>
      <c r="MD295" s="53"/>
      <c r="ME295" s="53"/>
      <c r="MF295" s="53"/>
      <c r="MG295" s="53"/>
      <c r="MH295" s="53"/>
      <c r="MI295" s="53"/>
      <c r="MJ295" s="53"/>
      <c r="MK295" s="53"/>
      <c r="ML295" s="53"/>
      <c r="MM295" s="53"/>
      <c r="MN295" s="53"/>
      <c r="MO295" s="53"/>
      <c r="MP295" s="53"/>
      <c r="MQ295" s="53"/>
      <c r="MR295" s="53"/>
      <c r="MS295" s="53"/>
      <c r="MT295" s="53"/>
      <c r="MU295" s="53"/>
      <c r="MV295" s="53"/>
      <c r="MW295" s="53"/>
      <c r="MX295" s="53"/>
      <c r="MY295" s="53"/>
      <c r="MZ295" s="53"/>
      <c r="NA295" s="53"/>
      <c r="NB295" s="53"/>
      <c r="NC295" s="53"/>
      <c r="ND295" s="53"/>
      <c r="NE295" s="53"/>
      <c r="NF295" s="53"/>
      <c r="NG295" s="53"/>
      <c r="NH295" s="53"/>
      <c r="NI295" s="53"/>
      <c r="NJ295" s="53"/>
      <c r="NK295" s="53"/>
      <c r="NL295" s="53"/>
      <c r="NM295" s="53"/>
      <c r="NN295" s="53"/>
      <c r="NO295" s="53"/>
      <c r="NP295" s="53"/>
      <c r="NQ295" s="53"/>
      <c r="NR295" s="53"/>
      <c r="NS295" s="53"/>
      <c r="NT295" s="53"/>
      <c r="NU295" s="53"/>
      <c r="NV295" s="53"/>
      <c r="NW295" s="53"/>
      <c r="NX295" s="53"/>
      <c r="NY295" s="53"/>
      <c r="NZ295" s="53"/>
      <c r="OA295" s="53"/>
      <c r="OB295" s="53"/>
      <c r="OC295" s="53"/>
      <c r="OD295" s="53"/>
      <c r="OE295" s="53"/>
      <c r="OF295" s="53"/>
      <c r="OG295" s="53"/>
      <c r="OH295" s="53"/>
      <c r="OI295" s="53"/>
      <c r="OJ295" s="53"/>
      <c r="OK295" s="53"/>
      <c r="OL295" s="53"/>
      <c r="OM295" s="53"/>
      <c r="ON295" s="53"/>
      <c r="OO295" s="53"/>
      <c r="OP295" s="53"/>
      <c r="OQ295" s="53"/>
      <c r="OR295" s="53"/>
      <c r="OS295" s="53"/>
      <c r="OT295" s="53"/>
      <c r="OU295" s="53"/>
      <c r="OV295" s="53"/>
      <c r="OW295" s="53"/>
      <c r="OX295" s="53"/>
      <c r="OY295" s="53"/>
      <c r="OZ295" s="53"/>
      <c r="PA295" s="53"/>
      <c r="PB295" s="53"/>
      <c r="PC295" s="53"/>
      <c r="PD295" s="53"/>
      <c r="PE295" s="53"/>
      <c r="PF295" s="53"/>
      <c r="PG295" s="53"/>
      <c r="PH295" s="53"/>
      <c r="PI295" s="53"/>
      <c r="PJ295" s="53"/>
      <c r="PK295" s="53"/>
      <c r="PL295" s="53"/>
      <c r="PM295" s="53"/>
      <c r="PN295" s="53"/>
      <c r="PO295" s="53"/>
      <c r="PP295" s="53"/>
      <c r="PQ295" s="53"/>
      <c r="PR295" s="53"/>
      <c r="PS295" s="53"/>
      <c r="PT295" s="53"/>
      <c r="PU295" s="53"/>
      <c r="PV295" s="53"/>
      <c r="PW295" s="53"/>
      <c r="PX295" s="53"/>
      <c r="PY295" s="53"/>
      <c r="PZ295" s="53"/>
      <c r="QA295" s="53"/>
      <c r="QB295" s="53"/>
      <c r="QC295" s="53"/>
      <c r="QD295" s="53"/>
      <c r="QE295" s="53"/>
      <c r="QF295" s="53"/>
      <c r="QG295" s="53"/>
      <c r="QH295" s="53"/>
      <c r="QI295" s="53"/>
      <c r="QJ295" s="53"/>
      <c r="QK295" s="53"/>
      <c r="QL295" s="53"/>
      <c r="QM295" s="53"/>
      <c r="QN295" s="53"/>
      <c r="QO295" s="53"/>
      <c r="QP295" s="53"/>
      <c r="QQ295" s="53"/>
      <c r="QR295" s="53"/>
      <c r="QS295" s="53"/>
      <c r="QT295" s="53"/>
      <c r="QU295" s="53"/>
      <c r="QV295" s="53"/>
      <c r="QW295" s="53"/>
      <c r="QX295" s="53"/>
      <c r="QY295" s="53"/>
      <c r="QZ295" s="53"/>
      <c r="RA295" s="53"/>
      <c r="RB295" s="53"/>
      <c r="RC295" s="53"/>
      <c r="RD295" s="53"/>
      <c r="RE295" s="53"/>
      <c r="RF295" s="53"/>
      <c r="RG295" s="53"/>
      <c r="RH295" s="53"/>
      <c r="RI295" s="53"/>
      <c r="RJ295" s="53"/>
      <c r="RK295" s="53"/>
      <c r="RL295" s="53"/>
      <c r="RM295" s="53"/>
      <c r="RN295" s="53"/>
      <c r="RO295" s="53"/>
      <c r="RP295" s="53"/>
      <c r="RQ295" s="53"/>
      <c r="RR295" s="53"/>
      <c r="RS295" s="53"/>
      <c r="RT295" s="53"/>
      <c r="RU295" s="53"/>
      <c r="RV295" s="53"/>
      <c r="RW295" s="53"/>
      <c r="RX295" s="53"/>
      <c r="RY295" s="53"/>
      <c r="RZ295" s="53"/>
      <c r="SA295" s="53"/>
      <c r="SB295" s="53"/>
      <c r="SC295" s="53"/>
      <c r="SD295" s="53"/>
      <c r="SE295" s="53"/>
      <c r="SF295" s="53"/>
      <c r="SG295" s="53"/>
      <c r="SH295" s="53"/>
      <c r="SI295" s="53"/>
      <c r="SJ295" s="53"/>
      <c r="SK295" s="53"/>
      <c r="SL295" s="53"/>
      <c r="SM295" s="53"/>
      <c r="SN295" s="53"/>
      <c r="SO295" s="53"/>
      <c r="SP295" s="53"/>
      <c r="SQ295" s="53"/>
      <c r="SR295" s="53"/>
      <c r="SS295" s="53"/>
      <c r="ST295" s="53"/>
      <c r="SU295" s="53"/>
      <c r="SV295" s="53"/>
      <c r="SW295" s="53"/>
      <c r="SX295" s="53"/>
      <c r="SY295" s="53"/>
      <c r="SZ295" s="53"/>
      <c r="TA295" s="53"/>
      <c r="TB295" s="53"/>
      <c r="TC295" s="53"/>
      <c r="TD295" s="53"/>
      <c r="TE295" s="53"/>
      <c r="TF295" s="53"/>
      <c r="TG295" s="53"/>
      <c r="TH295" s="53"/>
      <c r="TI295" s="53"/>
      <c r="TJ295" s="53"/>
      <c r="TK295" s="53"/>
      <c r="TL295" s="53"/>
      <c r="TM295" s="53"/>
      <c r="TN295" s="53"/>
      <c r="TO295" s="53"/>
      <c r="TP295" s="53"/>
      <c r="TQ295" s="53"/>
      <c r="TR295" s="53"/>
      <c r="TS295" s="53"/>
      <c r="TT295" s="53"/>
      <c r="TU295" s="53"/>
      <c r="TV295" s="53"/>
      <c r="TW295" s="53"/>
      <c r="TX295" s="53"/>
      <c r="TY295" s="53"/>
      <c r="TZ295" s="53"/>
      <c r="UA295" s="53"/>
      <c r="UB295" s="53"/>
      <c r="UC295" s="53"/>
      <c r="UD295" s="53"/>
      <c r="UE295" s="53"/>
      <c r="UF295" s="53"/>
      <c r="UG295" s="53"/>
      <c r="UH295" s="53"/>
      <c r="UI295" s="53"/>
      <c r="UJ295" s="53"/>
      <c r="UK295" s="53"/>
      <c r="UL295" s="53"/>
      <c r="UM295" s="53"/>
      <c r="UN295" s="53"/>
      <c r="UO295" s="53"/>
      <c r="UP295" s="53"/>
      <c r="UQ295" s="53"/>
      <c r="UR295" s="53"/>
      <c r="US295" s="53"/>
      <c r="UT295" s="53"/>
      <c r="UU295" s="53"/>
      <c r="UV295" s="53"/>
      <c r="UW295" s="53"/>
      <c r="UX295" s="53"/>
      <c r="UY295" s="53"/>
      <c r="UZ295" s="53"/>
      <c r="VA295" s="53"/>
      <c r="VB295" s="53"/>
      <c r="VC295" s="53"/>
      <c r="VD295" s="53"/>
      <c r="VE295" s="53"/>
      <c r="VF295" s="53"/>
      <c r="VG295" s="53"/>
      <c r="VH295" s="53"/>
      <c r="VI295" s="53"/>
      <c r="VJ295" s="53"/>
      <c r="VK295" s="53"/>
      <c r="VL295" s="53"/>
    </row>
    <row r="296" spans="1:584" s="47" customFormat="1" ht="36" customHeight="1" x14ac:dyDescent="0.25">
      <c r="A296" s="111" t="s">
        <v>592</v>
      </c>
      <c r="B296" s="109"/>
      <c r="C296" s="109"/>
      <c r="D296" s="108" t="s">
        <v>590</v>
      </c>
      <c r="E296" s="114">
        <f>SUM(E297)</f>
        <v>140942.49</v>
      </c>
      <c r="F296" s="114">
        <f t="shared" ref="F296:Y296" si="99">SUM(F297)</f>
        <v>115526.63</v>
      </c>
      <c r="G296" s="114">
        <f t="shared" si="99"/>
        <v>0</v>
      </c>
      <c r="H296" s="114">
        <f>SUM(H297)</f>
        <v>140942.49</v>
      </c>
      <c r="I296" s="114">
        <f t="shared" si="99"/>
        <v>115526.63</v>
      </c>
      <c r="J296" s="114">
        <f t="shared" si="99"/>
        <v>0</v>
      </c>
      <c r="K296" s="153">
        <f t="shared" si="83"/>
        <v>100</v>
      </c>
      <c r="L296" s="114">
        <f t="shared" si="99"/>
        <v>0</v>
      </c>
      <c r="M296" s="114">
        <f t="shared" si="99"/>
        <v>0</v>
      </c>
      <c r="N296" s="114">
        <f t="shared" si="99"/>
        <v>0</v>
      </c>
      <c r="O296" s="114">
        <f t="shared" si="99"/>
        <v>0</v>
      </c>
      <c r="P296" s="114">
        <f t="shared" si="99"/>
        <v>0</v>
      </c>
      <c r="Q296" s="114">
        <f t="shared" si="99"/>
        <v>0</v>
      </c>
      <c r="R296" s="114">
        <f t="shared" si="99"/>
        <v>0</v>
      </c>
      <c r="S296" s="114">
        <f t="shared" si="99"/>
        <v>0</v>
      </c>
      <c r="T296" s="114">
        <f t="shared" si="99"/>
        <v>0</v>
      </c>
      <c r="U296" s="114">
        <f t="shared" si="99"/>
        <v>0</v>
      </c>
      <c r="V296" s="114">
        <f t="shared" si="99"/>
        <v>0</v>
      </c>
      <c r="W296" s="114">
        <f t="shared" si="99"/>
        <v>0</v>
      </c>
      <c r="X296" s="149"/>
      <c r="Y296" s="114">
        <f t="shared" si="99"/>
        <v>140942.49</v>
      </c>
      <c r="Z296" s="187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  <c r="GB296" s="53"/>
      <c r="GC296" s="53"/>
      <c r="GD296" s="53"/>
      <c r="GE296" s="53"/>
      <c r="GF296" s="53"/>
      <c r="GG296" s="53"/>
      <c r="GH296" s="53"/>
      <c r="GI296" s="53"/>
      <c r="GJ296" s="53"/>
      <c r="GK296" s="53"/>
      <c r="GL296" s="53"/>
      <c r="GM296" s="53"/>
      <c r="GN296" s="53"/>
      <c r="GO296" s="53"/>
      <c r="GP296" s="53"/>
      <c r="GQ296" s="53"/>
      <c r="GR296" s="53"/>
      <c r="GS296" s="53"/>
      <c r="GT296" s="53"/>
      <c r="GU296" s="53"/>
      <c r="GV296" s="53"/>
      <c r="GW296" s="53"/>
      <c r="GX296" s="53"/>
      <c r="GY296" s="53"/>
      <c r="GZ296" s="53"/>
      <c r="HA296" s="53"/>
      <c r="HB296" s="53"/>
      <c r="HC296" s="53"/>
      <c r="HD296" s="53"/>
      <c r="HE296" s="53"/>
      <c r="HF296" s="53"/>
      <c r="HG296" s="53"/>
      <c r="HH296" s="53"/>
      <c r="HI296" s="53"/>
      <c r="HJ296" s="53"/>
      <c r="HK296" s="53"/>
      <c r="HL296" s="53"/>
      <c r="HM296" s="53"/>
      <c r="HN296" s="53"/>
      <c r="HO296" s="53"/>
      <c r="HP296" s="53"/>
      <c r="HQ296" s="53"/>
      <c r="HR296" s="53"/>
      <c r="HS296" s="53"/>
      <c r="HT296" s="53"/>
      <c r="HU296" s="53"/>
      <c r="HV296" s="53"/>
      <c r="HW296" s="53"/>
      <c r="HX296" s="53"/>
      <c r="HY296" s="53"/>
      <c r="HZ296" s="53"/>
      <c r="IA296" s="53"/>
      <c r="IB296" s="53"/>
      <c r="IC296" s="53"/>
      <c r="ID296" s="53"/>
      <c r="IE296" s="53"/>
      <c r="IF296" s="53"/>
      <c r="IG296" s="53"/>
      <c r="IH296" s="53"/>
      <c r="II296" s="53"/>
      <c r="IJ296" s="53"/>
      <c r="IK296" s="53"/>
      <c r="IL296" s="53"/>
      <c r="IM296" s="53"/>
      <c r="IN296" s="53"/>
      <c r="IO296" s="53"/>
      <c r="IP296" s="53"/>
      <c r="IQ296" s="53"/>
      <c r="IR296" s="53"/>
      <c r="IS296" s="53"/>
      <c r="IT296" s="53"/>
      <c r="IU296" s="53"/>
      <c r="IV296" s="53"/>
      <c r="IW296" s="53"/>
      <c r="IX296" s="53"/>
      <c r="IY296" s="53"/>
      <c r="IZ296" s="53"/>
      <c r="JA296" s="53"/>
      <c r="JB296" s="53"/>
      <c r="JC296" s="53"/>
      <c r="JD296" s="53"/>
      <c r="JE296" s="53"/>
      <c r="JF296" s="53"/>
      <c r="JG296" s="53"/>
      <c r="JH296" s="53"/>
      <c r="JI296" s="53"/>
      <c r="JJ296" s="53"/>
      <c r="JK296" s="53"/>
      <c r="JL296" s="53"/>
      <c r="JM296" s="53"/>
      <c r="JN296" s="53"/>
      <c r="JO296" s="53"/>
      <c r="JP296" s="53"/>
      <c r="JQ296" s="53"/>
      <c r="JR296" s="53"/>
      <c r="JS296" s="53"/>
      <c r="JT296" s="53"/>
      <c r="JU296" s="53"/>
      <c r="JV296" s="53"/>
      <c r="JW296" s="53"/>
      <c r="JX296" s="53"/>
      <c r="JY296" s="53"/>
      <c r="JZ296" s="53"/>
      <c r="KA296" s="53"/>
      <c r="KB296" s="53"/>
      <c r="KC296" s="53"/>
      <c r="KD296" s="53"/>
      <c r="KE296" s="53"/>
      <c r="KF296" s="53"/>
      <c r="KG296" s="53"/>
      <c r="KH296" s="53"/>
      <c r="KI296" s="53"/>
      <c r="KJ296" s="53"/>
      <c r="KK296" s="53"/>
      <c r="KL296" s="53"/>
      <c r="KM296" s="53"/>
      <c r="KN296" s="53"/>
      <c r="KO296" s="53"/>
      <c r="KP296" s="53"/>
      <c r="KQ296" s="53"/>
      <c r="KR296" s="53"/>
      <c r="KS296" s="53"/>
      <c r="KT296" s="53"/>
      <c r="KU296" s="53"/>
      <c r="KV296" s="53"/>
      <c r="KW296" s="53"/>
      <c r="KX296" s="53"/>
      <c r="KY296" s="53"/>
      <c r="KZ296" s="53"/>
      <c r="LA296" s="53"/>
      <c r="LB296" s="53"/>
      <c r="LC296" s="53"/>
      <c r="LD296" s="53"/>
      <c r="LE296" s="53"/>
      <c r="LF296" s="53"/>
      <c r="LG296" s="53"/>
      <c r="LH296" s="53"/>
      <c r="LI296" s="53"/>
      <c r="LJ296" s="53"/>
      <c r="LK296" s="53"/>
      <c r="LL296" s="53"/>
      <c r="LM296" s="53"/>
      <c r="LN296" s="53"/>
      <c r="LO296" s="53"/>
      <c r="LP296" s="53"/>
      <c r="LQ296" s="53"/>
      <c r="LR296" s="53"/>
      <c r="LS296" s="53"/>
      <c r="LT296" s="53"/>
      <c r="LU296" s="53"/>
      <c r="LV296" s="53"/>
      <c r="LW296" s="53"/>
      <c r="LX296" s="53"/>
      <c r="LY296" s="53"/>
      <c r="LZ296" s="53"/>
      <c r="MA296" s="53"/>
      <c r="MB296" s="53"/>
      <c r="MC296" s="53"/>
      <c r="MD296" s="53"/>
      <c r="ME296" s="53"/>
      <c r="MF296" s="53"/>
      <c r="MG296" s="53"/>
      <c r="MH296" s="53"/>
      <c r="MI296" s="53"/>
      <c r="MJ296" s="53"/>
      <c r="MK296" s="53"/>
      <c r="ML296" s="53"/>
      <c r="MM296" s="53"/>
      <c r="MN296" s="53"/>
      <c r="MO296" s="53"/>
      <c r="MP296" s="53"/>
      <c r="MQ296" s="53"/>
      <c r="MR296" s="53"/>
      <c r="MS296" s="53"/>
      <c r="MT296" s="53"/>
      <c r="MU296" s="53"/>
      <c r="MV296" s="53"/>
      <c r="MW296" s="53"/>
      <c r="MX296" s="53"/>
      <c r="MY296" s="53"/>
      <c r="MZ296" s="53"/>
      <c r="NA296" s="53"/>
      <c r="NB296" s="53"/>
      <c r="NC296" s="53"/>
      <c r="ND296" s="53"/>
      <c r="NE296" s="53"/>
      <c r="NF296" s="53"/>
      <c r="NG296" s="53"/>
      <c r="NH296" s="53"/>
      <c r="NI296" s="53"/>
      <c r="NJ296" s="53"/>
      <c r="NK296" s="53"/>
      <c r="NL296" s="53"/>
      <c r="NM296" s="53"/>
      <c r="NN296" s="53"/>
      <c r="NO296" s="53"/>
      <c r="NP296" s="53"/>
      <c r="NQ296" s="53"/>
      <c r="NR296" s="53"/>
      <c r="NS296" s="53"/>
      <c r="NT296" s="53"/>
      <c r="NU296" s="53"/>
      <c r="NV296" s="53"/>
      <c r="NW296" s="53"/>
      <c r="NX296" s="53"/>
      <c r="NY296" s="53"/>
      <c r="NZ296" s="53"/>
      <c r="OA296" s="53"/>
      <c r="OB296" s="53"/>
      <c r="OC296" s="53"/>
      <c r="OD296" s="53"/>
      <c r="OE296" s="53"/>
      <c r="OF296" s="53"/>
      <c r="OG296" s="53"/>
      <c r="OH296" s="53"/>
      <c r="OI296" s="53"/>
      <c r="OJ296" s="53"/>
      <c r="OK296" s="53"/>
      <c r="OL296" s="53"/>
      <c r="OM296" s="53"/>
      <c r="ON296" s="53"/>
      <c r="OO296" s="53"/>
      <c r="OP296" s="53"/>
      <c r="OQ296" s="53"/>
      <c r="OR296" s="53"/>
      <c r="OS296" s="53"/>
      <c r="OT296" s="53"/>
      <c r="OU296" s="53"/>
      <c r="OV296" s="53"/>
      <c r="OW296" s="53"/>
      <c r="OX296" s="53"/>
      <c r="OY296" s="53"/>
      <c r="OZ296" s="53"/>
      <c r="PA296" s="53"/>
      <c r="PB296" s="53"/>
      <c r="PC296" s="53"/>
      <c r="PD296" s="53"/>
      <c r="PE296" s="53"/>
      <c r="PF296" s="53"/>
      <c r="PG296" s="53"/>
      <c r="PH296" s="53"/>
      <c r="PI296" s="53"/>
      <c r="PJ296" s="53"/>
      <c r="PK296" s="53"/>
      <c r="PL296" s="53"/>
      <c r="PM296" s="53"/>
      <c r="PN296" s="53"/>
      <c r="PO296" s="53"/>
      <c r="PP296" s="53"/>
      <c r="PQ296" s="53"/>
      <c r="PR296" s="53"/>
      <c r="PS296" s="53"/>
      <c r="PT296" s="53"/>
      <c r="PU296" s="53"/>
      <c r="PV296" s="53"/>
      <c r="PW296" s="53"/>
      <c r="PX296" s="53"/>
      <c r="PY296" s="53"/>
      <c r="PZ296" s="53"/>
      <c r="QA296" s="53"/>
      <c r="QB296" s="53"/>
      <c r="QC296" s="53"/>
      <c r="QD296" s="53"/>
      <c r="QE296" s="53"/>
      <c r="QF296" s="53"/>
      <c r="QG296" s="53"/>
      <c r="QH296" s="53"/>
      <c r="QI296" s="53"/>
      <c r="QJ296" s="53"/>
      <c r="QK296" s="53"/>
      <c r="QL296" s="53"/>
      <c r="QM296" s="53"/>
      <c r="QN296" s="53"/>
      <c r="QO296" s="53"/>
      <c r="QP296" s="53"/>
      <c r="QQ296" s="53"/>
      <c r="QR296" s="53"/>
      <c r="QS296" s="53"/>
      <c r="QT296" s="53"/>
      <c r="QU296" s="53"/>
      <c r="QV296" s="53"/>
      <c r="QW296" s="53"/>
      <c r="QX296" s="53"/>
      <c r="QY296" s="53"/>
      <c r="QZ296" s="53"/>
      <c r="RA296" s="53"/>
      <c r="RB296" s="53"/>
      <c r="RC296" s="53"/>
      <c r="RD296" s="53"/>
      <c r="RE296" s="53"/>
      <c r="RF296" s="53"/>
      <c r="RG296" s="53"/>
      <c r="RH296" s="53"/>
      <c r="RI296" s="53"/>
      <c r="RJ296" s="53"/>
      <c r="RK296" s="53"/>
      <c r="RL296" s="53"/>
      <c r="RM296" s="53"/>
      <c r="RN296" s="53"/>
      <c r="RO296" s="53"/>
      <c r="RP296" s="53"/>
      <c r="RQ296" s="53"/>
      <c r="RR296" s="53"/>
      <c r="RS296" s="53"/>
      <c r="RT296" s="53"/>
      <c r="RU296" s="53"/>
      <c r="RV296" s="53"/>
      <c r="RW296" s="53"/>
      <c r="RX296" s="53"/>
      <c r="RY296" s="53"/>
      <c r="RZ296" s="53"/>
      <c r="SA296" s="53"/>
      <c r="SB296" s="53"/>
      <c r="SC296" s="53"/>
      <c r="SD296" s="53"/>
      <c r="SE296" s="53"/>
      <c r="SF296" s="53"/>
      <c r="SG296" s="53"/>
      <c r="SH296" s="53"/>
      <c r="SI296" s="53"/>
      <c r="SJ296" s="53"/>
      <c r="SK296" s="53"/>
      <c r="SL296" s="53"/>
      <c r="SM296" s="53"/>
      <c r="SN296" s="53"/>
      <c r="SO296" s="53"/>
      <c r="SP296" s="53"/>
      <c r="SQ296" s="53"/>
      <c r="SR296" s="53"/>
      <c r="SS296" s="53"/>
      <c r="ST296" s="53"/>
      <c r="SU296" s="53"/>
      <c r="SV296" s="53"/>
      <c r="SW296" s="53"/>
      <c r="SX296" s="53"/>
      <c r="SY296" s="53"/>
      <c r="SZ296" s="53"/>
      <c r="TA296" s="53"/>
      <c r="TB296" s="53"/>
      <c r="TC296" s="53"/>
      <c r="TD296" s="53"/>
      <c r="TE296" s="53"/>
      <c r="TF296" s="53"/>
      <c r="TG296" s="53"/>
      <c r="TH296" s="53"/>
      <c r="TI296" s="53"/>
      <c r="TJ296" s="53"/>
      <c r="TK296" s="53"/>
      <c r="TL296" s="53"/>
      <c r="TM296" s="53"/>
      <c r="TN296" s="53"/>
      <c r="TO296" s="53"/>
      <c r="TP296" s="53"/>
      <c r="TQ296" s="53"/>
      <c r="TR296" s="53"/>
      <c r="TS296" s="53"/>
      <c r="TT296" s="53"/>
      <c r="TU296" s="53"/>
      <c r="TV296" s="53"/>
      <c r="TW296" s="53"/>
      <c r="TX296" s="53"/>
      <c r="TY296" s="53"/>
      <c r="TZ296" s="53"/>
      <c r="UA296" s="53"/>
      <c r="UB296" s="53"/>
      <c r="UC296" s="53"/>
      <c r="UD296" s="53"/>
      <c r="UE296" s="53"/>
      <c r="UF296" s="53"/>
      <c r="UG296" s="53"/>
      <c r="UH296" s="53"/>
      <c r="UI296" s="53"/>
      <c r="UJ296" s="53"/>
      <c r="UK296" s="53"/>
      <c r="UL296" s="53"/>
      <c r="UM296" s="53"/>
      <c r="UN296" s="53"/>
      <c r="UO296" s="53"/>
      <c r="UP296" s="53"/>
      <c r="UQ296" s="53"/>
      <c r="UR296" s="53"/>
      <c r="US296" s="53"/>
      <c r="UT296" s="53"/>
      <c r="UU296" s="53"/>
      <c r="UV296" s="53"/>
      <c r="UW296" s="53"/>
      <c r="UX296" s="53"/>
      <c r="UY296" s="53"/>
      <c r="UZ296" s="53"/>
      <c r="VA296" s="53"/>
      <c r="VB296" s="53"/>
      <c r="VC296" s="53"/>
      <c r="VD296" s="53"/>
      <c r="VE296" s="53"/>
      <c r="VF296" s="53"/>
      <c r="VG296" s="53"/>
      <c r="VH296" s="53"/>
      <c r="VI296" s="53"/>
      <c r="VJ296" s="53"/>
      <c r="VK296" s="53"/>
      <c r="VL296" s="53"/>
    </row>
    <row r="297" spans="1:584" s="47" customFormat="1" ht="40.5" customHeight="1" x14ac:dyDescent="0.25">
      <c r="A297" s="71" t="s">
        <v>593</v>
      </c>
      <c r="B297" s="71" t="s">
        <v>152</v>
      </c>
      <c r="C297" s="71" t="s">
        <v>69</v>
      </c>
      <c r="D297" s="46" t="s">
        <v>153</v>
      </c>
      <c r="E297" s="115">
        <v>140942.49</v>
      </c>
      <c r="F297" s="115">
        <v>115526.63</v>
      </c>
      <c r="G297" s="115"/>
      <c r="H297" s="115">
        <v>140942.49</v>
      </c>
      <c r="I297" s="115">
        <v>115526.63</v>
      </c>
      <c r="J297" s="115"/>
      <c r="K297" s="164">
        <f t="shared" si="83"/>
        <v>100</v>
      </c>
      <c r="L297" s="115">
        <f>SUM(N297+Q297)</f>
        <v>0</v>
      </c>
      <c r="M297" s="115"/>
      <c r="N297" s="115"/>
      <c r="O297" s="115"/>
      <c r="P297" s="115"/>
      <c r="Q297" s="115"/>
      <c r="R297" s="115">
        <f>SUM(T297+W297)</f>
        <v>0</v>
      </c>
      <c r="S297" s="115"/>
      <c r="T297" s="115"/>
      <c r="U297" s="115"/>
      <c r="V297" s="115"/>
      <c r="W297" s="115"/>
      <c r="X297" s="149"/>
      <c r="Y297" s="115">
        <f t="shared" ref="Y297" si="100">H297+R297</f>
        <v>140942.49</v>
      </c>
      <c r="Z297" s="187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  <c r="GN297" s="53"/>
      <c r="GO297" s="53"/>
      <c r="GP297" s="53"/>
      <c r="GQ297" s="53"/>
      <c r="GR297" s="53"/>
      <c r="GS297" s="53"/>
      <c r="GT297" s="53"/>
      <c r="GU297" s="53"/>
      <c r="GV297" s="53"/>
      <c r="GW297" s="53"/>
      <c r="GX297" s="53"/>
      <c r="GY297" s="53"/>
      <c r="GZ297" s="53"/>
      <c r="HA297" s="53"/>
      <c r="HB297" s="53"/>
      <c r="HC297" s="53"/>
      <c r="HD297" s="53"/>
      <c r="HE297" s="53"/>
      <c r="HF297" s="53"/>
      <c r="HG297" s="53"/>
      <c r="HH297" s="53"/>
      <c r="HI297" s="53"/>
      <c r="HJ297" s="53"/>
      <c r="HK297" s="53"/>
      <c r="HL297" s="53"/>
      <c r="HM297" s="53"/>
      <c r="HN297" s="53"/>
      <c r="HO297" s="53"/>
      <c r="HP297" s="53"/>
      <c r="HQ297" s="53"/>
      <c r="HR297" s="53"/>
      <c r="HS297" s="53"/>
      <c r="HT297" s="53"/>
      <c r="HU297" s="53"/>
      <c r="HV297" s="53"/>
      <c r="HW297" s="53"/>
      <c r="HX297" s="53"/>
      <c r="HY297" s="53"/>
      <c r="HZ297" s="53"/>
      <c r="IA297" s="53"/>
      <c r="IB297" s="53"/>
      <c r="IC297" s="53"/>
      <c r="ID297" s="53"/>
      <c r="IE297" s="53"/>
      <c r="IF297" s="53"/>
      <c r="IG297" s="53"/>
      <c r="IH297" s="53"/>
      <c r="II297" s="53"/>
      <c r="IJ297" s="53"/>
      <c r="IK297" s="53"/>
      <c r="IL297" s="53"/>
      <c r="IM297" s="53"/>
      <c r="IN297" s="53"/>
      <c r="IO297" s="53"/>
      <c r="IP297" s="53"/>
      <c r="IQ297" s="53"/>
      <c r="IR297" s="53"/>
      <c r="IS297" s="53"/>
      <c r="IT297" s="53"/>
      <c r="IU297" s="53"/>
      <c r="IV297" s="53"/>
      <c r="IW297" s="53"/>
      <c r="IX297" s="53"/>
      <c r="IY297" s="53"/>
      <c r="IZ297" s="53"/>
      <c r="JA297" s="53"/>
      <c r="JB297" s="53"/>
      <c r="JC297" s="53"/>
      <c r="JD297" s="53"/>
      <c r="JE297" s="53"/>
      <c r="JF297" s="53"/>
      <c r="JG297" s="53"/>
      <c r="JH297" s="53"/>
      <c r="JI297" s="53"/>
      <c r="JJ297" s="53"/>
      <c r="JK297" s="53"/>
      <c r="JL297" s="53"/>
      <c r="JM297" s="53"/>
      <c r="JN297" s="53"/>
      <c r="JO297" s="53"/>
      <c r="JP297" s="53"/>
      <c r="JQ297" s="53"/>
      <c r="JR297" s="53"/>
      <c r="JS297" s="53"/>
      <c r="JT297" s="53"/>
      <c r="JU297" s="53"/>
      <c r="JV297" s="53"/>
      <c r="JW297" s="53"/>
      <c r="JX297" s="53"/>
      <c r="JY297" s="53"/>
      <c r="JZ297" s="53"/>
      <c r="KA297" s="53"/>
      <c r="KB297" s="53"/>
      <c r="KC297" s="53"/>
      <c r="KD297" s="53"/>
      <c r="KE297" s="53"/>
      <c r="KF297" s="53"/>
      <c r="KG297" s="53"/>
      <c r="KH297" s="53"/>
      <c r="KI297" s="53"/>
      <c r="KJ297" s="53"/>
      <c r="KK297" s="53"/>
      <c r="KL297" s="53"/>
      <c r="KM297" s="53"/>
      <c r="KN297" s="53"/>
      <c r="KO297" s="53"/>
      <c r="KP297" s="53"/>
      <c r="KQ297" s="53"/>
      <c r="KR297" s="53"/>
      <c r="KS297" s="53"/>
      <c r="KT297" s="53"/>
      <c r="KU297" s="53"/>
      <c r="KV297" s="53"/>
      <c r="KW297" s="53"/>
      <c r="KX297" s="53"/>
      <c r="KY297" s="53"/>
      <c r="KZ297" s="53"/>
      <c r="LA297" s="53"/>
      <c r="LB297" s="53"/>
      <c r="LC297" s="53"/>
      <c r="LD297" s="53"/>
      <c r="LE297" s="53"/>
      <c r="LF297" s="53"/>
      <c r="LG297" s="53"/>
      <c r="LH297" s="53"/>
      <c r="LI297" s="53"/>
      <c r="LJ297" s="53"/>
      <c r="LK297" s="53"/>
      <c r="LL297" s="53"/>
      <c r="LM297" s="53"/>
      <c r="LN297" s="53"/>
      <c r="LO297" s="53"/>
      <c r="LP297" s="53"/>
      <c r="LQ297" s="53"/>
      <c r="LR297" s="53"/>
      <c r="LS297" s="53"/>
      <c r="LT297" s="53"/>
      <c r="LU297" s="53"/>
      <c r="LV297" s="53"/>
      <c r="LW297" s="53"/>
      <c r="LX297" s="53"/>
      <c r="LY297" s="53"/>
      <c r="LZ297" s="53"/>
      <c r="MA297" s="53"/>
      <c r="MB297" s="53"/>
      <c r="MC297" s="53"/>
      <c r="MD297" s="53"/>
      <c r="ME297" s="53"/>
      <c r="MF297" s="53"/>
      <c r="MG297" s="53"/>
      <c r="MH297" s="53"/>
      <c r="MI297" s="53"/>
      <c r="MJ297" s="53"/>
      <c r="MK297" s="53"/>
      <c r="ML297" s="53"/>
      <c r="MM297" s="53"/>
      <c r="MN297" s="53"/>
      <c r="MO297" s="53"/>
      <c r="MP297" s="53"/>
      <c r="MQ297" s="53"/>
      <c r="MR297" s="53"/>
      <c r="MS297" s="53"/>
      <c r="MT297" s="53"/>
      <c r="MU297" s="53"/>
      <c r="MV297" s="53"/>
      <c r="MW297" s="53"/>
      <c r="MX297" s="53"/>
      <c r="MY297" s="53"/>
      <c r="MZ297" s="53"/>
      <c r="NA297" s="53"/>
      <c r="NB297" s="53"/>
      <c r="NC297" s="53"/>
      <c r="ND297" s="53"/>
      <c r="NE297" s="53"/>
      <c r="NF297" s="53"/>
      <c r="NG297" s="53"/>
      <c r="NH297" s="53"/>
      <c r="NI297" s="53"/>
      <c r="NJ297" s="53"/>
      <c r="NK297" s="53"/>
      <c r="NL297" s="53"/>
      <c r="NM297" s="53"/>
      <c r="NN297" s="53"/>
      <c r="NO297" s="53"/>
      <c r="NP297" s="53"/>
      <c r="NQ297" s="53"/>
      <c r="NR297" s="53"/>
      <c r="NS297" s="53"/>
      <c r="NT297" s="53"/>
      <c r="NU297" s="53"/>
      <c r="NV297" s="53"/>
      <c r="NW297" s="53"/>
      <c r="NX297" s="53"/>
      <c r="NY297" s="53"/>
      <c r="NZ297" s="53"/>
      <c r="OA297" s="53"/>
      <c r="OB297" s="53"/>
      <c r="OC297" s="53"/>
      <c r="OD297" s="53"/>
      <c r="OE297" s="53"/>
      <c r="OF297" s="53"/>
      <c r="OG297" s="53"/>
      <c r="OH297" s="53"/>
      <c r="OI297" s="53"/>
      <c r="OJ297" s="53"/>
      <c r="OK297" s="53"/>
      <c r="OL297" s="53"/>
      <c r="OM297" s="53"/>
      <c r="ON297" s="53"/>
      <c r="OO297" s="53"/>
      <c r="OP297" s="53"/>
      <c r="OQ297" s="53"/>
      <c r="OR297" s="53"/>
      <c r="OS297" s="53"/>
      <c r="OT297" s="53"/>
      <c r="OU297" s="53"/>
      <c r="OV297" s="53"/>
      <c r="OW297" s="53"/>
      <c r="OX297" s="53"/>
      <c r="OY297" s="53"/>
      <c r="OZ297" s="53"/>
      <c r="PA297" s="53"/>
      <c r="PB297" s="53"/>
      <c r="PC297" s="53"/>
      <c r="PD297" s="53"/>
      <c r="PE297" s="53"/>
      <c r="PF297" s="53"/>
      <c r="PG297" s="53"/>
      <c r="PH297" s="53"/>
      <c r="PI297" s="53"/>
      <c r="PJ297" s="53"/>
      <c r="PK297" s="53"/>
      <c r="PL297" s="53"/>
      <c r="PM297" s="53"/>
      <c r="PN297" s="53"/>
      <c r="PO297" s="53"/>
      <c r="PP297" s="53"/>
      <c r="PQ297" s="53"/>
      <c r="PR297" s="53"/>
      <c r="PS297" s="53"/>
      <c r="PT297" s="53"/>
      <c r="PU297" s="53"/>
      <c r="PV297" s="53"/>
      <c r="PW297" s="53"/>
      <c r="PX297" s="53"/>
      <c r="PY297" s="53"/>
      <c r="PZ297" s="53"/>
      <c r="QA297" s="53"/>
      <c r="QB297" s="53"/>
      <c r="QC297" s="53"/>
      <c r="QD297" s="53"/>
      <c r="QE297" s="53"/>
      <c r="QF297" s="53"/>
      <c r="QG297" s="53"/>
      <c r="QH297" s="53"/>
      <c r="QI297" s="53"/>
      <c r="QJ297" s="53"/>
      <c r="QK297" s="53"/>
      <c r="QL297" s="53"/>
      <c r="QM297" s="53"/>
      <c r="QN297" s="53"/>
      <c r="QO297" s="53"/>
      <c r="QP297" s="53"/>
      <c r="QQ297" s="53"/>
      <c r="QR297" s="53"/>
      <c r="QS297" s="53"/>
      <c r="QT297" s="53"/>
      <c r="QU297" s="53"/>
      <c r="QV297" s="53"/>
      <c r="QW297" s="53"/>
      <c r="QX297" s="53"/>
      <c r="QY297" s="53"/>
      <c r="QZ297" s="53"/>
      <c r="RA297" s="53"/>
      <c r="RB297" s="53"/>
      <c r="RC297" s="53"/>
      <c r="RD297" s="53"/>
      <c r="RE297" s="53"/>
      <c r="RF297" s="53"/>
      <c r="RG297" s="53"/>
      <c r="RH297" s="53"/>
      <c r="RI297" s="53"/>
      <c r="RJ297" s="53"/>
      <c r="RK297" s="53"/>
      <c r="RL297" s="53"/>
      <c r="RM297" s="53"/>
      <c r="RN297" s="53"/>
      <c r="RO297" s="53"/>
      <c r="RP297" s="53"/>
      <c r="RQ297" s="53"/>
      <c r="RR297" s="53"/>
      <c r="RS297" s="53"/>
      <c r="RT297" s="53"/>
      <c r="RU297" s="53"/>
      <c r="RV297" s="53"/>
      <c r="RW297" s="53"/>
      <c r="RX297" s="53"/>
      <c r="RY297" s="53"/>
      <c r="RZ297" s="53"/>
      <c r="SA297" s="53"/>
      <c r="SB297" s="53"/>
      <c r="SC297" s="53"/>
      <c r="SD297" s="53"/>
      <c r="SE297" s="53"/>
      <c r="SF297" s="53"/>
      <c r="SG297" s="53"/>
      <c r="SH297" s="53"/>
      <c r="SI297" s="53"/>
      <c r="SJ297" s="53"/>
      <c r="SK297" s="53"/>
      <c r="SL297" s="53"/>
      <c r="SM297" s="53"/>
      <c r="SN297" s="53"/>
      <c r="SO297" s="53"/>
      <c r="SP297" s="53"/>
      <c r="SQ297" s="53"/>
      <c r="SR297" s="53"/>
      <c r="SS297" s="53"/>
      <c r="ST297" s="53"/>
      <c r="SU297" s="53"/>
      <c r="SV297" s="53"/>
      <c r="SW297" s="53"/>
      <c r="SX297" s="53"/>
      <c r="SY297" s="53"/>
      <c r="SZ297" s="53"/>
      <c r="TA297" s="53"/>
      <c r="TB297" s="53"/>
      <c r="TC297" s="53"/>
      <c r="TD297" s="53"/>
      <c r="TE297" s="53"/>
      <c r="TF297" s="53"/>
      <c r="TG297" s="53"/>
      <c r="TH297" s="53"/>
      <c r="TI297" s="53"/>
      <c r="TJ297" s="53"/>
      <c r="TK297" s="53"/>
      <c r="TL297" s="53"/>
      <c r="TM297" s="53"/>
      <c r="TN297" s="53"/>
      <c r="TO297" s="53"/>
      <c r="TP297" s="53"/>
      <c r="TQ297" s="53"/>
      <c r="TR297" s="53"/>
      <c r="TS297" s="53"/>
      <c r="TT297" s="53"/>
      <c r="TU297" s="53"/>
      <c r="TV297" s="53"/>
      <c r="TW297" s="53"/>
      <c r="TX297" s="53"/>
      <c r="TY297" s="53"/>
      <c r="TZ297" s="53"/>
      <c r="UA297" s="53"/>
      <c r="UB297" s="53"/>
      <c r="UC297" s="53"/>
      <c r="UD297" s="53"/>
      <c r="UE297" s="53"/>
      <c r="UF297" s="53"/>
      <c r="UG297" s="53"/>
      <c r="UH297" s="53"/>
      <c r="UI297" s="53"/>
      <c r="UJ297" s="53"/>
      <c r="UK297" s="53"/>
      <c r="UL297" s="53"/>
      <c r="UM297" s="53"/>
      <c r="UN297" s="53"/>
      <c r="UO297" s="53"/>
      <c r="UP297" s="53"/>
      <c r="UQ297" s="53"/>
      <c r="UR297" s="53"/>
      <c r="US297" s="53"/>
      <c r="UT297" s="53"/>
      <c r="UU297" s="53"/>
      <c r="UV297" s="53"/>
      <c r="UW297" s="53"/>
      <c r="UX297" s="53"/>
      <c r="UY297" s="53"/>
      <c r="UZ297" s="53"/>
      <c r="VA297" s="53"/>
      <c r="VB297" s="53"/>
      <c r="VC297" s="53"/>
      <c r="VD297" s="53"/>
      <c r="VE297" s="53"/>
      <c r="VF297" s="53"/>
      <c r="VG297" s="53"/>
      <c r="VH297" s="53"/>
      <c r="VI297" s="53"/>
      <c r="VJ297" s="53"/>
      <c r="VK297" s="53"/>
      <c r="VL297" s="53"/>
    </row>
    <row r="298" spans="1:584" s="64" customFormat="1" ht="36" customHeight="1" x14ac:dyDescent="0.25">
      <c r="A298" s="62" t="s">
        <v>284</v>
      </c>
      <c r="B298" s="97"/>
      <c r="C298" s="97"/>
      <c r="D298" s="63" t="s">
        <v>63</v>
      </c>
      <c r="E298" s="116">
        <f>E299</f>
        <v>139719716.81999999</v>
      </c>
      <c r="F298" s="116">
        <f t="shared" ref="F298:Y298" si="101">F299</f>
        <v>15818000</v>
      </c>
      <c r="G298" s="116">
        <f t="shared" si="101"/>
        <v>214541</v>
      </c>
      <c r="H298" s="116">
        <f>H299</f>
        <v>130668696.19</v>
      </c>
      <c r="I298" s="116">
        <f t="shared" si="101"/>
        <v>15108125.52</v>
      </c>
      <c r="J298" s="116">
        <f t="shared" si="101"/>
        <v>198891.88</v>
      </c>
      <c r="K298" s="135">
        <f t="shared" si="83"/>
        <v>93.52201619356245</v>
      </c>
      <c r="L298" s="116">
        <f t="shared" si="101"/>
        <v>9186000</v>
      </c>
      <c r="M298" s="116">
        <f t="shared" si="101"/>
        <v>1146000</v>
      </c>
      <c r="N298" s="116">
        <f t="shared" si="101"/>
        <v>8040000</v>
      </c>
      <c r="O298" s="116">
        <f t="shared" si="101"/>
        <v>0</v>
      </c>
      <c r="P298" s="116">
        <f t="shared" si="101"/>
        <v>0</v>
      </c>
      <c r="Q298" s="116">
        <f t="shared" si="101"/>
        <v>1146000</v>
      </c>
      <c r="R298" s="116">
        <f t="shared" si="101"/>
        <v>9112149.3699999992</v>
      </c>
      <c r="S298" s="116">
        <f t="shared" si="101"/>
        <v>1138541.73</v>
      </c>
      <c r="T298" s="116">
        <f t="shared" si="101"/>
        <v>7973607.6399999997</v>
      </c>
      <c r="U298" s="116">
        <f t="shared" si="101"/>
        <v>0</v>
      </c>
      <c r="V298" s="116">
        <f t="shared" si="101"/>
        <v>0</v>
      </c>
      <c r="W298" s="116">
        <f t="shared" si="101"/>
        <v>1138541.73</v>
      </c>
      <c r="X298" s="149">
        <f t="shared" si="84"/>
        <v>99.19605236229043</v>
      </c>
      <c r="Y298" s="116">
        <f t="shared" si="101"/>
        <v>139780845.56</v>
      </c>
      <c r="Z298" s="187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79"/>
      <c r="CQ298" s="79"/>
      <c r="CR298" s="79"/>
      <c r="CS298" s="79"/>
      <c r="CT298" s="79"/>
      <c r="CU298" s="79"/>
      <c r="CV298" s="79"/>
      <c r="CW298" s="79"/>
      <c r="CX298" s="79"/>
      <c r="CY298" s="79"/>
      <c r="CZ298" s="79"/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9"/>
      <c r="DM298" s="79"/>
      <c r="DN298" s="79"/>
      <c r="DO298" s="79"/>
      <c r="DP298" s="79"/>
      <c r="DQ298" s="79"/>
      <c r="DR298" s="79"/>
      <c r="DS298" s="79"/>
      <c r="DT298" s="79"/>
      <c r="DU298" s="79"/>
      <c r="DV298" s="79"/>
      <c r="DW298" s="79"/>
      <c r="DX298" s="79"/>
      <c r="DY298" s="79"/>
      <c r="DZ298" s="79"/>
      <c r="EA298" s="79"/>
      <c r="EB298" s="79"/>
      <c r="EC298" s="79"/>
      <c r="ED298" s="79"/>
      <c r="EE298" s="79"/>
      <c r="EF298" s="79"/>
      <c r="EG298" s="79"/>
      <c r="EH298" s="79"/>
      <c r="EI298" s="79"/>
      <c r="EJ298" s="79"/>
      <c r="EK298" s="79"/>
      <c r="EL298" s="79"/>
      <c r="EM298" s="79"/>
      <c r="EN298" s="79"/>
      <c r="EO298" s="79"/>
      <c r="EP298" s="79"/>
      <c r="EQ298" s="79"/>
      <c r="ER298" s="79"/>
      <c r="ES298" s="79"/>
      <c r="ET298" s="79"/>
      <c r="EU298" s="79"/>
      <c r="EV298" s="79"/>
      <c r="EW298" s="79"/>
      <c r="EX298" s="79"/>
      <c r="EY298" s="79"/>
      <c r="EZ298" s="79"/>
      <c r="FA298" s="79"/>
      <c r="FB298" s="79"/>
      <c r="FC298" s="79"/>
      <c r="FD298" s="79"/>
      <c r="FE298" s="79"/>
      <c r="FF298" s="79"/>
      <c r="FG298" s="79"/>
      <c r="FH298" s="79"/>
      <c r="FI298" s="79"/>
      <c r="FJ298" s="79"/>
      <c r="FK298" s="79"/>
      <c r="FL298" s="79"/>
      <c r="FM298" s="79"/>
      <c r="FN298" s="79"/>
      <c r="FO298" s="79"/>
      <c r="FP298" s="79"/>
      <c r="FQ298" s="79"/>
      <c r="FR298" s="79"/>
      <c r="FS298" s="79"/>
      <c r="FT298" s="79"/>
      <c r="FU298" s="79"/>
      <c r="FV298" s="79"/>
      <c r="FW298" s="79"/>
      <c r="FX298" s="79"/>
      <c r="FY298" s="79"/>
      <c r="FZ298" s="79"/>
      <c r="GA298" s="79"/>
      <c r="GB298" s="79"/>
      <c r="GC298" s="79"/>
      <c r="GD298" s="79"/>
      <c r="GE298" s="79"/>
      <c r="GF298" s="79"/>
      <c r="GG298" s="79"/>
      <c r="GH298" s="79"/>
      <c r="GI298" s="79"/>
      <c r="GJ298" s="79"/>
      <c r="GK298" s="79"/>
      <c r="GL298" s="79"/>
      <c r="GM298" s="79"/>
      <c r="GN298" s="79"/>
      <c r="GO298" s="79"/>
      <c r="GP298" s="79"/>
      <c r="GQ298" s="79"/>
      <c r="GR298" s="79"/>
      <c r="GS298" s="79"/>
      <c r="GT298" s="79"/>
      <c r="GU298" s="79"/>
      <c r="GV298" s="79"/>
      <c r="GW298" s="79"/>
      <c r="GX298" s="79"/>
      <c r="GY298" s="79"/>
      <c r="GZ298" s="79"/>
      <c r="HA298" s="79"/>
      <c r="HB298" s="79"/>
      <c r="HC298" s="79"/>
      <c r="HD298" s="79"/>
      <c r="HE298" s="79"/>
      <c r="HF298" s="79"/>
      <c r="HG298" s="79"/>
      <c r="HH298" s="79"/>
      <c r="HI298" s="79"/>
      <c r="HJ298" s="79"/>
      <c r="HK298" s="79"/>
      <c r="HL298" s="79"/>
      <c r="HM298" s="79"/>
      <c r="HN298" s="79"/>
      <c r="HO298" s="79"/>
      <c r="HP298" s="79"/>
      <c r="HQ298" s="79"/>
      <c r="HR298" s="79"/>
      <c r="HS298" s="79"/>
      <c r="HT298" s="79"/>
      <c r="HU298" s="79"/>
      <c r="HV298" s="79"/>
      <c r="HW298" s="79"/>
      <c r="HX298" s="79"/>
      <c r="HY298" s="79"/>
      <c r="HZ298" s="79"/>
      <c r="IA298" s="79"/>
      <c r="IB298" s="79"/>
      <c r="IC298" s="79"/>
      <c r="ID298" s="79"/>
      <c r="IE298" s="79"/>
      <c r="IF298" s="79"/>
      <c r="IG298" s="79"/>
      <c r="IH298" s="79"/>
      <c r="II298" s="79"/>
      <c r="IJ298" s="79"/>
      <c r="IK298" s="79"/>
      <c r="IL298" s="79"/>
      <c r="IM298" s="79"/>
      <c r="IN298" s="79"/>
      <c r="IO298" s="79"/>
      <c r="IP298" s="79"/>
      <c r="IQ298" s="79"/>
      <c r="IR298" s="79"/>
      <c r="IS298" s="79"/>
      <c r="IT298" s="79"/>
      <c r="IU298" s="79"/>
      <c r="IV298" s="79"/>
      <c r="IW298" s="79"/>
      <c r="IX298" s="79"/>
      <c r="IY298" s="79"/>
      <c r="IZ298" s="79"/>
      <c r="JA298" s="79"/>
      <c r="JB298" s="79"/>
      <c r="JC298" s="79"/>
      <c r="JD298" s="79"/>
      <c r="JE298" s="79"/>
      <c r="JF298" s="79"/>
      <c r="JG298" s="79"/>
      <c r="JH298" s="79"/>
      <c r="JI298" s="79"/>
      <c r="JJ298" s="79"/>
      <c r="JK298" s="79"/>
      <c r="JL298" s="79"/>
      <c r="JM298" s="79"/>
      <c r="JN298" s="79"/>
      <c r="JO298" s="79"/>
      <c r="JP298" s="79"/>
      <c r="JQ298" s="79"/>
      <c r="JR298" s="79"/>
      <c r="JS298" s="79"/>
      <c r="JT298" s="79"/>
      <c r="JU298" s="79"/>
      <c r="JV298" s="79"/>
      <c r="JW298" s="79"/>
      <c r="JX298" s="79"/>
      <c r="JY298" s="79"/>
      <c r="JZ298" s="79"/>
      <c r="KA298" s="79"/>
      <c r="KB298" s="79"/>
      <c r="KC298" s="79"/>
      <c r="KD298" s="79"/>
      <c r="KE298" s="79"/>
      <c r="KF298" s="79"/>
      <c r="KG298" s="79"/>
      <c r="KH298" s="79"/>
      <c r="KI298" s="79"/>
      <c r="KJ298" s="79"/>
      <c r="KK298" s="79"/>
      <c r="KL298" s="79"/>
      <c r="KM298" s="79"/>
      <c r="KN298" s="79"/>
      <c r="KO298" s="79"/>
      <c r="KP298" s="79"/>
      <c r="KQ298" s="79"/>
      <c r="KR298" s="79"/>
      <c r="KS298" s="79"/>
      <c r="KT298" s="79"/>
      <c r="KU298" s="79"/>
      <c r="KV298" s="79"/>
      <c r="KW298" s="79"/>
      <c r="KX298" s="79"/>
      <c r="KY298" s="79"/>
      <c r="KZ298" s="79"/>
      <c r="LA298" s="79"/>
      <c r="LB298" s="79"/>
      <c r="LC298" s="79"/>
      <c r="LD298" s="79"/>
      <c r="LE298" s="79"/>
      <c r="LF298" s="79"/>
      <c r="LG298" s="79"/>
      <c r="LH298" s="79"/>
      <c r="LI298" s="79"/>
      <c r="LJ298" s="79"/>
      <c r="LK298" s="79"/>
      <c r="LL298" s="79"/>
      <c r="LM298" s="79"/>
      <c r="LN298" s="79"/>
      <c r="LO298" s="79"/>
      <c r="LP298" s="79"/>
      <c r="LQ298" s="79"/>
      <c r="LR298" s="79"/>
      <c r="LS298" s="79"/>
      <c r="LT298" s="79"/>
      <c r="LU298" s="79"/>
      <c r="LV298" s="79"/>
      <c r="LW298" s="79"/>
      <c r="LX298" s="79"/>
      <c r="LY298" s="79"/>
      <c r="LZ298" s="79"/>
      <c r="MA298" s="79"/>
      <c r="MB298" s="79"/>
      <c r="MC298" s="79"/>
      <c r="MD298" s="79"/>
      <c r="ME298" s="79"/>
      <c r="MF298" s="79"/>
      <c r="MG298" s="79"/>
      <c r="MH298" s="79"/>
      <c r="MI298" s="79"/>
      <c r="MJ298" s="79"/>
      <c r="MK298" s="79"/>
      <c r="ML298" s="79"/>
      <c r="MM298" s="79"/>
      <c r="MN298" s="79"/>
      <c r="MO298" s="79"/>
      <c r="MP298" s="79"/>
      <c r="MQ298" s="79"/>
      <c r="MR298" s="79"/>
      <c r="MS298" s="79"/>
      <c r="MT298" s="79"/>
      <c r="MU298" s="79"/>
      <c r="MV298" s="79"/>
      <c r="MW298" s="79"/>
      <c r="MX298" s="79"/>
      <c r="MY298" s="79"/>
      <c r="MZ298" s="79"/>
      <c r="NA298" s="79"/>
      <c r="NB298" s="79"/>
      <c r="NC298" s="79"/>
      <c r="ND298" s="79"/>
      <c r="NE298" s="79"/>
      <c r="NF298" s="79"/>
      <c r="NG298" s="79"/>
      <c r="NH298" s="79"/>
      <c r="NI298" s="79"/>
      <c r="NJ298" s="79"/>
      <c r="NK298" s="79"/>
      <c r="NL298" s="79"/>
      <c r="NM298" s="79"/>
      <c r="NN298" s="79"/>
      <c r="NO298" s="79"/>
      <c r="NP298" s="79"/>
      <c r="NQ298" s="79"/>
      <c r="NR298" s="79"/>
      <c r="NS298" s="79"/>
      <c r="NT298" s="79"/>
      <c r="NU298" s="79"/>
      <c r="NV298" s="79"/>
      <c r="NW298" s="79"/>
      <c r="NX298" s="79"/>
      <c r="NY298" s="79"/>
      <c r="NZ298" s="79"/>
      <c r="OA298" s="79"/>
      <c r="OB298" s="79"/>
      <c r="OC298" s="79"/>
      <c r="OD298" s="79"/>
      <c r="OE298" s="79"/>
      <c r="OF298" s="79"/>
      <c r="OG298" s="79"/>
      <c r="OH298" s="79"/>
      <c r="OI298" s="79"/>
      <c r="OJ298" s="79"/>
      <c r="OK298" s="79"/>
      <c r="OL298" s="79"/>
      <c r="OM298" s="79"/>
      <c r="ON298" s="79"/>
      <c r="OO298" s="79"/>
      <c r="OP298" s="79"/>
      <c r="OQ298" s="79"/>
      <c r="OR298" s="79"/>
      <c r="OS298" s="79"/>
      <c r="OT298" s="79"/>
      <c r="OU298" s="79"/>
      <c r="OV298" s="79"/>
      <c r="OW298" s="79"/>
      <c r="OX298" s="79"/>
      <c r="OY298" s="79"/>
      <c r="OZ298" s="79"/>
      <c r="PA298" s="79"/>
      <c r="PB298" s="79"/>
      <c r="PC298" s="79"/>
      <c r="PD298" s="79"/>
      <c r="PE298" s="79"/>
      <c r="PF298" s="79"/>
      <c r="PG298" s="79"/>
      <c r="PH298" s="79"/>
      <c r="PI298" s="79"/>
      <c r="PJ298" s="79"/>
      <c r="PK298" s="79"/>
      <c r="PL298" s="79"/>
      <c r="PM298" s="79"/>
      <c r="PN298" s="79"/>
      <c r="PO298" s="79"/>
      <c r="PP298" s="79"/>
      <c r="PQ298" s="79"/>
      <c r="PR298" s="79"/>
      <c r="PS298" s="79"/>
      <c r="PT298" s="79"/>
      <c r="PU298" s="79"/>
      <c r="PV298" s="79"/>
      <c r="PW298" s="79"/>
      <c r="PX298" s="79"/>
      <c r="PY298" s="79"/>
      <c r="PZ298" s="79"/>
      <c r="QA298" s="79"/>
      <c r="QB298" s="79"/>
      <c r="QC298" s="79"/>
      <c r="QD298" s="79"/>
      <c r="QE298" s="79"/>
      <c r="QF298" s="79"/>
      <c r="QG298" s="79"/>
      <c r="QH298" s="79"/>
      <c r="QI298" s="79"/>
      <c r="QJ298" s="79"/>
      <c r="QK298" s="79"/>
      <c r="QL298" s="79"/>
      <c r="QM298" s="79"/>
      <c r="QN298" s="79"/>
      <c r="QO298" s="79"/>
      <c r="QP298" s="79"/>
      <c r="QQ298" s="79"/>
      <c r="QR298" s="79"/>
      <c r="QS298" s="79"/>
      <c r="QT298" s="79"/>
      <c r="QU298" s="79"/>
      <c r="QV298" s="79"/>
      <c r="QW298" s="79"/>
      <c r="QX298" s="79"/>
      <c r="QY298" s="79"/>
      <c r="QZ298" s="79"/>
      <c r="RA298" s="79"/>
      <c r="RB298" s="79"/>
      <c r="RC298" s="79"/>
      <c r="RD298" s="79"/>
      <c r="RE298" s="79"/>
      <c r="RF298" s="79"/>
      <c r="RG298" s="79"/>
      <c r="RH298" s="79"/>
      <c r="RI298" s="79"/>
      <c r="RJ298" s="79"/>
      <c r="RK298" s="79"/>
      <c r="RL298" s="79"/>
      <c r="RM298" s="79"/>
      <c r="RN298" s="79"/>
      <c r="RO298" s="79"/>
      <c r="RP298" s="79"/>
      <c r="RQ298" s="79"/>
      <c r="RR298" s="79"/>
      <c r="RS298" s="79"/>
      <c r="RT298" s="79"/>
      <c r="RU298" s="79"/>
      <c r="RV298" s="79"/>
      <c r="RW298" s="79"/>
      <c r="RX298" s="79"/>
      <c r="RY298" s="79"/>
      <c r="RZ298" s="79"/>
      <c r="SA298" s="79"/>
      <c r="SB298" s="79"/>
      <c r="SC298" s="79"/>
      <c r="SD298" s="79"/>
      <c r="SE298" s="79"/>
      <c r="SF298" s="79"/>
      <c r="SG298" s="79"/>
      <c r="SH298" s="79"/>
      <c r="SI298" s="79"/>
      <c r="SJ298" s="79"/>
      <c r="SK298" s="79"/>
      <c r="SL298" s="79"/>
      <c r="SM298" s="79"/>
      <c r="SN298" s="79"/>
      <c r="SO298" s="79"/>
      <c r="SP298" s="79"/>
      <c r="SQ298" s="79"/>
      <c r="SR298" s="79"/>
      <c r="SS298" s="79"/>
      <c r="ST298" s="79"/>
      <c r="SU298" s="79"/>
      <c r="SV298" s="79"/>
      <c r="SW298" s="79"/>
      <c r="SX298" s="79"/>
      <c r="SY298" s="79"/>
      <c r="SZ298" s="79"/>
      <c r="TA298" s="79"/>
      <c r="TB298" s="79"/>
      <c r="TC298" s="79"/>
      <c r="TD298" s="79"/>
      <c r="TE298" s="79"/>
      <c r="TF298" s="79"/>
      <c r="TG298" s="79"/>
      <c r="TH298" s="79"/>
      <c r="TI298" s="79"/>
      <c r="TJ298" s="79"/>
      <c r="TK298" s="79"/>
      <c r="TL298" s="79"/>
      <c r="TM298" s="79"/>
      <c r="TN298" s="79"/>
      <c r="TO298" s="79"/>
      <c r="TP298" s="79"/>
      <c r="TQ298" s="79"/>
      <c r="TR298" s="79"/>
      <c r="TS298" s="79"/>
      <c r="TT298" s="79"/>
      <c r="TU298" s="79"/>
      <c r="TV298" s="79"/>
      <c r="TW298" s="79"/>
      <c r="TX298" s="79"/>
      <c r="TY298" s="79"/>
      <c r="TZ298" s="79"/>
      <c r="UA298" s="79"/>
      <c r="UB298" s="79"/>
      <c r="UC298" s="79"/>
      <c r="UD298" s="79"/>
      <c r="UE298" s="79"/>
      <c r="UF298" s="79"/>
      <c r="UG298" s="79"/>
      <c r="UH298" s="79"/>
      <c r="UI298" s="79"/>
      <c r="UJ298" s="79"/>
      <c r="UK298" s="79"/>
      <c r="UL298" s="79"/>
      <c r="UM298" s="79"/>
      <c r="UN298" s="79"/>
      <c r="UO298" s="79"/>
      <c r="UP298" s="79"/>
      <c r="UQ298" s="79"/>
      <c r="UR298" s="79"/>
      <c r="US298" s="79"/>
      <c r="UT298" s="79"/>
      <c r="UU298" s="79"/>
      <c r="UV298" s="79"/>
      <c r="UW298" s="79"/>
      <c r="UX298" s="79"/>
      <c r="UY298" s="79"/>
      <c r="UZ298" s="79"/>
      <c r="VA298" s="79"/>
      <c r="VB298" s="79"/>
      <c r="VC298" s="79"/>
      <c r="VD298" s="79"/>
      <c r="VE298" s="79"/>
      <c r="VF298" s="79"/>
      <c r="VG298" s="79"/>
      <c r="VH298" s="79"/>
      <c r="VI298" s="79"/>
      <c r="VJ298" s="79"/>
      <c r="VK298" s="79"/>
      <c r="VL298" s="79"/>
    </row>
    <row r="299" spans="1:584" s="81" customFormat="1" ht="36" customHeight="1" x14ac:dyDescent="0.25">
      <c r="A299" s="67" t="s">
        <v>285</v>
      </c>
      <c r="B299" s="98"/>
      <c r="C299" s="98"/>
      <c r="D299" s="68" t="s">
        <v>63</v>
      </c>
      <c r="E299" s="114">
        <f>SUM(E301+E302+E303+E304+E305+E306+E308+E309+E310+E311+E313)</f>
        <v>139719716.81999999</v>
      </c>
      <c r="F299" s="114">
        <f t="shared" ref="F299:Y299" si="102">SUM(F301+F302+F303+F304+F305+F306+F308+F309+F310+F311+F313)</f>
        <v>15818000</v>
      </c>
      <c r="G299" s="114">
        <f t="shared" si="102"/>
        <v>214541</v>
      </c>
      <c r="H299" s="114">
        <f>SUM(H301+H302+H303+H304+H305+H306+H308+H309+H310+H311+H313)</f>
        <v>130668696.19</v>
      </c>
      <c r="I299" s="114">
        <f t="shared" ref="I299:J299" si="103">SUM(I301+I302+I303+I304+I305+I306+I308+I309+I310+I311+I313)</f>
        <v>15108125.52</v>
      </c>
      <c r="J299" s="114">
        <f t="shared" si="103"/>
        <v>198891.88</v>
      </c>
      <c r="K299" s="153">
        <f t="shared" si="83"/>
        <v>93.52201619356245</v>
      </c>
      <c r="L299" s="114">
        <f t="shared" si="102"/>
        <v>9186000</v>
      </c>
      <c r="M299" s="114">
        <f t="shared" si="102"/>
        <v>1146000</v>
      </c>
      <c r="N299" s="114">
        <f t="shared" si="102"/>
        <v>8040000</v>
      </c>
      <c r="O299" s="114">
        <f t="shared" si="102"/>
        <v>0</v>
      </c>
      <c r="P299" s="114">
        <f t="shared" si="102"/>
        <v>0</v>
      </c>
      <c r="Q299" s="114">
        <f t="shared" si="102"/>
        <v>1146000</v>
      </c>
      <c r="R299" s="114">
        <f t="shared" ref="R299:W299" si="104">SUM(R301+R302+R303+R304+R305+R306+R308+R309+R310+R311+R313)</f>
        <v>9112149.3699999992</v>
      </c>
      <c r="S299" s="114">
        <f t="shared" si="104"/>
        <v>1138541.73</v>
      </c>
      <c r="T299" s="114">
        <f t="shared" si="104"/>
        <v>7973607.6399999997</v>
      </c>
      <c r="U299" s="114">
        <f t="shared" si="104"/>
        <v>0</v>
      </c>
      <c r="V299" s="114">
        <f t="shared" si="104"/>
        <v>0</v>
      </c>
      <c r="W299" s="114">
        <f t="shared" si="104"/>
        <v>1138541.73</v>
      </c>
      <c r="X299" s="165">
        <f t="shared" si="84"/>
        <v>99.19605236229043</v>
      </c>
      <c r="Y299" s="114">
        <f t="shared" si="102"/>
        <v>139780845.56</v>
      </c>
      <c r="Z299" s="187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  <c r="DM299" s="80"/>
      <c r="DN299" s="80"/>
      <c r="DO299" s="80"/>
      <c r="DP299" s="80"/>
      <c r="DQ299" s="80"/>
      <c r="DR299" s="80"/>
      <c r="DS299" s="80"/>
      <c r="DT299" s="80"/>
      <c r="DU299" s="80"/>
      <c r="DV299" s="80"/>
      <c r="DW299" s="80"/>
      <c r="DX299" s="80"/>
      <c r="DY299" s="80"/>
      <c r="DZ299" s="80"/>
      <c r="EA299" s="80"/>
      <c r="EB299" s="80"/>
      <c r="EC299" s="80"/>
      <c r="ED299" s="80"/>
      <c r="EE299" s="80"/>
      <c r="EF299" s="80"/>
      <c r="EG299" s="80"/>
      <c r="EH299" s="80"/>
      <c r="EI299" s="80"/>
      <c r="EJ299" s="80"/>
      <c r="EK299" s="80"/>
      <c r="EL299" s="80"/>
      <c r="EM299" s="80"/>
      <c r="EN299" s="80"/>
      <c r="EO299" s="80"/>
      <c r="EP299" s="80"/>
      <c r="EQ299" s="80"/>
      <c r="ER299" s="80"/>
      <c r="ES299" s="80"/>
      <c r="ET299" s="80"/>
      <c r="EU299" s="80"/>
      <c r="EV299" s="80"/>
      <c r="EW299" s="80"/>
      <c r="EX299" s="80"/>
      <c r="EY299" s="80"/>
      <c r="EZ299" s="80"/>
      <c r="FA299" s="80"/>
      <c r="FB299" s="80"/>
      <c r="FC299" s="80"/>
      <c r="FD299" s="80"/>
      <c r="FE299" s="80"/>
      <c r="FF299" s="80"/>
      <c r="FG299" s="80"/>
      <c r="FH299" s="80"/>
      <c r="FI299" s="80"/>
      <c r="FJ299" s="80"/>
      <c r="FK299" s="80"/>
      <c r="FL299" s="80"/>
      <c r="FM299" s="80"/>
      <c r="FN299" s="80"/>
      <c r="FO299" s="80"/>
      <c r="FP299" s="80"/>
      <c r="FQ299" s="80"/>
      <c r="FR299" s="80"/>
      <c r="FS299" s="80"/>
      <c r="FT299" s="80"/>
      <c r="FU299" s="80"/>
      <c r="FV299" s="80"/>
      <c r="FW299" s="80"/>
      <c r="FX299" s="80"/>
      <c r="FY299" s="80"/>
      <c r="FZ299" s="80"/>
      <c r="GA299" s="80"/>
      <c r="GB299" s="80"/>
      <c r="GC299" s="80"/>
      <c r="GD299" s="80"/>
      <c r="GE299" s="80"/>
      <c r="GF299" s="80"/>
      <c r="GG299" s="80"/>
      <c r="GH299" s="80"/>
      <c r="GI299" s="80"/>
      <c r="GJ299" s="80"/>
      <c r="GK299" s="80"/>
      <c r="GL299" s="80"/>
      <c r="GM299" s="80"/>
      <c r="GN299" s="80"/>
      <c r="GO299" s="80"/>
      <c r="GP299" s="80"/>
      <c r="GQ299" s="80"/>
      <c r="GR299" s="80"/>
      <c r="GS299" s="80"/>
      <c r="GT299" s="80"/>
      <c r="GU299" s="80"/>
      <c r="GV299" s="80"/>
      <c r="GW299" s="80"/>
      <c r="GX299" s="80"/>
      <c r="GY299" s="80"/>
      <c r="GZ299" s="80"/>
      <c r="HA299" s="80"/>
      <c r="HB299" s="80"/>
      <c r="HC299" s="80"/>
      <c r="HD299" s="80"/>
      <c r="HE299" s="80"/>
      <c r="HF299" s="80"/>
      <c r="HG299" s="80"/>
      <c r="HH299" s="80"/>
      <c r="HI299" s="80"/>
      <c r="HJ299" s="80"/>
      <c r="HK299" s="80"/>
      <c r="HL299" s="80"/>
      <c r="HM299" s="80"/>
      <c r="HN299" s="80"/>
      <c r="HO299" s="80"/>
      <c r="HP299" s="80"/>
      <c r="HQ299" s="80"/>
      <c r="HR299" s="80"/>
      <c r="HS299" s="80"/>
      <c r="HT299" s="80"/>
      <c r="HU299" s="80"/>
      <c r="HV299" s="80"/>
      <c r="HW299" s="80"/>
      <c r="HX299" s="80"/>
      <c r="HY299" s="80"/>
      <c r="HZ299" s="80"/>
      <c r="IA299" s="80"/>
      <c r="IB299" s="80"/>
      <c r="IC299" s="80"/>
      <c r="ID299" s="80"/>
      <c r="IE299" s="80"/>
      <c r="IF299" s="80"/>
      <c r="IG299" s="80"/>
      <c r="IH299" s="80"/>
      <c r="II299" s="80"/>
      <c r="IJ299" s="80"/>
      <c r="IK299" s="80"/>
      <c r="IL299" s="80"/>
      <c r="IM299" s="80"/>
      <c r="IN299" s="80"/>
      <c r="IO299" s="80"/>
      <c r="IP299" s="80"/>
      <c r="IQ299" s="80"/>
      <c r="IR299" s="80"/>
      <c r="IS299" s="80"/>
      <c r="IT299" s="80"/>
      <c r="IU299" s="80"/>
      <c r="IV299" s="80"/>
      <c r="IW299" s="80"/>
      <c r="IX299" s="80"/>
      <c r="IY299" s="80"/>
      <c r="IZ299" s="80"/>
      <c r="JA299" s="80"/>
      <c r="JB299" s="80"/>
      <c r="JC299" s="80"/>
      <c r="JD299" s="80"/>
      <c r="JE299" s="80"/>
      <c r="JF299" s="80"/>
      <c r="JG299" s="80"/>
      <c r="JH299" s="80"/>
      <c r="JI299" s="80"/>
      <c r="JJ299" s="80"/>
      <c r="JK299" s="80"/>
      <c r="JL299" s="80"/>
      <c r="JM299" s="80"/>
      <c r="JN299" s="80"/>
      <c r="JO299" s="80"/>
      <c r="JP299" s="80"/>
      <c r="JQ299" s="80"/>
      <c r="JR299" s="80"/>
      <c r="JS299" s="80"/>
      <c r="JT299" s="80"/>
      <c r="JU299" s="80"/>
      <c r="JV299" s="80"/>
      <c r="JW299" s="80"/>
      <c r="JX299" s="80"/>
      <c r="JY299" s="80"/>
      <c r="JZ299" s="80"/>
      <c r="KA299" s="80"/>
      <c r="KB299" s="80"/>
      <c r="KC299" s="80"/>
      <c r="KD299" s="80"/>
      <c r="KE299" s="80"/>
      <c r="KF299" s="80"/>
      <c r="KG299" s="80"/>
      <c r="KH299" s="80"/>
      <c r="KI299" s="80"/>
      <c r="KJ299" s="80"/>
      <c r="KK299" s="80"/>
      <c r="KL299" s="80"/>
      <c r="KM299" s="80"/>
      <c r="KN299" s="80"/>
      <c r="KO299" s="80"/>
      <c r="KP299" s="80"/>
      <c r="KQ299" s="80"/>
      <c r="KR299" s="80"/>
      <c r="KS299" s="80"/>
      <c r="KT299" s="80"/>
      <c r="KU299" s="80"/>
      <c r="KV299" s="80"/>
      <c r="KW299" s="80"/>
      <c r="KX299" s="80"/>
      <c r="KY299" s="80"/>
      <c r="KZ299" s="80"/>
      <c r="LA299" s="80"/>
      <c r="LB299" s="80"/>
      <c r="LC299" s="80"/>
      <c r="LD299" s="80"/>
      <c r="LE299" s="80"/>
      <c r="LF299" s="80"/>
      <c r="LG299" s="80"/>
      <c r="LH299" s="80"/>
      <c r="LI299" s="80"/>
      <c r="LJ299" s="80"/>
      <c r="LK299" s="80"/>
      <c r="LL299" s="80"/>
      <c r="LM299" s="80"/>
      <c r="LN299" s="80"/>
      <c r="LO299" s="80"/>
      <c r="LP299" s="80"/>
      <c r="LQ299" s="80"/>
      <c r="LR299" s="80"/>
      <c r="LS299" s="80"/>
      <c r="LT299" s="80"/>
      <c r="LU299" s="80"/>
      <c r="LV299" s="80"/>
      <c r="LW299" s="80"/>
      <c r="LX299" s="80"/>
      <c r="LY299" s="80"/>
      <c r="LZ299" s="80"/>
      <c r="MA299" s="80"/>
      <c r="MB299" s="80"/>
      <c r="MC299" s="80"/>
      <c r="MD299" s="80"/>
      <c r="ME299" s="80"/>
      <c r="MF299" s="80"/>
      <c r="MG299" s="80"/>
      <c r="MH299" s="80"/>
      <c r="MI299" s="80"/>
      <c r="MJ299" s="80"/>
      <c r="MK299" s="80"/>
      <c r="ML299" s="80"/>
      <c r="MM299" s="80"/>
      <c r="MN299" s="80"/>
      <c r="MO299" s="80"/>
      <c r="MP299" s="80"/>
      <c r="MQ299" s="80"/>
      <c r="MR299" s="80"/>
      <c r="MS299" s="80"/>
      <c r="MT299" s="80"/>
      <c r="MU299" s="80"/>
      <c r="MV299" s="80"/>
      <c r="MW299" s="80"/>
      <c r="MX299" s="80"/>
      <c r="MY299" s="80"/>
      <c r="MZ299" s="80"/>
      <c r="NA299" s="80"/>
      <c r="NB299" s="80"/>
      <c r="NC299" s="80"/>
      <c r="ND299" s="80"/>
      <c r="NE299" s="80"/>
      <c r="NF299" s="80"/>
      <c r="NG299" s="80"/>
      <c r="NH299" s="80"/>
      <c r="NI299" s="80"/>
      <c r="NJ299" s="80"/>
      <c r="NK299" s="80"/>
      <c r="NL299" s="80"/>
      <c r="NM299" s="80"/>
      <c r="NN299" s="80"/>
      <c r="NO299" s="80"/>
      <c r="NP299" s="80"/>
      <c r="NQ299" s="80"/>
      <c r="NR299" s="80"/>
      <c r="NS299" s="80"/>
      <c r="NT299" s="80"/>
      <c r="NU299" s="80"/>
      <c r="NV299" s="80"/>
      <c r="NW299" s="80"/>
      <c r="NX299" s="80"/>
      <c r="NY299" s="80"/>
      <c r="NZ299" s="80"/>
      <c r="OA299" s="80"/>
      <c r="OB299" s="80"/>
      <c r="OC299" s="80"/>
      <c r="OD299" s="80"/>
      <c r="OE299" s="80"/>
      <c r="OF299" s="80"/>
      <c r="OG299" s="80"/>
      <c r="OH299" s="80"/>
      <c r="OI299" s="80"/>
      <c r="OJ299" s="80"/>
      <c r="OK299" s="80"/>
      <c r="OL299" s="80"/>
      <c r="OM299" s="80"/>
      <c r="ON299" s="80"/>
      <c r="OO299" s="80"/>
      <c r="OP299" s="80"/>
      <c r="OQ299" s="80"/>
      <c r="OR299" s="80"/>
      <c r="OS299" s="80"/>
      <c r="OT299" s="80"/>
      <c r="OU299" s="80"/>
      <c r="OV299" s="80"/>
      <c r="OW299" s="80"/>
      <c r="OX299" s="80"/>
      <c r="OY299" s="80"/>
      <c r="OZ299" s="80"/>
      <c r="PA299" s="80"/>
      <c r="PB299" s="80"/>
      <c r="PC299" s="80"/>
      <c r="PD299" s="80"/>
      <c r="PE299" s="80"/>
      <c r="PF299" s="80"/>
      <c r="PG299" s="80"/>
      <c r="PH299" s="80"/>
      <c r="PI299" s="80"/>
      <c r="PJ299" s="80"/>
      <c r="PK299" s="80"/>
      <c r="PL299" s="80"/>
      <c r="PM299" s="80"/>
      <c r="PN299" s="80"/>
      <c r="PO299" s="80"/>
      <c r="PP299" s="80"/>
      <c r="PQ299" s="80"/>
      <c r="PR299" s="80"/>
      <c r="PS299" s="80"/>
      <c r="PT299" s="80"/>
      <c r="PU299" s="80"/>
      <c r="PV299" s="80"/>
      <c r="PW299" s="80"/>
      <c r="PX299" s="80"/>
      <c r="PY299" s="80"/>
      <c r="PZ299" s="80"/>
      <c r="QA299" s="80"/>
      <c r="QB299" s="80"/>
      <c r="QC299" s="80"/>
      <c r="QD299" s="80"/>
      <c r="QE299" s="80"/>
      <c r="QF299" s="80"/>
      <c r="QG299" s="80"/>
      <c r="QH299" s="80"/>
      <c r="QI299" s="80"/>
      <c r="QJ299" s="80"/>
      <c r="QK299" s="80"/>
      <c r="QL299" s="80"/>
      <c r="QM299" s="80"/>
      <c r="QN299" s="80"/>
      <c r="QO299" s="80"/>
      <c r="QP299" s="80"/>
      <c r="QQ299" s="80"/>
      <c r="QR299" s="80"/>
      <c r="QS299" s="80"/>
      <c r="QT299" s="80"/>
      <c r="QU299" s="80"/>
      <c r="QV299" s="80"/>
      <c r="QW299" s="80"/>
      <c r="QX299" s="80"/>
      <c r="QY299" s="80"/>
      <c r="QZ299" s="80"/>
      <c r="RA299" s="80"/>
      <c r="RB299" s="80"/>
      <c r="RC299" s="80"/>
      <c r="RD299" s="80"/>
      <c r="RE299" s="80"/>
      <c r="RF299" s="80"/>
      <c r="RG299" s="80"/>
      <c r="RH299" s="80"/>
      <c r="RI299" s="80"/>
      <c r="RJ299" s="80"/>
      <c r="RK299" s="80"/>
      <c r="RL299" s="80"/>
      <c r="RM299" s="80"/>
      <c r="RN299" s="80"/>
      <c r="RO299" s="80"/>
      <c r="RP299" s="80"/>
      <c r="RQ299" s="80"/>
      <c r="RR299" s="80"/>
      <c r="RS299" s="80"/>
      <c r="RT299" s="80"/>
      <c r="RU299" s="80"/>
      <c r="RV299" s="80"/>
      <c r="RW299" s="80"/>
      <c r="RX299" s="80"/>
      <c r="RY299" s="80"/>
      <c r="RZ299" s="80"/>
      <c r="SA299" s="80"/>
      <c r="SB299" s="80"/>
      <c r="SC299" s="80"/>
      <c r="SD299" s="80"/>
      <c r="SE299" s="80"/>
      <c r="SF299" s="80"/>
      <c r="SG299" s="80"/>
      <c r="SH299" s="80"/>
      <c r="SI299" s="80"/>
      <c r="SJ299" s="80"/>
      <c r="SK299" s="80"/>
      <c r="SL299" s="80"/>
      <c r="SM299" s="80"/>
      <c r="SN299" s="80"/>
      <c r="SO299" s="80"/>
      <c r="SP299" s="80"/>
      <c r="SQ299" s="80"/>
      <c r="SR299" s="80"/>
      <c r="SS299" s="80"/>
      <c r="ST299" s="80"/>
      <c r="SU299" s="80"/>
      <c r="SV299" s="80"/>
      <c r="SW299" s="80"/>
      <c r="SX299" s="80"/>
      <c r="SY299" s="80"/>
      <c r="SZ299" s="80"/>
      <c r="TA299" s="80"/>
      <c r="TB299" s="80"/>
      <c r="TC299" s="80"/>
      <c r="TD299" s="80"/>
      <c r="TE299" s="80"/>
      <c r="TF299" s="80"/>
      <c r="TG299" s="80"/>
      <c r="TH299" s="80"/>
      <c r="TI299" s="80"/>
      <c r="TJ299" s="80"/>
      <c r="TK299" s="80"/>
      <c r="TL299" s="80"/>
      <c r="TM299" s="80"/>
      <c r="TN299" s="80"/>
      <c r="TO299" s="80"/>
      <c r="TP299" s="80"/>
      <c r="TQ299" s="80"/>
      <c r="TR299" s="80"/>
      <c r="TS299" s="80"/>
      <c r="TT299" s="80"/>
      <c r="TU299" s="80"/>
      <c r="TV299" s="80"/>
      <c r="TW299" s="80"/>
      <c r="TX299" s="80"/>
      <c r="TY299" s="80"/>
      <c r="TZ299" s="80"/>
      <c r="UA299" s="80"/>
      <c r="UB299" s="80"/>
      <c r="UC299" s="80"/>
      <c r="UD299" s="80"/>
      <c r="UE299" s="80"/>
      <c r="UF299" s="80"/>
      <c r="UG299" s="80"/>
      <c r="UH299" s="80"/>
      <c r="UI299" s="80"/>
      <c r="UJ299" s="80"/>
      <c r="UK299" s="80"/>
      <c r="UL299" s="80"/>
      <c r="UM299" s="80"/>
      <c r="UN299" s="80"/>
      <c r="UO299" s="80"/>
      <c r="UP299" s="80"/>
      <c r="UQ299" s="80"/>
      <c r="UR299" s="80"/>
      <c r="US299" s="80"/>
      <c r="UT299" s="80"/>
      <c r="UU299" s="80"/>
      <c r="UV299" s="80"/>
      <c r="UW299" s="80"/>
      <c r="UX299" s="80"/>
      <c r="UY299" s="80"/>
      <c r="UZ299" s="80"/>
      <c r="VA299" s="80"/>
      <c r="VB299" s="80"/>
      <c r="VC299" s="80"/>
      <c r="VD299" s="80"/>
      <c r="VE299" s="80"/>
      <c r="VF299" s="80"/>
      <c r="VG299" s="80"/>
      <c r="VH299" s="80"/>
      <c r="VI299" s="80"/>
      <c r="VJ299" s="80"/>
      <c r="VK299" s="80"/>
      <c r="VL299" s="80"/>
    </row>
    <row r="300" spans="1:584" s="81" customFormat="1" ht="23.25" customHeight="1" x14ac:dyDescent="0.25">
      <c r="A300" s="62"/>
      <c r="B300" s="97"/>
      <c r="C300" s="97"/>
      <c r="D300" s="63" t="s">
        <v>342</v>
      </c>
      <c r="E300" s="116">
        <f>E312+E307</f>
        <v>0</v>
      </c>
      <c r="F300" s="116">
        <f t="shared" ref="F300:Y300" si="105">F312+F307</f>
        <v>0</v>
      </c>
      <c r="G300" s="116">
        <f t="shared" si="105"/>
        <v>0</v>
      </c>
      <c r="H300" s="116">
        <f>H312+H307</f>
        <v>0</v>
      </c>
      <c r="I300" s="116">
        <f t="shared" ref="I300:J300" si="106">I312+I307</f>
        <v>0</v>
      </c>
      <c r="J300" s="116">
        <f t="shared" si="106"/>
        <v>0</v>
      </c>
      <c r="K300" s="135"/>
      <c r="L300" s="116">
        <f t="shared" si="105"/>
        <v>8000000</v>
      </c>
      <c r="M300" s="116">
        <f t="shared" si="105"/>
        <v>0</v>
      </c>
      <c r="N300" s="116">
        <f t="shared" si="105"/>
        <v>8000000</v>
      </c>
      <c r="O300" s="116">
        <f t="shared" si="105"/>
        <v>0</v>
      </c>
      <c r="P300" s="116">
        <f t="shared" si="105"/>
        <v>0</v>
      </c>
      <c r="Q300" s="116">
        <f t="shared" si="105"/>
        <v>0</v>
      </c>
      <c r="R300" s="116">
        <f t="shared" ref="R300:W300" si="107">R312+R307</f>
        <v>7943425.6399999997</v>
      </c>
      <c r="S300" s="116">
        <f t="shared" si="107"/>
        <v>0</v>
      </c>
      <c r="T300" s="116">
        <f t="shared" si="107"/>
        <v>7943425.6399999997</v>
      </c>
      <c r="U300" s="116">
        <f t="shared" si="107"/>
        <v>0</v>
      </c>
      <c r="V300" s="116">
        <f t="shared" si="107"/>
        <v>0</v>
      </c>
      <c r="W300" s="116">
        <f t="shared" si="107"/>
        <v>0</v>
      </c>
      <c r="X300" s="149">
        <f t="shared" si="84"/>
        <v>99.292820500000005</v>
      </c>
      <c r="Y300" s="116">
        <f t="shared" si="105"/>
        <v>7943425.6399999997</v>
      </c>
      <c r="Z300" s="187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  <c r="DI300" s="80"/>
      <c r="DJ300" s="80"/>
      <c r="DK300" s="80"/>
      <c r="DL300" s="80"/>
      <c r="DM300" s="80"/>
      <c r="DN300" s="80"/>
      <c r="DO300" s="80"/>
      <c r="DP300" s="80"/>
      <c r="DQ300" s="80"/>
      <c r="DR300" s="80"/>
      <c r="DS300" s="80"/>
      <c r="DT300" s="80"/>
      <c r="DU300" s="80"/>
      <c r="DV300" s="80"/>
      <c r="DW300" s="80"/>
      <c r="DX300" s="80"/>
      <c r="DY300" s="80"/>
      <c r="DZ300" s="80"/>
      <c r="EA300" s="80"/>
      <c r="EB300" s="80"/>
      <c r="EC300" s="80"/>
      <c r="ED300" s="80"/>
      <c r="EE300" s="80"/>
      <c r="EF300" s="80"/>
      <c r="EG300" s="80"/>
      <c r="EH300" s="80"/>
      <c r="EI300" s="80"/>
      <c r="EJ300" s="80"/>
      <c r="EK300" s="80"/>
      <c r="EL300" s="80"/>
      <c r="EM300" s="80"/>
      <c r="EN300" s="80"/>
      <c r="EO300" s="80"/>
      <c r="EP300" s="80"/>
      <c r="EQ300" s="80"/>
      <c r="ER300" s="80"/>
      <c r="ES300" s="80"/>
      <c r="ET300" s="80"/>
      <c r="EU300" s="80"/>
      <c r="EV300" s="80"/>
      <c r="EW300" s="80"/>
      <c r="EX300" s="80"/>
      <c r="EY300" s="80"/>
      <c r="EZ300" s="80"/>
      <c r="FA300" s="80"/>
      <c r="FB300" s="80"/>
      <c r="FC300" s="80"/>
      <c r="FD300" s="80"/>
      <c r="FE300" s="80"/>
      <c r="FF300" s="80"/>
      <c r="FG300" s="80"/>
      <c r="FH300" s="80"/>
      <c r="FI300" s="80"/>
      <c r="FJ300" s="80"/>
      <c r="FK300" s="80"/>
      <c r="FL300" s="80"/>
      <c r="FM300" s="80"/>
      <c r="FN300" s="80"/>
      <c r="FO300" s="80"/>
      <c r="FP300" s="80"/>
      <c r="FQ300" s="80"/>
      <c r="FR300" s="80"/>
      <c r="FS300" s="80"/>
      <c r="FT300" s="80"/>
      <c r="FU300" s="80"/>
      <c r="FV300" s="80"/>
      <c r="FW300" s="80"/>
      <c r="FX300" s="80"/>
      <c r="FY300" s="80"/>
      <c r="FZ300" s="80"/>
      <c r="GA300" s="80"/>
      <c r="GB300" s="80"/>
      <c r="GC300" s="80"/>
      <c r="GD300" s="80"/>
      <c r="GE300" s="80"/>
      <c r="GF300" s="80"/>
      <c r="GG300" s="80"/>
      <c r="GH300" s="80"/>
      <c r="GI300" s="80"/>
      <c r="GJ300" s="80"/>
      <c r="GK300" s="80"/>
      <c r="GL300" s="80"/>
      <c r="GM300" s="80"/>
      <c r="GN300" s="80"/>
      <c r="GO300" s="80"/>
      <c r="GP300" s="80"/>
      <c r="GQ300" s="80"/>
      <c r="GR300" s="80"/>
      <c r="GS300" s="80"/>
      <c r="GT300" s="80"/>
      <c r="GU300" s="80"/>
      <c r="GV300" s="80"/>
      <c r="GW300" s="80"/>
      <c r="GX300" s="80"/>
      <c r="GY300" s="80"/>
      <c r="GZ300" s="80"/>
      <c r="HA300" s="80"/>
      <c r="HB300" s="80"/>
      <c r="HC300" s="80"/>
      <c r="HD300" s="80"/>
      <c r="HE300" s="80"/>
      <c r="HF300" s="80"/>
      <c r="HG300" s="80"/>
      <c r="HH300" s="80"/>
      <c r="HI300" s="80"/>
      <c r="HJ300" s="80"/>
      <c r="HK300" s="80"/>
      <c r="HL300" s="80"/>
      <c r="HM300" s="80"/>
      <c r="HN300" s="80"/>
      <c r="HO300" s="80"/>
      <c r="HP300" s="80"/>
      <c r="HQ300" s="80"/>
      <c r="HR300" s="80"/>
      <c r="HS300" s="80"/>
      <c r="HT300" s="80"/>
      <c r="HU300" s="80"/>
      <c r="HV300" s="80"/>
      <c r="HW300" s="80"/>
      <c r="HX300" s="80"/>
      <c r="HY300" s="80"/>
      <c r="HZ300" s="80"/>
      <c r="IA300" s="80"/>
      <c r="IB300" s="80"/>
      <c r="IC300" s="80"/>
      <c r="ID300" s="80"/>
      <c r="IE300" s="80"/>
      <c r="IF300" s="80"/>
      <c r="IG300" s="80"/>
      <c r="IH300" s="80"/>
      <c r="II300" s="80"/>
      <c r="IJ300" s="80"/>
      <c r="IK300" s="80"/>
      <c r="IL300" s="80"/>
      <c r="IM300" s="80"/>
      <c r="IN300" s="80"/>
      <c r="IO300" s="80"/>
      <c r="IP300" s="80"/>
      <c r="IQ300" s="80"/>
      <c r="IR300" s="80"/>
      <c r="IS300" s="80"/>
      <c r="IT300" s="80"/>
      <c r="IU300" s="80"/>
      <c r="IV300" s="80"/>
      <c r="IW300" s="80"/>
      <c r="IX300" s="80"/>
      <c r="IY300" s="80"/>
      <c r="IZ300" s="80"/>
      <c r="JA300" s="80"/>
      <c r="JB300" s="80"/>
      <c r="JC300" s="80"/>
      <c r="JD300" s="80"/>
      <c r="JE300" s="80"/>
      <c r="JF300" s="80"/>
      <c r="JG300" s="80"/>
      <c r="JH300" s="80"/>
      <c r="JI300" s="80"/>
      <c r="JJ300" s="80"/>
      <c r="JK300" s="80"/>
      <c r="JL300" s="80"/>
      <c r="JM300" s="80"/>
      <c r="JN300" s="80"/>
      <c r="JO300" s="80"/>
      <c r="JP300" s="80"/>
      <c r="JQ300" s="80"/>
      <c r="JR300" s="80"/>
      <c r="JS300" s="80"/>
      <c r="JT300" s="80"/>
      <c r="JU300" s="80"/>
      <c r="JV300" s="80"/>
      <c r="JW300" s="80"/>
      <c r="JX300" s="80"/>
      <c r="JY300" s="80"/>
      <c r="JZ300" s="80"/>
      <c r="KA300" s="80"/>
      <c r="KB300" s="80"/>
      <c r="KC300" s="80"/>
      <c r="KD300" s="80"/>
      <c r="KE300" s="80"/>
      <c r="KF300" s="80"/>
      <c r="KG300" s="80"/>
      <c r="KH300" s="80"/>
      <c r="KI300" s="80"/>
      <c r="KJ300" s="80"/>
      <c r="KK300" s="80"/>
      <c r="KL300" s="80"/>
      <c r="KM300" s="80"/>
      <c r="KN300" s="80"/>
      <c r="KO300" s="80"/>
      <c r="KP300" s="80"/>
      <c r="KQ300" s="80"/>
      <c r="KR300" s="80"/>
      <c r="KS300" s="80"/>
      <c r="KT300" s="80"/>
      <c r="KU300" s="80"/>
      <c r="KV300" s="80"/>
      <c r="KW300" s="80"/>
      <c r="KX300" s="80"/>
      <c r="KY300" s="80"/>
      <c r="KZ300" s="80"/>
      <c r="LA300" s="80"/>
      <c r="LB300" s="80"/>
      <c r="LC300" s="80"/>
      <c r="LD300" s="80"/>
      <c r="LE300" s="80"/>
      <c r="LF300" s="80"/>
      <c r="LG300" s="80"/>
      <c r="LH300" s="80"/>
      <c r="LI300" s="80"/>
      <c r="LJ300" s="80"/>
      <c r="LK300" s="80"/>
      <c r="LL300" s="80"/>
      <c r="LM300" s="80"/>
      <c r="LN300" s="80"/>
      <c r="LO300" s="80"/>
      <c r="LP300" s="80"/>
      <c r="LQ300" s="80"/>
      <c r="LR300" s="80"/>
      <c r="LS300" s="80"/>
      <c r="LT300" s="80"/>
      <c r="LU300" s="80"/>
      <c r="LV300" s="80"/>
      <c r="LW300" s="80"/>
      <c r="LX300" s="80"/>
      <c r="LY300" s="80"/>
      <c r="LZ300" s="80"/>
      <c r="MA300" s="80"/>
      <c r="MB300" s="80"/>
      <c r="MC300" s="80"/>
      <c r="MD300" s="80"/>
      <c r="ME300" s="80"/>
      <c r="MF300" s="80"/>
      <c r="MG300" s="80"/>
      <c r="MH300" s="80"/>
      <c r="MI300" s="80"/>
      <c r="MJ300" s="80"/>
      <c r="MK300" s="80"/>
      <c r="ML300" s="80"/>
      <c r="MM300" s="80"/>
      <c r="MN300" s="80"/>
      <c r="MO300" s="80"/>
      <c r="MP300" s="80"/>
      <c r="MQ300" s="80"/>
      <c r="MR300" s="80"/>
      <c r="MS300" s="80"/>
      <c r="MT300" s="80"/>
      <c r="MU300" s="80"/>
      <c r="MV300" s="80"/>
      <c r="MW300" s="80"/>
      <c r="MX300" s="80"/>
      <c r="MY300" s="80"/>
      <c r="MZ300" s="80"/>
      <c r="NA300" s="80"/>
      <c r="NB300" s="80"/>
      <c r="NC300" s="80"/>
      <c r="ND300" s="80"/>
      <c r="NE300" s="80"/>
      <c r="NF300" s="80"/>
      <c r="NG300" s="80"/>
      <c r="NH300" s="80"/>
      <c r="NI300" s="80"/>
      <c r="NJ300" s="80"/>
      <c r="NK300" s="80"/>
      <c r="NL300" s="80"/>
      <c r="NM300" s="80"/>
      <c r="NN300" s="80"/>
      <c r="NO300" s="80"/>
      <c r="NP300" s="80"/>
      <c r="NQ300" s="80"/>
      <c r="NR300" s="80"/>
      <c r="NS300" s="80"/>
      <c r="NT300" s="80"/>
      <c r="NU300" s="80"/>
      <c r="NV300" s="80"/>
      <c r="NW300" s="80"/>
      <c r="NX300" s="80"/>
      <c r="NY300" s="80"/>
      <c r="NZ300" s="80"/>
      <c r="OA300" s="80"/>
      <c r="OB300" s="80"/>
      <c r="OC300" s="80"/>
      <c r="OD300" s="80"/>
      <c r="OE300" s="80"/>
      <c r="OF300" s="80"/>
      <c r="OG300" s="80"/>
      <c r="OH300" s="80"/>
      <c r="OI300" s="80"/>
      <c r="OJ300" s="80"/>
      <c r="OK300" s="80"/>
      <c r="OL300" s="80"/>
      <c r="OM300" s="80"/>
      <c r="ON300" s="80"/>
      <c r="OO300" s="80"/>
      <c r="OP300" s="80"/>
      <c r="OQ300" s="80"/>
      <c r="OR300" s="80"/>
      <c r="OS300" s="80"/>
      <c r="OT300" s="80"/>
      <c r="OU300" s="80"/>
      <c r="OV300" s="80"/>
      <c r="OW300" s="80"/>
      <c r="OX300" s="80"/>
      <c r="OY300" s="80"/>
      <c r="OZ300" s="80"/>
      <c r="PA300" s="80"/>
      <c r="PB300" s="80"/>
      <c r="PC300" s="80"/>
      <c r="PD300" s="80"/>
      <c r="PE300" s="80"/>
      <c r="PF300" s="80"/>
      <c r="PG300" s="80"/>
      <c r="PH300" s="80"/>
      <c r="PI300" s="80"/>
      <c r="PJ300" s="80"/>
      <c r="PK300" s="80"/>
      <c r="PL300" s="80"/>
      <c r="PM300" s="80"/>
      <c r="PN300" s="80"/>
      <c r="PO300" s="80"/>
      <c r="PP300" s="80"/>
      <c r="PQ300" s="80"/>
      <c r="PR300" s="80"/>
      <c r="PS300" s="80"/>
      <c r="PT300" s="80"/>
      <c r="PU300" s="80"/>
      <c r="PV300" s="80"/>
      <c r="PW300" s="80"/>
      <c r="PX300" s="80"/>
      <c r="PY300" s="80"/>
      <c r="PZ300" s="80"/>
      <c r="QA300" s="80"/>
      <c r="QB300" s="80"/>
      <c r="QC300" s="80"/>
      <c r="QD300" s="80"/>
      <c r="QE300" s="80"/>
      <c r="QF300" s="80"/>
      <c r="QG300" s="80"/>
      <c r="QH300" s="80"/>
      <c r="QI300" s="80"/>
      <c r="QJ300" s="80"/>
      <c r="QK300" s="80"/>
      <c r="QL300" s="80"/>
      <c r="QM300" s="80"/>
      <c r="QN300" s="80"/>
      <c r="QO300" s="80"/>
      <c r="QP300" s="80"/>
      <c r="QQ300" s="80"/>
      <c r="QR300" s="80"/>
      <c r="QS300" s="80"/>
      <c r="QT300" s="80"/>
      <c r="QU300" s="80"/>
      <c r="QV300" s="80"/>
      <c r="QW300" s="80"/>
      <c r="QX300" s="80"/>
      <c r="QY300" s="80"/>
      <c r="QZ300" s="80"/>
      <c r="RA300" s="80"/>
      <c r="RB300" s="80"/>
      <c r="RC300" s="80"/>
      <c r="RD300" s="80"/>
      <c r="RE300" s="80"/>
      <c r="RF300" s="80"/>
      <c r="RG300" s="80"/>
      <c r="RH300" s="80"/>
      <c r="RI300" s="80"/>
      <c r="RJ300" s="80"/>
      <c r="RK300" s="80"/>
      <c r="RL300" s="80"/>
      <c r="RM300" s="80"/>
      <c r="RN300" s="80"/>
      <c r="RO300" s="80"/>
      <c r="RP300" s="80"/>
      <c r="RQ300" s="80"/>
      <c r="RR300" s="80"/>
      <c r="RS300" s="80"/>
      <c r="RT300" s="80"/>
      <c r="RU300" s="80"/>
      <c r="RV300" s="80"/>
      <c r="RW300" s="80"/>
      <c r="RX300" s="80"/>
      <c r="RY300" s="80"/>
      <c r="RZ300" s="80"/>
      <c r="SA300" s="80"/>
      <c r="SB300" s="80"/>
      <c r="SC300" s="80"/>
      <c r="SD300" s="80"/>
      <c r="SE300" s="80"/>
      <c r="SF300" s="80"/>
      <c r="SG300" s="80"/>
      <c r="SH300" s="80"/>
      <c r="SI300" s="80"/>
      <c r="SJ300" s="80"/>
      <c r="SK300" s="80"/>
      <c r="SL300" s="80"/>
      <c r="SM300" s="80"/>
      <c r="SN300" s="80"/>
      <c r="SO300" s="80"/>
      <c r="SP300" s="80"/>
      <c r="SQ300" s="80"/>
      <c r="SR300" s="80"/>
      <c r="SS300" s="80"/>
      <c r="ST300" s="80"/>
      <c r="SU300" s="80"/>
      <c r="SV300" s="80"/>
      <c r="SW300" s="80"/>
      <c r="SX300" s="80"/>
      <c r="SY300" s="80"/>
      <c r="SZ300" s="80"/>
      <c r="TA300" s="80"/>
      <c r="TB300" s="80"/>
      <c r="TC300" s="80"/>
      <c r="TD300" s="80"/>
      <c r="TE300" s="80"/>
      <c r="TF300" s="80"/>
      <c r="TG300" s="80"/>
      <c r="TH300" s="80"/>
      <c r="TI300" s="80"/>
      <c r="TJ300" s="80"/>
      <c r="TK300" s="80"/>
      <c r="TL300" s="80"/>
      <c r="TM300" s="80"/>
      <c r="TN300" s="80"/>
      <c r="TO300" s="80"/>
      <c r="TP300" s="80"/>
      <c r="TQ300" s="80"/>
      <c r="TR300" s="80"/>
      <c r="TS300" s="80"/>
      <c r="TT300" s="80"/>
      <c r="TU300" s="80"/>
      <c r="TV300" s="80"/>
      <c r="TW300" s="80"/>
      <c r="TX300" s="80"/>
      <c r="TY300" s="80"/>
      <c r="TZ300" s="80"/>
      <c r="UA300" s="80"/>
      <c r="UB300" s="80"/>
      <c r="UC300" s="80"/>
      <c r="UD300" s="80"/>
      <c r="UE300" s="80"/>
      <c r="UF300" s="80"/>
      <c r="UG300" s="80"/>
      <c r="UH300" s="80"/>
      <c r="UI300" s="80"/>
      <c r="UJ300" s="80"/>
      <c r="UK300" s="80"/>
      <c r="UL300" s="80"/>
      <c r="UM300" s="80"/>
      <c r="UN300" s="80"/>
      <c r="UO300" s="80"/>
      <c r="UP300" s="80"/>
      <c r="UQ300" s="80"/>
      <c r="UR300" s="80"/>
      <c r="US300" s="80"/>
      <c r="UT300" s="80"/>
      <c r="UU300" s="80"/>
      <c r="UV300" s="80"/>
      <c r="UW300" s="80"/>
      <c r="UX300" s="80"/>
      <c r="UY300" s="80"/>
      <c r="UZ300" s="80"/>
      <c r="VA300" s="80"/>
      <c r="VB300" s="80"/>
      <c r="VC300" s="80"/>
      <c r="VD300" s="80"/>
      <c r="VE300" s="80"/>
      <c r="VF300" s="80"/>
      <c r="VG300" s="80"/>
      <c r="VH300" s="80"/>
      <c r="VI300" s="80"/>
      <c r="VJ300" s="80"/>
      <c r="VK300" s="80"/>
      <c r="VL300" s="80"/>
    </row>
    <row r="301" spans="1:584" s="47" customFormat="1" ht="45.75" customHeight="1" x14ac:dyDescent="0.25">
      <c r="A301" s="45" t="s">
        <v>286</v>
      </c>
      <c r="B301" s="91" t="str">
        <f>'дод 3'!A13</f>
        <v>0160</v>
      </c>
      <c r="C301" s="91" t="str">
        <f>'дод 3'!B13</f>
        <v>0111</v>
      </c>
      <c r="D301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301" s="115">
        <v>20117200</v>
      </c>
      <c r="F301" s="115">
        <v>15818000</v>
      </c>
      <c r="G301" s="115">
        <f>196300+2491+15750</f>
        <v>214541</v>
      </c>
      <c r="H301" s="115">
        <v>19166346.600000001</v>
      </c>
      <c r="I301" s="115">
        <v>15108125.52</v>
      </c>
      <c r="J301" s="115">
        <v>198891.88</v>
      </c>
      <c r="K301" s="164">
        <f t="shared" si="83"/>
        <v>95.273430696120741</v>
      </c>
      <c r="L301" s="115">
        <f t="shared" si="71"/>
        <v>646000</v>
      </c>
      <c r="M301" s="115">
        <f>100000+500000+32000+40000-40000+14000</f>
        <v>646000</v>
      </c>
      <c r="N301" s="115"/>
      <c r="O301" s="115"/>
      <c r="P301" s="115"/>
      <c r="Q301" s="115">
        <f>100000+500000+32000+40000-40000+14000</f>
        <v>646000</v>
      </c>
      <c r="R301" s="115">
        <f t="shared" si="72"/>
        <v>642723.73</v>
      </c>
      <c r="S301" s="115">
        <v>638541.73</v>
      </c>
      <c r="T301" s="115">
        <v>4182</v>
      </c>
      <c r="U301" s="115"/>
      <c r="V301" s="115"/>
      <c r="W301" s="115">
        <v>638541.73</v>
      </c>
      <c r="X301" s="166">
        <f t="shared" si="84"/>
        <v>99.492837461300311</v>
      </c>
      <c r="Y301" s="115">
        <f t="shared" ref="Y301:Y313" si="108">H301+R301</f>
        <v>19809070.330000002</v>
      </c>
      <c r="Z301" s="187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  <c r="CB301" s="53"/>
      <c r="CC301" s="53"/>
      <c r="CD301" s="53"/>
      <c r="CE301" s="53"/>
      <c r="CF301" s="53"/>
      <c r="CG301" s="53"/>
      <c r="CH301" s="53"/>
      <c r="CI301" s="53"/>
      <c r="CJ301" s="53"/>
      <c r="CK301" s="53"/>
      <c r="CL301" s="53"/>
      <c r="CM301" s="53"/>
      <c r="CN301" s="53"/>
      <c r="CO301" s="53"/>
      <c r="CP301" s="53"/>
      <c r="CQ301" s="53"/>
      <c r="CR301" s="53"/>
      <c r="CS301" s="53"/>
      <c r="CT301" s="53"/>
      <c r="CU301" s="53"/>
      <c r="CV301" s="53"/>
      <c r="CW301" s="53"/>
      <c r="CX301" s="53"/>
      <c r="CY301" s="53"/>
      <c r="CZ301" s="53"/>
      <c r="DA301" s="53"/>
      <c r="DB301" s="53"/>
      <c r="DC301" s="53"/>
      <c r="DD301" s="53"/>
      <c r="DE301" s="53"/>
      <c r="DF301" s="53"/>
      <c r="DG301" s="53"/>
      <c r="DH301" s="53"/>
      <c r="DI301" s="53"/>
      <c r="DJ301" s="53"/>
      <c r="DK301" s="53"/>
      <c r="DL301" s="53"/>
      <c r="DM301" s="53"/>
      <c r="DN301" s="53"/>
      <c r="DO301" s="53"/>
      <c r="DP301" s="53"/>
      <c r="DQ301" s="53"/>
      <c r="DR301" s="53"/>
      <c r="DS301" s="53"/>
      <c r="DT301" s="53"/>
      <c r="DU301" s="53"/>
      <c r="DV301" s="53"/>
      <c r="DW301" s="53"/>
      <c r="DX301" s="53"/>
      <c r="DY301" s="53"/>
      <c r="DZ301" s="53"/>
      <c r="EA301" s="53"/>
      <c r="EB301" s="53"/>
      <c r="EC301" s="53"/>
      <c r="ED301" s="53"/>
      <c r="EE301" s="53"/>
      <c r="EF301" s="53"/>
      <c r="EG301" s="53"/>
      <c r="EH301" s="53"/>
      <c r="EI301" s="53"/>
      <c r="EJ301" s="53"/>
      <c r="EK301" s="53"/>
      <c r="EL301" s="53"/>
      <c r="EM301" s="53"/>
      <c r="EN301" s="53"/>
      <c r="EO301" s="53"/>
      <c r="EP301" s="53"/>
      <c r="EQ301" s="53"/>
      <c r="ER301" s="53"/>
      <c r="ES301" s="53"/>
      <c r="ET301" s="53"/>
      <c r="EU301" s="53"/>
      <c r="EV301" s="53"/>
      <c r="EW301" s="53"/>
      <c r="EX301" s="53"/>
      <c r="EY301" s="53"/>
      <c r="EZ301" s="53"/>
      <c r="FA301" s="53"/>
      <c r="FB301" s="53"/>
      <c r="FC301" s="53"/>
      <c r="FD301" s="53"/>
      <c r="FE301" s="53"/>
      <c r="FF301" s="53"/>
      <c r="FG301" s="53"/>
      <c r="FH301" s="53"/>
      <c r="FI301" s="53"/>
      <c r="FJ301" s="53"/>
      <c r="FK301" s="53"/>
      <c r="FL301" s="53"/>
      <c r="FM301" s="53"/>
      <c r="FN301" s="53"/>
      <c r="FO301" s="53"/>
      <c r="FP301" s="53"/>
      <c r="FQ301" s="53"/>
      <c r="FR301" s="53"/>
      <c r="FS301" s="53"/>
      <c r="FT301" s="53"/>
      <c r="FU301" s="53"/>
      <c r="FV301" s="53"/>
      <c r="FW301" s="53"/>
      <c r="FX301" s="53"/>
      <c r="FY301" s="53"/>
      <c r="FZ301" s="53"/>
      <c r="GA301" s="53"/>
      <c r="GB301" s="53"/>
      <c r="GC301" s="53"/>
      <c r="GD301" s="53"/>
      <c r="GE301" s="53"/>
      <c r="GF301" s="53"/>
      <c r="GG301" s="53"/>
      <c r="GH301" s="53"/>
      <c r="GI301" s="53"/>
      <c r="GJ301" s="53"/>
      <c r="GK301" s="53"/>
      <c r="GL301" s="53"/>
      <c r="GM301" s="53"/>
      <c r="GN301" s="53"/>
      <c r="GO301" s="53"/>
      <c r="GP301" s="53"/>
      <c r="GQ301" s="53"/>
      <c r="GR301" s="53"/>
      <c r="GS301" s="53"/>
      <c r="GT301" s="53"/>
      <c r="GU301" s="53"/>
      <c r="GV301" s="53"/>
      <c r="GW301" s="53"/>
      <c r="GX301" s="53"/>
      <c r="GY301" s="53"/>
      <c r="GZ301" s="53"/>
      <c r="HA301" s="53"/>
      <c r="HB301" s="53"/>
      <c r="HC301" s="53"/>
      <c r="HD301" s="53"/>
      <c r="HE301" s="53"/>
      <c r="HF301" s="53"/>
      <c r="HG301" s="53"/>
      <c r="HH301" s="53"/>
      <c r="HI301" s="53"/>
      <c r="HJ301" s="53"/>
      <c r="HK301" s="53"/>
      <c r="HL301" s="53"/>
      <c r="HM301" s="53"/>
      <c r="HN301" s="53"/>
      <c r="HO301" s="53"/>
      <c r="HP301" s="53"/>
      <c r="HQ301" s="53"/>
      <c r="HR301" s="53"/>
      <c r="HS301" s="53"/>
      <c r="HT301" s="53"/>
      <c r="HU301" s="53"/>
      <c r="HV301" s="53"/>
      <c r="HW301" s="53"/>
      <c r="HX301" s="53"/>
      <c r="HY301" s="53"/>
      <c r="HZ301" s="53"/>
      <c r="IA301" s="53"/>
      <c r="IB301" s="53"/>
      <c r="IC301" s="53"/>
      <c r="ID301" s="53"/>
      <c r="IE301" s="53"/>
      <c r="IF301" s="53"/>
      <c r="IG301" s="53"/>
      <c r="IH301" s="53"/>
      <c r="II301" s="53"/>
      <c r="IJ301" s="53"/>
      <c r="IK301" s="53"/>
      <c r="IL301" s="53"/>
      <c r="IM301" s="53"/>
      <c r="IN301" s="53"/>
      <c r="IO301" s="53"/>
      <c r="IP301" s="53"/>
      <c r="IQ301" s="53"/>
      <c r="IR301" s="53"/>
      <c r="IS301" s="53"/>
      <c r="IT301" s="53"/>
      <c r="IU301" s="53"/>
      <c r="IV301" s="53"/>
      <c r="IW301" s="53"/>
      <c r="IX301" s="53"/>
      <c r="IY301" s="53"/>
      <c r="IZ301" s="53"/>
      <c r="JA301" s="53"/>
      <c r="JB301" s="53"/>
      <c r="JC301" s="53"/>
      <c r="JD301" s="53"/>
      <c r="JE301" s="53"/>
      <c r="JF301" s="53"/>
      <c r="JG301" s="53"/>
      <c r="JH301" s="53"/>
      <c r="JI301" s="53"/>
      <c r="JJ301" s="53"/>
      <c r="JK301" s="53"/>
      <c r="JL301" s="53"/>
      <c r="JM301" s="53"/>
      <c r="JN301" s="53"/>
      <c r="JO301" s="53"/>
      <c r="JP301" s="53"/>
      <c r="JQ301" s="53"/>
      <c r="JR301" s="53"/>
      <c r="JS301" s="53"/>
      <c r="JT301" s="53"/>
      <c r="JU301" s="53"/>
      <c r="JV301" s="53"/>
      <c r="JW301" s="53"/>
      <c r="JX301" s="53"/>
      <c r="JY301" s="53"/>
      <c r="JZ301" s="53"/>
      <c r="KA301" s="53"/>
      <c r="KB301" s="53"/>
      <c r="KC301" s="53"/>
      <c r="KD301" s="53"/>
      <c r="KE301" s="53"/>
      <c r="KF301" s="53"/>
      <c r="KG301" s="53"/>
      <c r="KH301" s="53"/>
      <c r="KI301" s="53"/>
      <c r="KJ301" s="53"/>
      <c r="KK301" s="53"/>
      <c r="KL301" s="53"/>
      <c r="KM301" s="53"/>
      <c r="KN301" s="53"/>
      <c r="KO301" s="53"/>
      <c r="KP301" s="53"/>
      <c r="KQ301" s="53"/>
      <c r="KR301" s="53"/>
      <c r="KS301" s="53"/>
      <c r="KT301" s="53"/>
      <c r="KU301" s="53"/>
      <c r="KV301" s="53"/>
      <c r="KW301" s="53"/>
      <c r="KX301" s="53"/>
      <c r="KY301" s="53"/>
      <c r="KZ301" s="53"/>
      <c r="LA301" s="53"/>
      <c r="LB301" s="53"/>
      <c r="LC301" s="53"/>
      <c r="LD301" s="53"/>
      <c r="LE301" s="53"/>
      <c r="LF301" s="53"/>
      <c r="LG301" s="53"/>
      <c r="LH301" s="53"/>
      <c r="LI301" s="53"/>
      <c r="LJ301" s="53"/>
      <c r="LK301" s="53"/>
      <c r="LL301" s="53"/>
      <c r="LM301" s="53"/>
      <c r="LN301" s="53"/>
      <c r="LO301" s="53"/>
      <c r="LP301" s="53"/>
      <c r="LQ301" s="53"/>
      <c r="LR301" s="53"/>
      <c r="LS301" s="53"/>
      <c r="LT301" s="53"/>
      <c r="LU301" s="53"/>
      <c r="LV301" s="53"/>
      <c r="LW301" s="53"/>
      <c r="LX301" s="53"/>
      <c r="LY301" s="53"/>
      <c r="LZ301" s="53"/>
      <c r="MA301" s="53"/>
      <c r="MB301" s="53"/>
      <c r="MC301" s="53"/>
      <c r="MD301" s="53"/>
      <c r="ME301" s="53"/>
      <c r="MF301" s="53"/>
      <c r="MG301" s="53"/>
      <c r="MH301" s="53"/>
      <c r="MI301" s="53"/>
      <c r="MJ301" s="53"/>
      <c r="MK301" s="53"/>
      <c r="ML301" s="53"/>
      <c r="MM301" s="53"/>
      <c r="MN301" s="53"/>
      <c r="MO301" s="53"/>
      <c r="MP301" s="53"/>
      <c r="MQ301" s="53"/>
      <c r="MR301" s="53"/>
      <c r="MS301" s="53"/>
      <c r="MT301" s="53"/>
      <c r="MU301" s="53"/>
      <c r="MV301" s="53"/>
      <c r="MW301" s="53"/>
      <c r="MX301" s="53"/>
      <c r="MY301" s="53"/>
      <c r="MZ301" s="53"/>
      <c r="NA301" s="53"/>
      <c r="NB301" s="53"/>
      <c r="NC301" s="53"/>
      <c r="ND301" s="53"/>
      <c r="NE301" s="53"/>
      <c r="NF301" s="53"/>
      <c r="NG301" s="53"/>
      <c r="NH301" s="53"/>
      <c r="NI301" s="53"/>
      <c r="NJ301" s="53"/>
      <c r="NK301" s="53"/>
      <c r="NL301" s="53"/>
      <c r="NM301" s="53"/>
      <c r="NN301" s="53"/>
      <c r="NO301" s="53"/>
      <c r="NP301" s="53"/>
      <c r="NQ301" s="53"/>
      <c r="NR301" s="53"/>
      <c r="NS301" s="53"/>
      <c r="NT301" s="53"/>
      <c r="NU301" s="53"/>
      <c r="NV301" s="53"/>
      <c r="NW301" s="53"/>
      <c r="NX301" s="53"/>
      <c r="NY301" s="53"/>
      <c r="NZ301" s="53"/>
      <c r="OA301" s="53"/>
      <c r="OB301" s="53"/>
      <c r="OC301" s="53"/>
      <c r="OD301" s="53"/>
      <c r="OE301" s="53"/>
      <c r="OF301" s="53"/>
      <c r="OG301" s="53"/>
      <c r="OH301" s="53"/>
      <c r="OI301" s="53"/>
      <c r="OJ301" s="53"/>
      <c r="OK301" s="53"/>
      <c r="OL301" s="53"/>
      <c r="OM301" s="53"/>
      <c r="ON301" s="53"/>
      <c r="OO301" s="53"/>
      <c r="OP301" s="53"/>
      <c r="OQ301" s="53"/>
      <c r="OR301" s="53"/>
      <c r="OS301" s="53"/>
      <c r="OT301" s="53"/>
      <c r="OU301" s="53"/>
      <c r="OV301" s="53"/>
      <c r="OW301" s="53"/>
      <c r="OX301" s="53"/>
      <c r="OY301" s="53"/>
      <c r="OZ301" s="53"/>
      <c r="PA301" s="53"/>
      <c r="PB301" s="53"/>
      <c r="PC301" s="53"/>
      <c r="PD301" s="53"/>
      <c r="PE301" s="53"/>
      <c r="PF301" s="53"/>
      <c r="PG301" s="53"/>
      <c r="PH301" s="53"/>
      <c r="PI301" s="53"/>
      <c r="PJ301" s="53"/>
      <c r="PK301" s="53"/>
      <c r="PL301" s="53"/>
      <c r="PM301" s="53"/>
      <c r="PN301" s="53"/>
      <c r="PO301" s="53"/>
      <c r="PP301" s="53"/>
      <c r="PQ301" s="53"/>
      <c r="PR301" s="53"/>
      <c r="PS301" s="53"/>
      <c r="PT301" s="53"/>
      <c r="PU301" s="53"/>
      <c r="PV301" s="53"/>
      <c r="PW301" s="53"/>
      <c r="PX301" s="53"/>
      <c r="PY301" s="53"/>
      <c r="PZ301" s="53"/>
      <c r="QA301" s="53"/>
      <c r="QB301" s="53"/>
      <c r="QC301" s="53"/>
      <c r="QD301" s="53"/>
      <c r="QE301" s="53"/>
      <c r="QF301" s="53"/>
      <c r="QG301" s="53"/>
      <c r="QH301" s="53"/>
      <c r="QI301" s="53"/>
      <c r="QJ301" s="53"/>
      <c r="QK301" s="53"/>
      <c r="QL301" s="53"/>
      <c r="QM301" s="53"/>
      <c r="QN301" s="53"/>
      <c r="QO301" s="53"/>
      <c r="QP301" s="53"/>
      <c r="QQ301" s="53"/>
      <c r="QR301" s="53"/>
      <c r="QS301" s="53"/>
      <c r="QT301" s="53"/>
      <c r="QU301" s="53"/>
      <c r="QV301" s="53"/>
      <c r="QW301" s="53"/>
      <c r="QX301" s="53"/>
      <c r="QY301" s="53"/>
      <c r="QZ301" s="53"/>
      <c r="RA301" s="53"/>
      <c r="RB301" s="53"/>
      <c r="RC301" s="53"/>
      <c r="RD301" s="53"/>
      <c r="RE301" s="53"/>
      <c r="RF301" s="53"/>
      <c r="RG301" s="53"/>
      <c r="RH301" s="53"/>
      <c r="RI301" s="53"/>
      <c r="RJ301" s="53"/>
      <c r="RK301" s="53"/>
      <c r="RL301" s="53"/>
      <c r="RM301" s="53"/>
      <c r="RN301" s="53"/>
      <c r="RO301" s="53"/>
      <c r="RP301" s="53"/>
      <c r="RQ301" s="53"/>
      <c r="RR301" s="53"/>
      <c r="RS301" s="53"/>
      <c r="RT301" s="53"/>
      <c r="RU301" s="53"/>
      <c r="RV301" s="53"/>
      <c r="RW301" s="53"/>
      <c r="RX301" s="53"/>
      <c r="RY301" s="53"/>
      <c r="RZ301" s="53"/>
      <c r="SA301" s="53"/>
      <c r="SB301" s="53"/>
      <c r="SC301" s="53"/>
      <c r="SD301" s="53"/>
      <c r="SE301" s="53"/>
      <c r="SF301" s="53"/>
      <c r="SG301" s="53"/>
      <c r="SH301" s="53"/>
      <c r="SI301" s="53"/>
      <c r="SJ301" s="53"/>
      <c r="SK301" s="53"/>
      <c r="SL301" s="53"/>
      <c r="SM301" s="53"/>
      <c r="SN301" s="53"/>
      <c r="SO301" s="53"/>
      <c r="SP301" s="53"/>
      <c r="SQ301" s="53"/>
      <c r="SR301" s="53"/>
      <c r="SS301" s="53"/>
      <c r="ST301" s="53"/>
      <c r="SU301" s="53"/>
      <c r="SV301" s="53"/>
      <c r="SW301" s="53"/>
      <c r="SX301" s="53"/>
      <c r="SY301" s="53"/>
      <c r="SZ301" s="53"/>
      <c r="TA301" s="53"/>
      <c r="TB301" s="53"/>
      <c r="TC301" s="53"/>
      <c r="TD301" s="53"/>
      <c r="TE301" s="53"/>
      <c r="TF301" s="53"/>
      <c r="TG301" s="53"/>
      <c r="TH301" s="53"/>
      <c r="TI301" s="53"/>
      <c r="TJ301" s="53"/>
      <c r="TK301" s="53"/>
      <c r="TL301" s="53"/>
      <c r="TM301" s="53"/>
      <c r="TN301" s="53"/>
      <c r="TO301" s="53"/>
      <c r="TP301" s="53"/>
      <c r="TQ301" s="53"/>
      <c r="TR301" s="53"/>
      <c r="TS301" s="53"/>
      <c r="TT301" s="53"/>
      <c r="TU301" s="53"/>
      <c r="TV301" s="53"/>
      <c r="TW301" s="53"/>
      <c r="TX301" s="53"/>
      <c r="TY301" s="53"/>
      <c r="TZ301" s="53"/>
      <c r="UA301" s="53"/>
      <c r="UB301" s="53"/>
      <c r="UC301" s="53"/>
      <c r="UD301" s="53"/>
      <c r="UE301" s="53"/>
      <c r="UF301" s="53"/>
      <c r="UG301" s="53"/>
      <c r="UH301" s="53"/>
      <c r="UI301" s="53"/>
      <c r="UJ301" s="53"/>
      <c r="UK301" s="53"/>
      <c r="UL301" s="53"/>
      <c r="UM301" s="53"/>
      <c r="UN301" s="53"/>
      <c r="UO301" s="53"/>
      <c r="UP301" s="53"/>
      <c r="UQ301" s="53"/>
      <c r="UR301" s="53"/>
      <c r="US301" s="53"/>
      <c r="UT301" s="53"/>
      <c r="UU301" s="53"/>
      <c r="UV301" s="53"/>
      <c r="UW301" s="53"/>
      <c r="UX301" s="53"/>
      <c r="UY301" s="53"/>
      <c r="UZ301" s="53"/>
      <c r="VA301" s="53"/>
      <c r="VB301" s="53"/>
      <c r="VC301" s="53"/>
      <c r="VD301" s="53"/>
      <c r="VE301" s="53"/>
      <c r="VF301" s="53"/>
      <c r="VG301" s="53"/>
      <c r="VH301" s="53"/>
      <c r="VI301" s="53"/>
      <c r="VJ301" s="53"/>
      <c r="VK301" s="53"/>
      <c r="VL301" s="53"/>
    </row>
    <row r="302" spans="1:584" s="47" customFormat="1" ht="42" hidden="1" customHeight="1" x14ac:dyDescent="0.25">
      <c r="A302" s="91">
        <v>3717370</v>
      </c>
      <c r="B302" s="91">
        <v>7370</v>
      </c>
      <c r="C302" s="71" t="s">
        <v>112</v>
      </c>
      <c r="D302" s="106" t="s">
        <v>562</v>
      </c>
      <c r="E302" s="115">
        <v>0</v>
      </c>
      <c r="F302" s="115"/>
      <c r="G302" s="115"/>
      <c r="H302" s="115"/>
      <c r="I302" s="115"/>
      <c r="J302" s="115"/>
      <c r="K302" s="164" t="e">
        <f t="shared" si="83"/>
        <v>#DIV/0!</v>
      </c>
      <c r="L302" s="115">
        <f t="shared" si="71"/>
        <v>0</v>
      </c>
      <c r="M302" s="115"/>
      <c r="N302" s="115"/>
      <c r="O302" s="115"/>
      <c r="P302" s="115"/>
      <c r="Q302" s="115"/>
      <c r="R302" s="115">
        <f t="shared" si="72"/>
        <v>0</v>
      </c>
      <c r="S302" s="115"/>
      <c r="T302" s="115"/>
      <c r="U302" s="115"/>
      <c r="V302" s="115"/>
      <c r="W302" s="115"/>
      <c r="X302" s="166" t="e">
        <f t="shared" si="84"/>
        <v>#DIV/0!</v>
      </c>
      <c r="Y302" s="115">
        <f t="shared" si="108"/>
        <v>0</v>
      </c>
      <c r="Z302" s="187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3"/>
      <c r="CP302" s="53"/>
      <c r="CQ302" s="53"/>
      <c r="CR302" s="53"/>
      <c r="CS302" s="53"/>
      <c r="CT302" s="53"/>
      <c r="CU302" s="53"/>
      <c r="CV302" s="53"/>
      <c r="CW302" s="53"/>
      <c r="CX302" s="53"/>
      <c r="CY302" s="53"/>
      <c r="CZ302" s="53"/>
      <c r="DA302" s="53"/>
      <c r="DB302" s="53"/>
      <c r="DC302" s="53"/>
      <c r="DD302" s="53"/>
      <c r="DE302" s="53"/>
      <c r="DF302" s="53"/>
      <c r="DG302" s="53"/>
      <c r="DH302" s="53"/>
      <c r="DI302" s="53"/>
      <c r="DJ302" s="53"/>
      <c r="DK302" s="53"/>
      <c r="DL302" s="53"/>
      <c r="DM302" s="53"/>
      <c r="DN302" s="53"/>
      <c r="DO302" s="53"/>
      <c r="DP302" s="53"/>
      <c r="DQ302" s="53"/>
      <c r="DR302" s="53"/>
      <c r="DS302" s="53"/>
      <c r="DT302" s="53"/>
      <c r="DU302" s="53"/>
      <c r="DV302" s="53"/>
      <c r="DW302" s="53"/>
      <c r="DX302" s="53"/>
      <c r="DY302" s="53"/>
      <c r="DZ302" s="53"/>
      <c r="EA302" s="53"/>
      <c r="EB302" s="53"/>
      <c r="EC302" s="53"/>
      <c r="ED302" s="53"/>
      <c r="EE302" s="53"/>
      <c r="EF302" s="53"/>
      <c r="EG302" s="53"/>
      <c r="EH302" s="53"/>
      <c r="EI302" s="53"/>
      <c r="EJ302" s="53"/>
      <c r="EK302" s="53"/>
      <c r="EL302" s="53"/>
      <c r="EM302" s="53"/>
      <c r="EN302" s="53"/>
      <c r="EO302" s="53"/>
      <c r="EP302" s="53"/>
      <c r="EQ302" s="53"/>
      <c r="ER302" s="53"/>
      <c r="ES302" s="53"/>
      <c r="ET302" s="53"/>
      <c r="EU302" s="53"/>
      <c r="EV302" s="53"/>
      <c r="EW302" s="53"/>
      <c r="EX302" s="53"/>
      <c r="EY302" s="53"/>
      <c r="EZ302" s="53"/>
      <c r="FA302" s="53"/>
      <c r="FB302" s="53"/>
      <c r="FC302" s="53"/>
      <c r="FD302" s="53"/>
      <c r="FE302" s="53"/>
      <c r="FF302" s="53"/>
      <c r="FG302" s="53"/>
      <c r="FH302" s="53"/>
      <c r="FI302" s="53"/>
      <c r="FJ302" s="53"/>
      <c r="FK302" s="53"/>
      <c r="FL302" s="53"/>
      <c r="FM302" s="53"/>
      <c r="FN302" s="53"/>
      <c r="FO302" s="53"/>
      <c r="FP302" s="53"/>
      <c r="FQ302" s="53"/>
      <c r="FR302" s="53"/>
      <c r="FS302" s="53"/>
      <c r="FT302" s="53"/>
      <c r="FU302" s="53"/>
      <c r="FV302" s="53"/>
      <c r="FW302" s="53"/>
      <c r="FX302" s="53"/>
      <c r="FY302" s="53"/>
      <c r="FZ302" s="53"/>
      <c r="GA302" s="53"/>
      <c r="GB302" s="53"/>
      <c r="GC302" s="53"/>
      <c r="GD302" s="53"/>
      <c r="GE302" s="53"/>
      <c r="GF302" s="53"/>
      <c r="GG302" s="53"/>
      <c r="GH302" s="53"/>
      <c r="GI302" s="53"/>
      <c r="GJ302" s="53"/>
      <c r="GK302" s="53"/>
      <c r="GL302" s="53"/>
      <c r="GM302" s="53"/>
      <c r="GN302" s="53"/>
      <c r="GO302" s="53"/>
      <c r="GP302" s="53"/>
      <c r="GQ302" s="53"/>
      <c r="GR302" s="53"/>
      <c r="GS302" s="53"/>
      <c r="GT302" s="53"/>
      <c r="GU302" s="53"/>
      <c r="GV302" s="53"/>
      <c r="GW302" s="53"/>
      <c r="GX302" s="53"/>
      <c r="GY302" s="53"/>
      <c r="GZ302" s="53"/>
      <c r="HA302" s="53"/>
      <c r="HB302" s="53"/>
      <c r="HC302" s="53"/>
      <c r="HD302" s="53"/>
      <c r="HE302" s="53"/>
      <c r="HF302" s="53"/>
      <c r="HG302" s="53"/>
      <c r="HH302" s="53"/>
      <c r="HI302" s="53"/>
      <c r="HJ302" s="53"/>
      <c r="HK302" s="53"/>
      <c r="HL302" s="53"/>
      <c r="HM302" s="53"/>
      <c r="HN302" s="53"/>
      <c r="HO302" s="53"/>
      <c r="HP302" s="53"/>
      <c r="HQ302" s="53"/>
      <c r="HR302" s="53"/>
      <c r="HS302" s="53"/>
      <c r="HT302" s="53"/>
      <c r="HU302" s="53"/>
      <c r="HV302" s="53"/>
      <c r="HW302" s="53"/>
      <c r="HX302" s="53"/>
      <c r="HY302" s="53"/>
      <c r="HZ302" s="53"/>
      <c r="IA302" s="53"/>
      <c r="IB302" s="53"/>
      <c r="IC302" s="53"/>
      <c r="ID302" s="53"/>
      <c r="IE302" s="53"/>
      <c r="IF302" s="53"/>
      <c r="IG302" s="53"/>
      <c r="IH302" s="53"/>
      <c r="II302" s="53"/>
      <c r="IJ302" s="53"/>
      <c r="IK302" s="53"/>
      <c r="IL302" s="53"/>
      <c r="IM302" s="53"/>
      <c r="IN302" s="53"/>
      <c r="IO302" s="53"/>
      <c r="IP302" s="53"/>
      <c r="IQ302" s="53"/>
      <c r="IR302" s="53"/>
      <c r="IS302" s="53"/>
      <c r="IT302" s="53"/>
      <c r="IU302" s="53"/>
      <c r="IV302" s="53"/>
      <c r="IW302" s="53"/>
      <c r="IX302" s="53"/>
      <c r="IY302" s="53"/>
      <c r="IZ302" s="53"/>
      <c r="JA302" s="53"/>
      <c r="JB302" s="53"/>
      <c r="JC302" s="53"/>
      <c r="JD302" s="53"/>
      <c r="JE302" s="53"/>
      <c r="JF302" s="53"/>
      <c r="JG302" s="53"/>
      <c r="JH302" s="53"/>
      <c r="JI302" s="53"/>
      <c r="JJ302" s="53"/>
      <c r="JK302" s="53"/>
      <c r="JL302" s="53"/>
      <c r="JM302" s="53"/>
      <c r="JN302" s="53"/>
      <c r="JO302" s="53"/>
      <c r="JP302" s="53"/>
      <c r="JQ302" s="53"/>
      <c r="JR302" s="53"/>
      <c r="JS302" s="53"/>
      <c r="JT302" s="53"/>
      <c r="JU302" s="53"/>
      <c r="JV302" s="53"/>
      <c r="JW302" s="53"/>
      <c r="JX302" s="53"/>
      <c r="JY302" s="53"/>
      <c r="JZ302" s="53"/>
      <c r="KA302" s="53"/>
      <c r="KB302" s="53"/>
      <c r="KC302" s="53"/>
      <c r="KD302" s="53"/>
      <c r="KE302" s="53"/>
      <c r="KF302" s="53"/>
      <c r="KG302" s="53"/>
      <c r="KH302" s="53"/>
      <c r="KI302" s="53"/>
      <c r="KJ302" s="53"/>
      <c r="KK302" s="53"/>
      <c r="KL302" s="53"/>
      <c r="KM302" s="53"/>
      <c r="KN302" s="53"/>
      <c r="KO302" s="53"/>
      <c r="KP302" s="53"/>
      <c r="KQ302" s="53"/>
      <c r="KR302" s="53"/>
      <c r="KS302" s="53"/>
      <c r="KT302" s="53"/>
      <c r="KU302" s="53"/>
      <c r="KV302" s="53"/>
      <c r="KW302" s="53"/>
      <c r="KX302" s="53"/>
      <c r="KY302" s="53"/>
      <c r="KZ302" s="53"/>
      <c r="LA302" s="53"/>
      <c r="LB302" s="53"/>
      <c r="LC302" s="53"/>
      <c r="LD302" s="53"/>
      <c r="LE302" s="53"/>
      <c r="LF302" s="53"/>
      <c r="LG302" s="53"/>
      <c r="LH302" s="53"/>
      <c r="LI302" s="53"/>
      <c r="LJ302" s="53"/>
      <c r="LK302" s="53"/>
      <c r="LL302" s="53"/>
      <c r="LM302" s="53"/>
      <c r="LN302" s="53"/>
      <c r="LO302" s="53"/>
      <c r="LP302" s="53"/>
      <c r="LQ302" s="53"/>
      <c r="LR302" s="53"/>
      <c r="LS302" s="53"/>
      <c r="LT302" s="53"/>
      <c r="LU302" s="53"/>
      <c r="LV302" s="53"/>
      <c r="LW302" s="53"/>
      <c r="LX302" s="53"/>
      <c r="LY302" s="53"/>
      <c r="LZ302" s="53"/>
      <c r="MA302" s="53"/>
      <c r="MB302" s="53"/>
      <c r="MC302" s="53"/>
      <c r="MD302" s="53"/>
      <c r="ME302" s="53"/>
      <c r="MF302" s="53"/>
      <c r="MG302" s="53"/>
      <c r="MH302" s="53"/>
      <c r="MI302" s="53"/>
      <c r="MJ302" s="53"/>
      <c r="MK302" s="53"/>
      <c r="ML302" s="53"/>
      <c r="MM302" s="53"/>
      <c r="MN302" s="53"/>
      <c r="MO302" s="53"/>
      <c r="MP302" s="53"/>
      <c r="MQ302" s="53"/>
      <c r="MR302" s="53"/>
      <c r="MS302" s="53"/>
      <c r="MT302" s="53"/>
      <c r="MU302" s="53"/>
      <c r="MV302" s="53"/>
      <c r="MW302" s="53"/>
      <c r="MX302" s="53"/>
      <c r="MY302" s="53"/>
      <c r="MZ302" s="53"/>
      <c r="NA302" s="53"/>
      <c r="NB302" s="53"/>
      <c r="NC302" s="53"/>
      <c r="ND302" s="53"/>
      <c r="NE302" s="53"/>
      <c r="NF302" s="53"/>
      <c r="NG302" s="53"/>
      <c r="NH302" s="53"/>
      <c r="NI302" s="53"/>
      <c r="NJ302" s="53"/>
      <c r="NK302" s="53"/>
      <c r="NL302" s="53"/>
      <c r="NM302" s="53"/>
      <c r="NN302" s="53"/>
      <c r="NO302" s="53"/>
      <c r="NP302" s="53"/>
      <c r="NQ302" s="53"/>
      <c r="NR302" s="53"/>
      <c r="NS302" s="53"/>
      <c r="NT302" s="53"/>
      <c r="NU302" s="53"/>
      <c r="NV302" s="53"/>
      <c r="NW302" s="53"/>
      <c r="NX302" s="53"/>
      <c r="NY302" s="53"/>
      <c r="NZ302" s="53"/>
      <c r="OA302" s="53"/>
      <c r="OB302" s="53"/>
      <c r="OC302" s="53"/>
      <c r="OD302" s="53"/>
      <c r="OE302" s="53"/>
      <c r="OF302" s="53"/>
      <c r="OG302" s="53"/>
      <c r="OH302" s="53"/>
      <c r="OI302" s="53"/>
      <c r="OJ302" s="53"/>
      <c r="OK302" s="53"/>
      <c r="OL302" s="53"/>
      <c r="OM302" s="53"/>
      <c r="ON302" s="53"/>
      <c r="OO302" s="53"/>
      <c r="OP302" s="53"/>
      <c r="OQ302" s="53"/>
      <c r="OR302" s="53"/>
      <c r="OS302" s="53"/>
      <c r="OT302" s="53"/>
      <c r="OU302" s="53"/>
      <c r="OV302" s="53"/>
      <c r="OW302" s="53"/>
      <c r="OX302" s="53"/>
      <c r="OY302" s="53"/>
      <c r="OZ302" s="53"/>
      <c r="PA302" s="53"/>
      <c r="PB302" s="53"/>
      <c r="PC302" s="53"/>
      <c r="PD302" s="53"/>
      <c r="PE302" s="53"/>
      <c r="PF302" s="53"/>
      <c r="PG302" s="53"/>
      <c r="PH302" s="53"/>
      <c r="PI302" s="53"/>
      <c r="PJ302" s="53"/>
      <c r="PK302" s="53"/>
      <c r="PL302" s="53"/>
      <c r="PM302" s="53"/>
      <c r="PN302" s="53"/>
      <c r="PO302" s="53"/>
      <c r="PP302" s="53"/>
      <c r="PQ302" s="53"/>
      <c r="PR302" s="53"/>
      <c r="PS302" s="53"/>
      <c r="PT302" s="53"/>
      <c r="PU302" s="53"/>
      <c r="PV302" s="53"/>
      <c r="PW302" s="53"/>
      <c r="PX302" s="53"/>
      <c r="PY302" s="53"/>
      <c r="PZ302" s="53"/>
      <c r="QA302" s="53"/>
      <c r="QB302" s="53"/>
      <c r="QC302" s="53"/>
      <c r="QD302" s="53"/>
      <c r="QE302" s="53"/>
      <c r="QF302" s="53"/>
      <c r="QG302" s="53"/>
      <c r="QH302" s="53"/>
      <c r="QI302" s="53"/>
      <c r="QJ302" s="53"/>
      <c r="QK302" s="53"/>
      <c r="QL302" s="53"/>
      <c r="QM302" s="53"/>
      <c r="QN302" s="53"/>
      <c r="QO302" s="53"/>
      <c r="QP302" s="53"/>
      <c r="QQ302" s="53"/>
      <c r="QR302" s="53"/>
      <c r="QS302" s="53"/>
      <c r="QT302" s="53"/>
      <c r="QU302" s="53"/>
      <c r="QV302" s="53"/>
      <c r="QW302" s="53"/>
      <c r="QX302" s="53"/>
      <c r="QY302" s="53"/>
      <c r="QZ302" s="53"/>
      <c r="RA302" s="53"/>
      <c r="RB302" s="53"/>
      <c r="RC302" s="53"/>
      <c r="RD302" s="53"/>
      <c r="RE302" s="53"/>
      <c r="RF302" s="53"/>
      <c r="RG302" s="53"/>
      <c r="RH302" s="53"/>
      <c r="RI302" s="53"/>
      <c r="RJ302" s="53"/>
      <c r="RK302" s="53"/>
      <c r="RL302" s="53"/>
      <c r="RM302" s="53"/>
      <c r="RN302" s="53"/>
      <c r="RO302" s="53"/>
      <c r="RP302" s="53"/>
      <c r="RQ302" s="53"/>
      <c r="RR302" s="53"/>
      <c r="RS302" s="53"/>
      <c r="RT302" s="53"/>
      <c r="RU302" s="53"/>
      <c r="RV302" s="53"/>
      <c r="RW302" s="53"/>
      <c r="RX302" s="53"/>
      <c r="RY302" s="53"/>
      <c r="RZ302" s="53"/>
      <c r="SA302" s="53"/>
      <c r="SB302" s="53"/>
      <c r="SC302" s="53"/>
      <c r="SD302" s="53"/>
      <c r="SE302" s="53"/>
      <c r="SF302" s="53"/>
      <c r="SG302" s="53"/>
      <c r="SH302" s="53"/>
      <c r="SI302" s="53"/>
      <c r="SJ302" s="53"/>
      <c r="SK302" s="53"/>
      <c r="SL302" s="53"/>
      <c r="SM302" s="53"/>
      <c r="SN302" s="53"/>
      <c r="SO302" s="53"/>
      <c r="SP302" s="53"/>
      <c r="SQ302" s="53"/>
      <c r="SR302" s="53"/>
      <c r="SS302" s="53"/>
      <c r="ST302" s="53"/>
      <c r="SU302" s="53"/>
      <c r="SV302" s="53"/>
      <c r="SW302" s="53"/>
      <c r="SX302" s="53"/>
      <c r="SY302" s="53"/>
      <c r="SZ302" s="53"/>
      <c r="TA302" s="53"/>
      <c r="TB302" s="53"/>
      <c r="TC302" s="53"/>
      <c r="TD302" s="53"/>
      <c r="TE302" s="53"/>
      <c r="TF302" s="53"/>
      <c r="TG302" s="53"/>
      <c r="TH302" s="53"/>
      <c r="TI302" s="53"/>
      <c r="TJ302" s="53"/>
      <c r="TK302" s="53"/>
      <c r="TL302" s="53"/>
      <c r="TM302" s="53"/>
      <c r="TN302" s="53"/>
      <c r="TO302" s="53"/>
      <c r="TP302" s="53"/>
      <c r="TQ302" s="53"/>
      <c r="TR302" s="53"/>
      <c r="TS302" s="53"/>
      <c r="TT302" s="53"/>
      <c r="TU302" s="53"/>
      <c r="TV302" s="53"/>
      <c r="TW302" s="53"/>
      <c r="TX302" s="53"/>
      <c r="TY302" s="53"/>
      <c r="TZ302" s="53"/>
      <c r="UA302" s="53"/>
      <c r="UB302" s="53"/>
      <c r="UC302" s="53"/>
      <c r="UD302" s="53"/>
      <c r="UE302" s="53"/>
      <c r="UF302" s="53"/>
      <c r="UG302" s="53"/>
      <c r="UH302" s="53"/>
      <c r="UI302" s="53"/>
      <c r="UJ302" s="53"/>
      <c r="UK302" s="53"/>
      <c r="UL302" s="53"/>
      <c r="UM302" s="53"/>
      <c r="UN302" s="53"/>
      <c r="UO302" s="53"/>
      <c r="UP302" s="53"/>
      <c r="UQ302" s="53"/>
      <c r="UR302" s="53"/>
      <c r="US302" s="53"/>
      <c r="UT302" s="53"/>
      <c r="UU302" s="53"/>
      <c r="UV302" s="53"/>
      <c r="UW302" s="53"/>
      <c r="UX302" s="53"/>
      <c r="UY302" s="53"/>
      <c r="UZ302" s="53"/>
      <c r="VA302" s="53"/>
      <c r="VB302" s="53"/>
      <c r="VC302" s="53"/>
      <c r="VD302" s="53"/>
      <c r="VE302" s="53"/>
      <c r="VF302" s="53"/>
      <c r="VG302" s="53"/>
      <c r="VH302" s="53"/>
      <c r="VI302" s="53"/>
      <c r="VJ302" s="53"/>
      <c r="VK302" s="53"/>
      <c r="VL302" s="53"/>
    </row>
    <row r="303" spans="1:584" s="47" customFormat="1" ht="18.75" customHeight="1" x14ac:dyDescent="0.25">
      <c r="A303" s="45" t="s">
        <v>331</v>
      </c>
      <c r="B303" s="91" t="str">
        <f>'дод 3'!A189</f>
        <v>7640</v>
      </c>
      <c r="C303" s="91" t="str">
        <f>'дод 3'!B189</f>
        <v>0470</v>
      </c>
      <c r="D303" s="48" t="str">
        <f>'дод 3'!C189</f>
        <v>Заходи з енергозбереження</v>
      </c>
      <c r="E303" s="115">
        <v>318700</v>
      </c>
      <c r="F303" s="115"/>
      <c r="G303" s="115"/>
      <c r="H303" s="115">
        <v>308346.93</v>
      </c>
      <c r="I303" s="115"/>
      <c r="J303" s="115"/>
      <c r="K303" s="164">
        <f t="shared" si="83"/>
        <v>96.751468465641665</v>
      </c>
      <c r="L303" s="115">
        <f t="shared" si="71"/>
        <v>0</v>
      </c>
      <c r="M303" s="115"/>
      <c r="N303" s="115"/>
      <c r="O303" s="115"/>
      <c r="P303" s="115"/>
      <c r="Q303" s="115"/>
      <c r="R303" s="115">
        <f t="shared" si="72"/>
        <v>0</v>
      </c>
      <c r="S303" s="115"/>
      <c r="T303" s="115"/>
      <c r="U303" s="115"/>
      <c r="V303" s="115"/>
      <c r="W303" s="115"/>
      <c r="X303" s="166"/>
      <c r="Y303" s="115">
        <f t="shared" si="108"/>
        <v>308346.93</v>
      </c>
      <c r="Z303" s="187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  <c r="DG303" s="53"/>
      <c r="DH303" s="53"/>
      <c r="DI303" s="53"/>
      <c r="DJ303" s="53"/>
      <c r="DK303" s="53"/>
      <c r="DL303" s="53"/>
      <c r="DM303" s="53"/>
      <c r="DN303" s="53"/>
      <c r="DO303" s="53"/>
      <c r="DP303" s="53"/>
      <c r="DQ303" s="53"/>
      <c r="DR303" s="53"/>
      <c r="DS303" s="53"/>
      <c r="DT303" s="53"/>
      <c r="DU303" s="53"/>
      <c r="DV303" s="53"/>
      <c r="DW303" s="53"/>
      <c r="DX303" s="53"/>
      <c r="DY303" s="53"/>
      <c r="DZ303" s="53"/>
      <c r="EA303" s="53"/>
      <c r="EB303" s="53"/>
      <c r="EC303" s="53"/>
      <c r="ED303" s="53"/>
      <c r="EE303" s="53"/>
      <c r="EF303" s="53"/>
      <c r="EG303" s="53"/>
      <c r="EH303" s="53"/>
      <c r="EI303" s="53"/>
      <c r="EJ303" s="53"/>
      <c r="EK303" s="53"/>
      <c r="EL303" s="53"/>
      <c r="EM303" s="53"/>
      <c r="EN303" s="53"/>
      <c r="EO303" s="53"/>
      <c r="EP303" s="53"/>
      <c r="EQ303" s="53"/>
      <c r="ER303" s="53"/>
      <c r="ES303" s="53"/>
      <c r="ET303" s="53"/>
      <c r="EU303" s="53"/>
      <c r="EV303" s="53"/>
      <c r="EW303" s="53"/>
      <c r="EX303" s="53"/>
      <c r="EY303" s="53"/>
      <c r="EZ303" s="53"/>
      <c r="FA303" s="53"/>
      <c r="FB303" s="53"/>
      <c r="FC303" s="53"/>
      <c r="FD303" s="53"/>
      <c r="FE303" s="53"/>
      <c r="FF303" s="53"/>
      <c r="FG303" s="53"/>
      <c r="FH303" s="53"/>
      <c r="FI303" s="53"/>
      <c r="FJ303" s="53"/>
      <c r="FK303" s="53"/>
      <c r="FL303" s="53"/>
      <c r="FM303" s="53"/>
      <c r="FN303" s="53"/>
      <c r="FO303" s="53"/>
      <c r="FP303" s="53"/>
      <c r="FQ303" s="53"/>
      <c r="FR303" s="53"/>
      <c r="FS303" s="53"/>
      <c r="FT303" s="53"/>
      <c r="FU303" s="53"/>
      <c r="FV303" s="53"/>
      <c r="FW303" s="53"/>
      <c r="FX303" s="53"/>
      <c r="FY303" s="53"/>
      <c r="FZ303" s="53"/>
      <c r="GA303" s="53"/>
      <c r="GB303" s="53"/>
      <c r="GC303" s="53"/>
      <c r="GD303" s="53"/>
      <c r="GE303" s="53"/>
      <c r="GF303" s="53"/>
      <c r="GG303" s="53"/>
      <c r="GH303" s="53"/>
      <c r="GI303" s="53"/>
      <c r="GJ303" s="53"/>
      <c r="GK303" s="53"/>
      <c r="GL303" s="53"/>
      <c r="GM303" s="53"/>
      <c r="GN303" s="53"/>
      <c r="GO303" s="53"/>
      <c r="GP303" s="53"/>
      <c r="GQ303" s="53"/>
      <c r="GR303" s="53"/>
      <c r="GS303" s="53"/>
      <c r="GT303" s="53"/>
      <c r="GU303" s="53"/>
      <c r="GV303" s="53"/>
      <c r="GW303" s="53"/>
      <c r="GX303" s="53"/>
      <c r="GY303" s="53"/>
      <c r="GZ303" s="53"/>
      <c r="HA303" s="53"/>
      <c r="HB303" s="53"/>
      <c r="HC303" s="53"/>
      <c r="HD303" s="53"/>
      <c r="HE303" s="53"/>
      <c r="HF303" s="53"/>
      <c r="HG303" s="53"/>
      <c r="HH303" s="53"/>
      <c r="HI303" s="53"/>
      <c r="HJ303" s="53"/>
      <c r="HK303" s="53"/>
      <c r="HL303" s="53"/>
      <c r="HM303" s="53"/>
      <c r="HN303" s="53"/>
      <c r="HO303" s="53"/>
      <c r="HP303" s="53"/>
      <c r="HQ303" s="53"/>
      <c r="HR303" s="53"/>
      <c r="HS303" s="53"/>
      <c r="HT303" s="53"/>
      <c r="HU303" s="53"/>
      <c r="HV303" s="53"/>
      <c r="HW303" s="53"/>
      <c r="HX303" s="53"/>
      <c r="HY303" s="53"/>
      <c r="HZ303" s="53"/>
      <c r="IA303" s="53"/>
      <c r="IB303" s="53"/>
      <c r="IC303" s="53"/>
      <c r="ID303" s="53"/>
      <c r="IE303" s="53"/>
      <c r="IF303" s="53"/>
      <c r="IG303" s="53"/>
      <c r="IH303" s="53"/>
      <c r="II303" s="53"/>
      <c r="IJ303" s="53"/>
      <c r="IK303" s="53"/>
      <c r="IL303" s="53"/>
      <c r="IM303" s="53"/>
      <c r="IN303" s="53"/>
      <c r="IO303" s="53"/>
      <c r="IP303" s="53"/>
      <c r="IQ303" s="53"/>
      <c r="IR303" s="53"/>
      <c r="IS303" s="53"/>
      <c r="IT303" s="53"/>
      <c r="IU303" s="53"/>
      <c r="IV303" s="53"/>
      <c r="IW303" s="53"/>
      <c r="IX303" s="53"/>
      <c r="IY303" s="53"/>
      <c r="IZ303" s="53"/>
      <c r="JA303" s="53"/>
      <c r="JB303" s="53"/>
      <c r="JC303" s="53"/>
      <c r="JD303" s="53"/>
      <c r="JE303" s="53"/>
      <c r="JF303" s="53"/>
      <c r="JG303" s="53"/>
      <c r="JH303" s="53"/>
      <c r="JI303" s="53"/>
      <c r="JJ303" s="53"/>
      <c r="JK303" s="53"/>
      <c r="JL303" s="53"/>
      <c r="JM303" s="53"/>
      <c r="JN303" s="53"/>
      <c r="JO303" s="53"/>
      <c r="JP303" s="53"/>
      <c r="JQ303" s="53"/>
      <c r="JR303" s="53"/>
      <c r="JS303" s="53"/>
      <c r="JT303" s="53"/>
      <c r="JU303" s="53"/>
      <c r="JV303" s="53"/>
      <c r="JW303" s="53"/>
      <c r="JX303" s="53"/>
      <c r="JY303" s="53"/>
      <c r="JZ303" s="53"/>
      <c r="KA303" s="53"/>
      <c r="KB303" s="53"/>
      <c r="KC303" s="53"/>
      <c r="KD303" s="53"/>
      <c r="KE303" s="53"/>
      <c r="KF303" s="53"/>
      <c r="KG303" s="53"/>
      <c r="KH303" s="53"/>
      <c r="KI303" s="53"/>
      <c r="KJ303" s="53"/>
      <c r="KK303" s="53"/>
      <c r="KL303" s="53"/>
      <c r="KM303" s="53"/>
      <c r="KN303" s="53"/>
      <c r="KO303" s="53"/>
      <c r="KP303" s="53"/>
      <c r="KQ303" s="53"/>
      <c r="KR303" s="53"/>
      <c r="KS303" s="53"/>
      <c r="KT303" s="53"/>
      <c r="KU303" s="53"/>
      <c r="KV303" s="53"/>
      <c r="KW303" s="53"/>
      <c r="KX303" s="53"/>
      <c r="KY303" s="53"/>
      <c r="KZ303" s="53"/>
      <c r="LA303" s="53"/>
      <c r="LB303" s="53"/>
      <c r="LC303" s="53"/>
      <c r="LD303" s="53"/>
      <c r="LE303" s="53"/>
      <c r="LF303" s="53"/>
      <c r="LG303" s="53"/>
      <c r="LH303" s="53"/>
      <c r="LI303" s="53"/>
      <c r="LJ303" s="53"/>
      <c r="LK303" s="53"/>
      <c r="LL303" s="53"/>
      <c r="LM303" s="53"/>
      <c r="LN303" s="53"/>
      <c r="LO303" s="53"/>
      <c r="LP303" s="53"/>
      <c r="LQ303" s="53"/>
      <c r="LR303" s="53"/>
      <c r="LS303" s="53"/>
      <c r="LT303" s="53"/>
      <c r="LU303" s="53"/>
      <c r="LV303" s="53"/>
      <c r="LW303" s="53"/>
      <c r="LX303" s="53"/>
      <c r="LY303" s="53"/>
      <c r="LZ303" s="53"/>
      <c r="MA303" s="53"/>
      <c r="MB303" s="53"/>
      <c r="MC303" s="53"/>
      <c r="MD303" s="53"/>
      <c r="ME303" s="53"/>
      <c r="MF303" s="53"/>
      <c r="MG303" s="53"/>
      <c r="MH303" s="53"/>
      <c r="MI303" s="53"/>
      <c r="MJ303" s="53"/>
      <c r="MK303" s="53"/>
      <c r="ML303" s="53"/>
      <c r="MM303" s="53"/>
      <c r="MN303" s="53"/>
      <c r="MO303" s="53"/>
      <c r="MP303" s="53"/>
      <c r="MQ303" s="53"/>
      <c r="MR303" s="53"/>
      <c r="MS303" s="53"/>
      <c r="MT303" s="53"/>
      <c r="MU303" s="53"/>
      <c r="MV303" s="53"/>
      <c r="MW303" s="53"/>
      <c r="MX303" s="53"/>
      <c r="MY303" s="53"/>
      <c r="MZ303" s="53"/>
      <c r="NA303" s="53"/>
      <c r="NB303" s="53"/>
      <c r="NC303" s="53"/>
      <c r="ND303" s="53"/>
      <c r="NE303" s="53"/>
      <c r="NF303" s="53"/>
      <c r="NG303" s="53"/>
      <c r="NH303" s="53"/>
      <c r="NI303" s="53"/>
      <c r="NJ303" s="53"/>
      <c r="NK303" s="53"/>
      <c r="NL303" s="53"/>
      <c r="NM303" s="53"/>
      <c r="NN303" s="53"/>
      <c r="NO303" s="53"/>
      <c r="NP303" s="53"/>
      <c r="NQ303" s="53"/>
      <c r="NR303" s="53"/>
      <c r="NS303" s="53"/>
      <c r="NT303" s="53"/>
      <c r="NU303" s="53"/>
      <c r="NV303" s="53"/>
      <c r="NW303" s="53"/>
      <c r="NX303" s="53"/>
      <c r="NY303" s="53"/>
      <c r="NZ303" s="53"/>
      <c r="OA303" s="53"/>
      <c r="OB303" s="53"/>
      <c r="OC303" s="53"/>
      <c r="OD303" s="53"/>
      <c r="OE303" s="53"/>
      <c r="OF303" s="53"/>
      <c r="OG303" s="53"/>
      <c r="OH303" s="53"/>
      <c r="OI303" s="53"/>
      <c r="OJ303" s="53"/>
      <c r="OK303" s="53"/>
      <c r="OL303" s="53"/>
      <c r="OM303" s="53"/>
      <c r="ON303" s="53"/>
      <c r="OO303" s="53"/>
      <c r="OP303" s="53"/>
      <c r="OQ303" s="53"/>
      <c r="OR303" s="53"/>
      <c r="OS303" s="53"/>
      <c r="OT303" s="53"/>
      <c r="OU303" s="53"/>
      <c r="OV303" s="53"/>
      <c r="OW303" s="53"/>
      <c r="OX303" s="53"/>
      <c r="OY303" s="53"/>
      <c r="OZ303" s="53"/>
      <c r="PA303" s="53"/>
      <c r="PB303" s="53"/>
      <c r="PC303" s="53"/>
      <c r="PD303" s="53"/>
      <c r="PE303" s="53"/>
      <c r="PF303" s="53"/>
      <c r="PG303" s="53"/>
      <c r="PH303" s="53"/>
      <c r="PI303" s="53"/>
      <c r="PJ303" s="53"/>
      <c r="PK303" s="53"/>
      <c r="PL303" s="53"/>
      <c r="PM303" s="53"/>
      <c r="PN303" s="53"/>
      <c r="PO303" s="53"/>
      <c r="PP303" s="53"/>
      <c r="PQ303" s="53"/>
      <c r="PR303" s="53"/>
      <c r="PS303" s="53"/>
      <c r="PT303" s="53"/>
      <c r="PU303" s="53"/>
      <c r="PV303" s="53"/>
      <c r="PW303" s="53"/>
      <c r="PX303" s="53"/>
      <c r="PY303" s="53"/>
      <c r="PZ303" s="53"/>
      <c r="QA303" s="53"/>
      <c r="QB303" s="53"/>
      <c r="QC303" s="53"/>
      <c r="QD303" s="53"/>
      <c r="QE303" s="53"/>
      <c r="QF303" s="53"/>
      <c r="QG303" s="53"/>
      <c r="QH303" s="53"/>
      <c r="QI303" s="53"/>
      <c r="QJ303" s="53"/>
      <c r="QK303" s="53"/>
      <c r="QL303" s="53"/>
      <c r="QM303" s="53"/>
      <c r="QN303" s="53"/>
      <c r="QO303" s="53"/>
      <c r="QP303" s="53"/>
      <c r="QQ303" s="53"/>
      <c r="QR303" s="53"/>
      <c r="QS303" s="53"/>
      <c r="QT303" s="53"/>
      <c r="QU303" s="53"/>
      <c r="QV303" s="53"/>
      <c r="QW303" s="53"/>
      <c r="QX303" s="53"/>
      <c r="QY303" s="53"/>
      <c r="QZ303" s="53"/>
      <c r="RA303" s="53"/>
      <c r="RB303" s="53"/>
      <c r="RC303" s="53"/>
      <c r="RD303" s="53"/>
      <c r="RE303" s="53"/>
      <c r="RF303" s="53"/>
      <c r="RG303" s="53"/>
      <c r="RH303" s="53"/>
      <c r="RI303" s="53"/>
      <c r="RJ303" s="53"/>
      <c r="RK303" s="53"/>
      <c r="RL303" s="53"/>
      <c r="RM303" s="53"/>
      <c r="RN303" s="53"/>
      <c r="RO303" s="53"/>
      <c r="RP303" s="53"/>
      <c r="RQ303" s="53"/>
      <c r="RR303" s="53"/>
      <c r="RS303" s="53"/>
      <c r="RT303" s="53"/>
      <c r="RU303" s="53"/>
      <c r="RV303" s="53"/>
      <c r="RW303" s="53"/>
      <c r="RX303" s="53"/>
      <c r="RY303" s="53"/>
      <c r="RZ303" s="53"/>
      <c r="SA303" s="53"/>
      <c r="SB303" s="53"/>
      <c r="SC303" s="53"/>
      <c r="SD303" s="53"/>
      <c r="SE303" s="53"/>
      <c r="SF303" s="53"/>
      <c r="SG303" s="53"/>
      <c r="SH303" s="53"/>
      <c r="SI303" s="53"/>
      <c r="SJ303" s="53"/>
      <c r="SK303" s="53"/>
      <c r="SL303" s="53"/>
      <c r="SM303" s="53"/>
      <c r="SN303" s="53"/>
      <c r="SO303" s="53"/>
      <c r="SP303" s="53"/>
      <c r="SQ303" s="53"/>
      <c r="SR303" s="53"/>
      <c r="SS303" s="53"/>
      <c r="ST303" s="53"/>
      <c r="SU303" s="53"/>
      <c r="SV303" s="53"/>
      <c r="SW303" s="53"/>
      <c r="SX303" s="53"/>
      <c r="SY303" s="53"/>
      <c r="SZ303" s="53"/>
      <c r="TA303" s="53"/>
      <c r="TB303" s="53"/>
      <c r="TC303" s="53"/>
      <c r="TD303" s="53"/>
      <c r="TE303" s="53"/>
      <c r="TF303" s="53"/>
      <c r="TG303" s="53"/>
      <c r="TH303" s="53"/>
      <c r="TI303" s="53"/>
      <c r="TJ303" s="53"/>
      <c r="TK303" s="53"/>
      <c r="TL303" s="53"/>
      <c r="TM303" s="53"/>
      <c r="TN303" s="53"/>
      <c r="TO303" s="53"/>
      <c r="TP303" s="53"/>
      <c r="TQ303" s="53"/>
      <c r="TR303" s="53"/>
      <c r="TS303" s="53"/>
      <c r="TT303" s="53"/>
      <c r="TU303" s="53"/>
      <c r="TV303" s="53"/>
      <c r="TW303" s="53"/>
      <c r="TX303" s="53"/>
      <c r="TY303" s="53"/>
      <c r="TZ303" s="53"/>
      <c r="UA303" s="53"/>
      <c r="UB303" s="53"/>
      <c r="UC303" s="53"/>
      <c r="UD303" s="53"/>
      <c r="UE303" s="53"/>
      <c r="UF303" s="53"/>
      <c r="UG303" s="53"/>
      <c r="UH303" s="53"/>
      <c r="UI303" s="53"/>
      <c r="UJ303" s="53"/>
      <c r="UK303" s="53"/>
      <c r="UL303" s="53"/>
      <c r="UM303" s="53"/>
      <c r="UN303" s="53"/>
      <c r="UO303" s="53"/>
      <c r="UP303" s="53"/>
      <c r="UQ303" s="53"/>
      <c r="UR303" s="53"/>
      <c r="US303" s="53"/>
      <c r="UT303" s="53"/>
      <c r="UU303" s="53"/>
      <c r="UV303" s="53"/>
      <c r="UW303" s="53"/>
      <c r="UX303" s="53"/>
      <c r="UY303" s="53"/>
      <c r="UZ303" s="53"/>
      <c r="VA303" s="53"/>
      <c r="VB303" s="53"/>
      <c r="VC303" s="53"/>
      <c r="VD303" s="53"/>
      <c r="VE303" s="53"/>
      <c r="VF303" s="53"/>
      <c r="VG303" s="53"/>
      <c r="VH303" s="53"/>
      <c r="VI303" s="53"/>
      <c r="VJ303" s="53"/>
      <c r="VK303" s="53"/>
      <c r="VL303" s="53"/>
    </row>
    <row r="304" spans="1:584" s="47" customFormat="1" ht="24" customHeight="1" x14ac:dyDescent="0.25">
      <c r="A304" s="45" t="s">
        <v>560</v>
      </c>
      <c r="B304" s="91" t="str">
        <f>'дод 3'!A195</f>
        <v>7693</v>
      </c>
      <c r="C304" s="91" t="str">
        <f>'дод 3'!B195</f>
        <v>0490</v>
      </c>
      <c r="D304" s="56" t="str">
        <f>'дод 3'!C195</f>
        <v>Інші заходи, пов'язані з економічною діяльністю</v>
      </c>
      <c r="E304" s="115">
        <v>5810</v>
      </c>
      <c r="F304" s="115"/>
      <c r="G304" s="115"/>
      <c r="H304" s="115">
        <v>810</v>
      </c>
      <c r="I304" s="115"/>
      <c r="J304" s="115"/>
      <c r="K304" s="164">
        <f t="shared" si="83"/>
        <v>13.941480206540447</v>
      </c>
      <c r="L304" s="115">
        <f t="shared" si="71"/>
        <v>0</v>
      </c>
      <c r="M304" s="115"/>
      <c r="N304" s="115"/>
      <c r="O304" s="115"/>
      <c r="P304" s="115"/>
      <c r="Q304" s="115"/>
      <c r="R304" s="115">
        <f t="shared" si="72"/>
        <v>0</v>
      </c>
      <c r="S304" s="115"/>
      <c r="T304" s="115"/>
      <c r="U304" s="115"/>
      <c r="V304" s="115"/>
      <c r="W304" s="115"/>
      <c r="X304" s="166"/>
      <c r="Y304" s="115">
        <f t="shared" si="108"/>
        <v>810</v>
      </c>
      <c r="Z304" s="187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  <c r="CZ304" s="53"/>
      <c r="DA304" s="53"/>
      <c r="DB304" s="53"/>
      <c r="DC304" s="53"/>
      <c r="DD304" s="53"/>
      <c r="DE304" s="53"/>
      <c r="DF304" s="53"/>
      <c r="DG304" s="53"/>
      <c r="DH304" s="53"/>
      <c r="DI304" s="53"/>
      <c r="DJ304" s="53"/>
      <c r="DK304" s="53"/>
      <c r="DL304" s="53"/>
      <c r="DM304" s="53"/>
      <c r="DN304" s="53"/>
      <c r="DO304" s="53"/>
      <c r="DP304" s="53"/>
      <c r="DQ304" s="53"/>
      <c r="DR304" s="53"/>
      <c r="DS304" s="53"/>
      <c r="DT304" s="53"/>
      <c r="DU304" s="53"/>
      <c r="DV304" s="53"/>
      <c r="DW304" s="53"/>
      <c r="DX304" s="53"/>
      <c r="DY304" s="53"/>
      <c r="DZ304" s="53"/>
      <c r="EA304" s="53"/>
      <c r="EB304" s="53"/>
      <c r="EC304" s="53"/>
      <c r="ED304" s="53"/>
      <c r="EE304" s="53"/>
      <c r="EF304" s="53"/>
      <c r="EG304" s="53"/>
      <c r="EH304" s="53"/>
      <c r="EI304" s="53"/>
      <c r="EJ304" s="53"/>
      <c r="EK304" s="53"/>
      <c r="EL304" s="53"/>
      <c r="EM304" s="53"/>
      <c r="EN304" s="53"/>
      <c r="EO304" s="53"/>
      <c r="EP304" s="53"/>
      <c r="EQ304" s="53"/>
      <c r="ER304" s="53"/>
      <c r="ES304" s="53"/>
      <c r="ET304" s="53"/>
      <c r="EU304" s="53"/>
      <c r="EV304" s="53"/>
      <c r="EW304" s="53"/>
      <c r="EX304" s="53"/>
      <c r="EY304" s="53"/>
      <c r="EZ304" s="53"/>
      <c r="FA304" s="53"/>
      <c r="FB304" s="53"/>
      <c r="FC304" s="53"/>
      <c r="FD304" s="53"/>
      <c r="FE304" s="53"/>
      <c r="FF304" s="53"/>
      <c r="FG304" s="53"/>
      <c r="FH304" s="53"/>
      <c r="FI304" s="53"/>
      <c r="FJ304" s="53"/>
      <c r="FK304" s="53"/>
      <c r="FL304" s="53"/>
      <c r="FM304" s="53"/>
      <c r="FN304" s="53"/>
      <c r="FO304" s="53"/>
      <c r="FP304" s="53"/>
      <c r="FQ304" s="53"/>
      <c r="FR304" s="53"/>
      <c r="FS304" s="53"/>
      <c r="FT304" s="53"/>
      <c r="FU304" s="53"/>
      <c r="FV304" s="53"/>
      <c r="FW304" s="53"/>
      <c r="FX304" s="53"/>
      <c r="FY304" s="53"/>
      <c r="FZ304" s="53"/>
      <c r="GA304" s="53"/>
      <c r="GB304" s="53"/>
      <c r="GC304" s="53"/>
      <c r="GD304" s="53"/>
      <c r="GE304" s="53"/>
      <c r="GF304" s="53"/>
      <c r="GG304" s="53"/>
      <c r="GH304" s="53"/>
      <c r="GI304" s="53"/>
      <c r="GJ304" s="53"/>
      <c r="GK304" s="53"/>
      <c r="GL304" s="53"/>
      <c r="GM304" s="53"/>
      <c r="GN304" s="53"/>
      <c r="GO304" s="53"/>
      <c r="GP304" s="53"/>
      <c r="GQ304" s="53"/>
      <c r="GR304" s="53"/>
      <c r="GS304" s="53"/>
      <c r="GT304" s="53"/>
      <c r="GU304" s="53"/>
      <c r="GV304" s="53"/>
      <c r="GW304" s="53"/>
      <c r="GX304" s="53"/>
      <c r="GY304" s="53"/>
      <c r="GZ304" s="53"/>
      <c r="HA304" s="53"/>
      <c r="HB304" s="53"/>
      <c r="HC304" s="53"/>
      <c r="HD304" s="53"/>
      <c r="HE304" s="53"/>
      <c r="HF304" s="53"/>
      <c r="HG304" s="53"/>
      <c r="HH304" s="53"/>
      <c r="HI304" s="53"/>
      <c r="HJ304" s="53"/>
      <c r="HK304" s="53"/>
      <c r="HL304" s="53"/>
      <c r="HM304" s="53"/>
      <c r="HN304" s="53"/>
      <c r="HO304" s="53"/>
      <c r="HP304" s="53"/>
      <c r="HQ304" s="53"/>
      <c r="HR304" s="53"/>
      <c r="HS304" s="53"/>
      <c r="HT304" s="53"/>
      <c r="HU304" s="53"/>
      <c r="HV304" s="53"/>
      <c r="HW304" s="53"/>
      <c r="HX304" s="53"/>
      <c r="HY304" s="53"/>
      <c r="HZ304" s="53"/>
      <c r="IA304" s="53"/>
      <c r="IB304" s="53"/>
      <c r="IC304" s="53"/>
      <c r="ID304" s="53"/>
      <c r="IE304" s="53"/>
      <c r="IF304" s="53"/>
      <c r="IG304" s="53"/>
      <c r="IH304" s="53"/>
      <c r="II304" s="53"/>
      <c r="IJ304" s="53"/>
      <c r="IK304" s="53"/>
      <c r="IL304" s="53"/>
      <c r="IM304" s="53"/>
      <c r="IN304" s="53"/>
      <c r="IO304" s="53"/>
      <c r="IP304" s="53"/>
      <c r="IQ304" s="53"/>
      <c r="IR304" s="53"/>
      <c r="IS304" s="53"/>
      <c r="IT304" s="53"/>
      <c r="IU304" s="53"/>
      <c r="IV304" s="53"/>
      <c r="IW304" s="53"/>
      <c r="IX304" s="53"/>
      <c r="IY304" s="53"/>
      <c r="IZ304" s="53"/>
      <c r="JA304" s="53"/>
      <c r="JB304" s="53"/>
      <c r="JC304" s="53"/>
      <c r="JD304" s="53"/>
      <c r="JE304" s="53"/>
      <c r="JF304" s="53"/>
      <c r="JG304" s="53"/>
      <c r="JH304" s="53"/>
      <c r="JI304" s="53"/>
      <c r="JJ304" s="53"/>
      <c r="JK304" s="53"/>
      <c r="JL304" s="53"/>
      <c r="JM304" s="53"/>
      <c r="JN304" s="53"/>
      <c r="JO304" s="53"/>
      <c r="JP304" s="53"/>
      <c r="JQ304" s="53"/>
      <c r="JR304" s="53"/>
      <c r="JS304" s="53"/>
      <c r="JT304" s="53"/>
      <c r="JU304" s="53"/>
      <c r="JV304" s="53"/>
      <c r="JW304" s="53"/>
      <c r="JX304" s="53"/>
      <c r="JY304" s="53"/>
      <c r="JZ304" s="53"/>
      <c r="KA304" s="53"/>
      <c r="KB304" s="53"/>
      <c r="KC304" s="53"/>
      <c r="KD304" s="53"/>
      <c r="KE304" s="53"/>
      <c r="KF304" s="53"/>
      <c r="KG304" s="53"/>
      <c r="KH304" s="53"/>
      <c r="KI304" s="53"/>
      <c r="KJ304" s="53"/>
      <c r="KK304" s="53"/>
      <c r="KL304" s="53"/>
      <c r="KM304" s="53"/>
      <c r="KN304" s="53"/>
      <c r="KO304" s="53"/>
      <c r="KP304" s="53"/>
      <c r="KQ304" s="53"/>
      <c r="KR304" s="53"/>
      <c r="KS304" s="53"/>
      <c r="KT304" s="53"/>
      <c r="KU304" s="53"/>
      <c r="KV304" s="53"/>
      <c r="KW304" s="53"/>
      <c r="KX304" s="53"/>
      <c r="KY304" s="53"/>
      <c r="KZ304" s="53"/>
      <c r="LA304" s="53"/>
      <c r="LB304" s="53"/>
      <c r="LC304" s="53"/>
      <c r="LD304" s="53"/>
      <c r="LE304" s="53"/>
      <c r="LF304" s="53"/>
      <c r="LG304" s="53"/>
      <c r="LH304" s="53"/>
      <c r="LI304" s="53"/>
      <c r="LJ304" s="53"/>
      <c r="LK304" s="53"/>
      <c r="LL304" s="53"/>
      <c r="LM304" s="53"/>
      <c r="LN304" s="53"/>
      <c r="LO304" s="53"/>
      <c r="LP304" s="53"/>
      <c r="LQ304" s="53"/>
      <c r="LR304" s="53"/>
      <c r="LS304" s="53"/>
      <c r="LT304" s="53"/>
      <c r="LU304" s="53"/>
      <c r="LV304" s="53"/>
      <c r="LW304" s="53"/>
      <c r="LX304" s="53"/>
      <c r="LY304" s="53"/>
      <c r="LZ304" s="53"/>
      <c r="MA304" s="53"/>
      <c r="MB304" s="53"/>
      <c r="MC304" s="53"/>
      <c r="MD304" s="53"/>
      <c r="ME304" s="53"/>
      <c r="MF304" s="53"/>
      <c r="MG304" s="53"/>
      <c r="MH304" s="53"/>
      <c r="MI304" s="53"/>
      <c r="MJ304" s="53"/>
      <c r="MK304" s="53"/>
      <c r="ML304" s="53"/>
      <c r="MM304" s="53"/>
      <c r="MN304" s="53"/>
      <c r="MO304" s="53"/>
      <c r="MP304" s="53"/>
      <c r="MQ304" s="53"/>
      <c r="MR304" s="53"/>
      <c r="MS304" s="53"/>
      <c r="MT304" s="53"/>
      <c r="MU304" s="53"/>
      <c r="MV304" s="53"/>
      <c r="MW304" s="53"/>
      <c r="MX304" s="53"/>
      <c r="MY304" s="53"/>
      <c r="MZ304" s="53"/>
      <c r="NA304" s="53"/>
      <c r="NB304" s="53"/>
      <c r="NC304" s="53"/>
      <c r="ND304" s="53"/>
      <c r="NE304" s="53"/>
      <c r="NF304" s="53"/>
      <c r="NG304" s="53"/>
      <c r="NH304" s="53"/>
      <c r="NI304" s="53"/>
      <c r="NJ304" s="53"/>
      <c r="NK304" s="53"/>
      <c r="NL304" s="53"/>
      <c r="NM304" s="53"/>
      <c r="NN304" s="53"/>
      <c r="NO304" s="53"/>
      <c r="NP304" s="53"/>
      <c r="NQ304" s="53"/>
      <c r="NR304" s="53"/>
      <c r="NS304" s="53"/>
      <c r="NT304" s="53"/>
      <c r="NU304" s="53"/>
      <c r="NV304" s="53"/>
      <c r="NW304" s="53"/>
      <c r="NX304" s="53"/>
      <c r="NY304" s="53"/>
      <c r="NZ304" s="53"/>
      <c r="OA304" s="53"/>
      <c r="OB304" s="53"/>
      <c r="OC304" s="53"/>
      <c r="OD304" s="53"/>
      <c r="OE304" s="53"/>
      <c r="OF304" s="53"/>
      <c r="OG304" s="53"/>
      <c r="OH304" s="53"/>
      <c r="OI304" s="53"/>
      <c r="OJ304" s="53"/>
      <c r="OK304" s="53"/>
      <c r="OL304" s="53"/>
      <c r="OM304" s="53"/>
      <c r="ON304" s="53"/>
      <c r="OO304" s="53"/>
      <c r="OP304" s="53"/>
      <c r="OQ304" s="53"/>
      <c r="OR304" s="53"/>
      <c r="OS304" s="53"/>
      <c r="OT304" s="53"/>
      <c r="OU304" s="53"/>
      <c r="OV304" s="53"/>
      <c r="OW304" s="53"/>
      <c r="OX304" s="53"/>
      <c r="OY304" s="53"/>
      <c r="OZ304" s="53"/>
      <c r="PA304" s="53"/>
      <c r="PB304" s="53"/>
      <c r="PC304" s="53"/>
      <c r="PD304" s="53"/>
      <c r="PE304" s="53"/>
      <c r="PF304" s="53"/>
      <c r="PG304" s="53"/>
      <c r="PH304" s="53"/>
      <c r="PI304" s="53"/>
      <c r="PJ304" s="53"/>
      <c r="PK304" s="53"/>
      <c r="PL304" s="53"/>
      <c r="PM304" s="53"/>
      <c r="PN304" s="53"/>
      <c r="PO304" s="53"/>
      <c r="PP304" s="53"/>
      <c r="PQ304" s="53"/>
      <c r="PR304" s="53"/>
      <c r="PS304" s="53"/>
      <c r="PT304" s="53"/>
      <c r="PU304" s="53"/>
      <c r="PV304" s="53"/>
      <c r="PW304" s="53"/>
      <c r="PX304" s="53"/>
      <c r="PY304" s="53"/>
      <c r="PZ304" s="53"/>
      <c r="QA304" s="53"/>
      <c r="QB304" s="53"/>
      <c r="QC304" s="53"/>
      <c r="QD304" s="53"/>
      <c r="QE304" s="53"/>
      <c r="QF304" s="53"/>
      <c r="QG304" s="53"/>
      <c r="QH304" s="53"/>
      <c r="QI304" s="53"/>
      <c r="QJ304" s="53"/>
      <c r="QK304" s="53"/>
      <c r="QL304" s="53"/>
      <c r="QM304" s="53"/>
      <c r="QN304" s="53"/>
      <c r="QO304" s="53"/>
      <c r="QP304" s="53"/>
      <c r="QQ304" s="53"/>
      <c r="QR304" s="53"/>
      <c r="QS304" s="53"/>
      <c r="QT304" s="53"/>
      <c r="QU304" s="53"/>
      <c r="QV304" s="53"/>
      <c r="QW304" s="53"/>
      <c r="QX304" s="53"/>
      <c r="QY304" s="53"/>
      <c r="QZ304" s="53"/>
      <c r="RA304" s="53"/>
      <c r="RB304" s="53"/>
      <c r="RC304" s="53"/>
      <c r="RD304" s="53"/>
      <c r="RE304" s="53"/>
      <c r="RF304" s="53"/>
      <c r="RG304" s="53"/>
      <c r="RH304" s="53"/>
      <c r="RI304" s="53"/>
      <c r="RJ304" s="53"/>
      <c r="RK304" s="53"/>
      <c r="RL304" s="53"/>
      <c r="RM304" s="53"/>
      <c r="RN304" s="53"/>
      <c r="RO304" s="53"/>
      <c r="RP304" s="53"/>
      <c r="RQ304" s="53"/>
      <c r="RR304" s="53"/>
      <c r="RS304" s="53"/>
      <c r="RT304" s="53"/>
      <c r="RU304" s="53"/>
      <c r="RV304" s="53"/>
      <c r="RW304" s="53"/>
      <c r="RX304" s="53"/>
      <c r="RY304" s="53"/>
      <c r="RZ304" s="53"/>
      <c r="SA304" s="53"/>
      <c r="SB304" s="53"/>
      <c r="SC304" s="53"/>
      <c r="SD304" s="53"/>
      <c r="SE304" s="53"/>
      <c r="SF304" s="53"/>
      <c r="SG304" s="53"/>
      <c r="SH304" s="53"/>
      <c r="SI304" s="53"/>
      <c r="SJ304" s="53"/>
      <c r="SK304" s="53"/>
      <c r="SL304" s="53"/>
      <c r="SM304" s="53"/>
      <c r="SN304" s="53"/>
      <c r="SO304" s="53"/>
      <c r="SP304" s="53"/>
      <c r="SQ304" s="53"/>
      <c r="SR304" s="53"/>
      <c r="SS304" s="53"/>
      <c r="ST304" s="53"/>
      <c r="SU304" s="53"/>
      <c r="SV304" s="53"/>
      <c r="SW304" s="53"/>
      <c r="SX304" s="53"/>
      <c r="SY304" s="53"/>
      <c r="SZ304" s="53"/>
      <c r="TA304" s="53"/>
      <c r="TB304" s="53"/>
      <c r="TC304" s="53"/>
      <c r="TD304" s="53"/>
      <c r="TE304" s="53"/>
      <c r="TF304" s="53"/>
      <c r="TG304" s="53"/>
      <c r="TH304" s="53"/>
      <c r="TI304" s="53"/>
      <c r="TJ304" s="53"/>
      <c r="TK304" s="53"/>
      <c r="TL304" s="53"/>
      <c r="TM304" s="53"/>
      <c r="TN304" s="53"/>
      <c r="TO304" s="53"/>
      <c r="TP304" s="53"/>
      <c r="TQ304" s="53"/>
      <c r="TR304" s="53"/>
      <c r="TS304" s="53"/>
      <c r="TT304" s="53"/>
      <c r="TU304" s="53"/>
      <c r="TV304" s="53"/>
      <c r="TW304" s="53"/>
      <c r="TX304" s="53"/>
      <c r="TY304" s="53"/>
      <c r="TZ304" s="53"/>
      <c r="UA304" s="53"/>
      <c r="UB304" s="53"/>
      <c r="UC304" s="53"/>
      <c r="UD304" s="53"/>
      <c r="UE304" s="53"/>
      <c r="UF304" s="53"/>
      <c r="UG304" s="53"/>
      <c r="UH304" s="53"/>
      <c r="UI304" s="53"/>
      <c r="UJ304" s="53"/>
      <c r="UK304" s="53"/>
      <c r="UL304" s="53"/>
      <c r="UM304" s="53"/>
      <c r="UN304" s="53"/>
      <c r="UO304" s="53"/>
      <c r="UP304" s="53"/>
      <c r="UQ304" s="53"/>
      <c r="UR304" s="53"/>
      <c r="US304" s="53"/>
      <c r="UT304" s="53"/>
      <c r="UU304" s="53"/>
      <c r="UV304" s="53"/>
      <c r="UW304" s="53"/>
      <c r="UX304" s="53"/>
      <c r="UY304" s="53"/>
      <c r="UZ304" s="53"/>
      <c r="VA304" s="53"/>
      <c r="VB304" s="53"/>
      <c r="VC304" s="53"/>
      <c r="VD304" s="53"/>
      <c r="VE304" s="53"/>
      <c r="VF304" s="53"/>
      <c r="VG304" s="53"/>
      <c r="VH304" s="53"/>
      <c r="VI304" s="53"/>
      <c r="VJ304" s="53"/>
      <c r="VK304" s="53"/>
      <c r="VL304" s="53"/>
    </row>
    <row r="305" spans="1:584" s="47" customFormat="1" ht="26.25" customHeight="1" x14ac:dyDescent="0.25">
      <c r="A305" s="45" t="s">
        <v>287</v>
      </c>
      <c r="B305" s="91" t="str">
        <f>'дод 3'!A207</f>
        <v>8340</v>
      </c>
      <c r="C305" s="71" t="str">
        <f>'дод 3'!B207</f>
        <v>0540</v>
      </c>
      <c r="D305" s="48" t="str">
        <f>'дод 3'!C207</f>
        <v>Природоохоронні заходи за рахунок цільових фондів</v>
      </c>
      <c r="E305" s="115">
        <v>0</v>
      </c>
      <c r="F305" s="115"/>
      <c r="G305" s="115"/>
      <c r="H305" s="115"/>
      <c r="I305" s="115"/>
      <c r="J305" s="115"/>
      <c r="K305" s="164"/>
      <c r="L305" s="115">
        <f t="shared" si="71"/>
        <v>40000</v>
      </c>
      <c r="M305" s="115"/>
      <c r="N305" s="115">
        <v>40000</v>
      </c>
      <c r="O305" s="115"/>
      <c r="P305" s="115"/>
      <c r="Q305" s="115"/>
      <c r="R305" s="115">
        <f t="shared" si="72"/>
        <v>26000</v>
      </c>
      <c r="S305" s="115"/>
      <c r="T305" s="115">
        <v>26000</v>
      </c>
      <c r="U305" s="115"/>
      <c r="V305" s="115"/>
      <c r="W305" s="115"/>
      <c r="X305" s="166">
        <f t="shared" si="84"/>
        <v>65</v>
      </c>
      <c r="Y305" s="115">
        <f t="shared" si="108"/>
        <v>26000</v>
      </c>
      <c r="Z305" s="187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  <c r="DG305" s="53"/>
      <c r="DH305" s="53"/>
      <c r="DI305" s="53"/>
      <c r="DJ305" s="53"/>
      <c r="DK305" s="53"/>
      <c r="DL305" s="53"/>
      <c r="DM305" s="53"/>
      <c r="DN305" s="53"/>
      <c r="DO305" s="53"/>
      <c r="DP305" s="53"/>
      <c r="DQ305" s="53"/>
      <c r="DR305" s="53"/>
      <c r="DS305" s="53"/>
      <c r="DT305" s="53"/>
      <c r="DU305" s="53"/>
      <c r="DV305" s="53"/>
      <c r="DW305" s="53"/>
      <c r="DX305" s="53"/>
      <c r="DY305" s="53"/>
      <c r="DZ305" s="53"/>
      <c r="EA305" s="53"/>
      <c r="EB305" s="53"/>
      <c r="EC305" s="53"/>
      <c r="ED305" s="53"/>
      <c r="EE305" s="53"/>
      <c r="EF305" s="53"/>
      <c r="EG305" s="53"/>
      <c r="EH305" s="53"/>
      <c r="EI305" s="53"/>
      <c r="EJ305" s="53"/>
      <c r="EK305" s="53"/>
      <c r="EL305" s="53"/>
      <c r="EM305" s="53"/>
      <c r="EN305" s="53"/>
      <c r="EO305" s="53"/>
      <c r="EP305" s="53"/>
      <c r="EQ305" s="53"/>
      <c r="ER305" s="53"/>
      <c r="ES305" s="53"/>
      <c r="ET305" s="53"/>
      <c r="EU305" s="53"/>
      <c r="EV305" s="53"/>
      <c r="EW305" s="53"/>
      <c r="EX305" s="53"/>
      <c r="EY305" s="53"/>
      <c r="EZ305" s="53"/>
      <c r="FA305" s="53"/>
      <c r="FB305" s="53"/>
      <c r="FC305" s="53"/>
      <c r="FD305" s="53"/>
      <c r="FE305" s="53"/>
      <c r="FF305" s="53"/>
      <c r="FG305" s="53"/>
      <c r="FH305" s="53"/>
      <c r="FI305" s="53"/>
      <c r="FJ305" s="53"/>
      <c r="FK305" s="53"/>
      <c r="FL305" s="53"/>
      <c r="FM305" s="53"/>
      <c r="FN305" s="53"/>
      <c r="FO305" s="53"/>
      <c r="FP305" s="53"/>
      <c r="FQ305" s="53"/>
      <c r="FR305" s="53"/>
      <c r="FS305" s="53"/>
      <c r="FT305" s="53"/>
      <c r="FU305" s="53"/>
      <c r="FV305" s="53"/>
      <c r="FW305" s="53"/>
      <c r="FX305" s="53"/>
      <c r="FY305" s="53"/>
      <c r="FZ305" s="53"/>
      <c r="GA305" s="53"/>
      <c r="GB305" s="53"/>
      <c r="GC305" s="53"/>
      <c r="GD305" s="53"/>
      <c r="GE305" s="53"/>
      <c r="GF305" s="53"/>
      <c r="GG305" s="53"/>
      <c r="GH305" s="53"/>
      <c r="GI305" s="53"/>
      <c r="GJ305" s="53"/>
      <c r="GK305" s="53"/>
      <c r="GL305" s="53"/>
      <c r="GM305" s="53"/>
      <c r="GN305" s="53"/>
      <c r="GO305" s="53"/>
      <c r="GP305" s="53"/>
      <c r="GQ305" s="53"/>
      <c r="GR305" s="53"/>
      <c r="GS305" s="53"/>
      <c r="GT305" s="53"/>
      <c r="GU305" s="53"/>
      <c r="GV305" s="53"/>
      <c r="GW305" s="53"/>
      <c r="GX305" s="53"/>
      <c r="GY305" s="53"/>
      <c r="GZ305" s="53"/>
      <c r="HA305" s="53"/>
      <c r="HB305" s="53"/>
      <c r="HC305" s="53"/>
      <c r="HD305" s="53"/>
      <c r="HE305" s="53"/>
      <c r="HF305" s="53"/>
      <c r="HG305" s="53"/>
      <c r="HH305" s="53"/>
      <c r="HI305" s="53"/>
      <c r="HJ305" s="53"/>
      <c r="HK305" s="53"/>
      <c r="HL305" s="53"/>
      <c r="HM305" s="53"/>
      <c r="HN305" s="53"/>
      <c r="HO305" s="53"/>
      <c r="HP305" s="53"/>
      <c r="HQ305" s="53"/>
      <c r="HR305" s="53"/>
      <c r="HS305" s="53"/>
      <c r="HT305" s="53"/>
      <c r="HU305" s="53"/>
      <c r="HV305" s="53"/>
      <c r="HW305" s="53"/>
      <c r="HX305" s="53"/>
      <c r="HY305" s="53"/>
      <c r="HZ305" s="53"/>
      <c r="IA305" s="53"/>
      <c r="IB305" s="53"/>
      <c r="IC305" s="53"/>
      <c r="ID305" s="53"/>
      <c r="IE305" s="53"/>
      <c r="IF305" s="53"/>
      <c r="IG305" s="53"/>
      <c r="IH305" s="53"/>
      <c r="II305" s="53"/>
      <c r="IJ305" s="53"/>
      <c r="IK305" s="53"/>
      <c r="IL305" s="53"/>
      <c r="IM305" s="53"/>
      <c r="IN305" s="53"/>
      <c r="IO305" s="53"/>
      <c r="IP305" s="53"/>
      <c r="IQ305" s="53"/>
      <c r="IR305" s="53"/>
      <c r="IS305" s="53"/>
      <c r="IT305" s="53"/>
      <c r="IU305" s="53"/>
      <c r="IV305" s="53"/>
      <c r="IW305" s="53"/>
      <c r="IX305" s="53"/>
      <c r="IY305" s="53"/>
      <c r="IZ305" s="53"/>
      <c r="JA305" s="53"/>
      <c r="JB305" s="53"/>
      <c r="JC305" s="53"/>
      <c r="JD305" s="53"/>
      <c r="JE305" s="53"/>
      <c r="JF305" s="53"/>
      <c r="JG305" s="53"/>
      <c r="JH305" s="53"/>
      <c r="JI305" s="53"/>
      <c r="JJ305" s="53"/>
      <c r="JK305" s="53"/>
      <c r="JL305" s="53"/>
      <c r="JM305" s="53"/>
      <c r="JN305" s="53"/>
      <c r="JO305" s="53"/>
      <c r="JP305" s="53"/>
      <c r="JQ305" s="53"/>
      <c r="JR305" s="53"/>
      <c r="JS305" s="53"/>
      <c r="JT305" s="53"/>
      <c r="JU305" s="53"/>
      <c r="JV305" s="53"/>
      <c r="JW305" s="53"/>
      <c r="JX305" s="53"/>
      <c r="JY305" s="53"/>
      <c r="JZ305" s="53"/>
      <c r="KA305" s="53"/>
      <c r="KB305" s="53"/>
      <c r="KC305" s="53"/>
      <c r="KD305" s="53"/>
      <c r="KE305" s="53"/>
      <c r="KF305" s="53"/>
      <c r="KG305" s="53"/>
      <c r="KH305" s="53"/>
      <c r="KI305" s="53"/>
      <c r="KJ305" s="53"/>
      <c r="KK305" s="53"/>
      <c r="KL305" s="53"/>
      <c r="KM305" s="53"/>
      <c r="KN305" s="53"/>
      <c r="KO305" s="53"/>
      <c r="KP305" s="53"/>
      <c r="KQ305" s="53"/>
      <c r="KR305" s="53"/>
      <c r="KS305" s="53"/>
      <c r="KT305" s="53"/>
      <c r="KU305" s="53"/>
      <c r="KV305" s="53"/>
      <c r="KW305" s="53"/>
      <c r="KX305" s="53"/>
      <c r="KY305" s="53"/>
      <c r="KZ305" s="53"/>
      <c r="LA305" s="53"/>
      <c r="LB305" s="53"/>
      <c r="LC305" s="53"/>
      <c r="LD305" s="53"/>
      <c r="LE305" s="53"/>
      <c r="LF305" s="53"/>
      <c r="LG305" s="53"/>
      <c r="LH305" s="53"/>
      <c r="LI305" s="53"/>
      <c r="LJ305" s="53"/>
      <c r="LK305" s="53"/>
      <c r="LL305" s="53"/>
      <c r="LM305" s="53"/>
      <c r="LN305" s="53"/>
      <c r="LO305" s="53"/>
      <c r="LP305" s="53"/>
      <c r="LQ305" s="53"/>
      <c r="LR305" s="53"/>
      <c r="LS305" s="53"/>
      <c r="LT305" s="53"/>
      <c r="LU305" s="53"/>
      <c r="LV305" s="53"/>
      <c r="LW305" s="53"/>
      <c r="LX305" s="53"/>
      <c r="LY305" s="53"/>
      <c r="LZ305" s="53"/>
      <c r="MA305" s="53"/>
      <c r="MB305" s="53"/>
      <c r="MC305" s="53"/>
      <c r="MD305" s="53"/>
      <c r="ME305" s="53"/>
      <c r="MF305" s="53"/>
      <c r="MG305" s="53"/>
      <c r="MH305" s="53"/>
      <c r="MI305" s="53"/>
      <c r="MJ305" s="53"/>
      <c r="MK305" s="53"/>
      <c r="ML305" s="53"/>
      <c r="MM305" s="53"/>
      <c r="MN305" s="53"/>
      <c r="MO305" s="53"/>
      <c r="MP305" s="53"/>
      <c r="MQ305" s="53"/>
      <c r="MR305" s="53"/>
      <c r="MS305" s="53"/>
      <c r="MT305" s="53"/>
      <c r="MU305" s="53"/>
      <c r="MV305" s="53"/>
      <c r="MW305" s="53"/>
      <c r="MX305" s="53"/>
      <c r="MY305" s="53"/>
      <c r="MZ305" s="53"/>
      <c r="NA305" s="53"/>
      <c r="NB305" s="53"/>
      <c r="NC305" s="53"/>
      <c r="ND305" s="53"/>
      <c r="NE305" s="53"/>
      <c r="NF305" s="53"/>
      <c r="NG305" s="53"/>
      <c r="NH305" s="53"/>
      <c r="NI305" s="53"/>
      <c r="NJ305" s="53"/>
      <c r="NK305" s="53"/>
      <c r="NL305" s="53"/>
      <c r="NM305" s="53"/>
      <c r="NN305" s="53"/>
      <c r="NO305" s="53"/>
      <c r="NP305" s="53"/>
      <c r="NQ305" s="53"/>
      <c r="NR305" s="53"/>
      <c r="NS305" s="53"/>
      <c r="NT305" s="53"/>
      <c r="NU305" s="53"/>
      <c r="NV305" s="53"/>
      <c r="NW305" s="53"/>
      <c r="NX305" s="53"/>
      <c r="NY305" s="53"/>
      <c r="NZ305" s="53"/>
      <c r="OA305" s="53"/>
      <c r="OB305" s="53"/>
      <c r="OC305" s="53"/>
      <c r="OD305" s="53"/>
      <c r="OE305" s="53"/>
      <c r="OF305" s="53"/>
      <c r="OG305" s="53"/>
      <c r="OH305" s="53"/>
      <c r="OI305" s="53"/>
      <c r="OJ305" s="53"/>
      <c r="OK305" s="53"/>
      <c r="OL305" s="53"/>
      <c r="OM305" s="53"/>
      <c r="ON305" s="53"/>
      <c r="OO305" s="53"/>
      <c r="OP305" s="53"/>
      <c r="OQ305" s="53"/>
      <c r="OR305" s="53"/>
      <c r="OS305" s="53"/>
      <c r="OT305" s="53"/>
      <c r="OU305" s="53"/>
      <c r="OV305" s="53"/>
      <c r="OW305" s="53"/>
      <c r="OX305" s="53"/>
      <c r="OY305" s="53"/>
      <c r="OZ305" s="53"/>
      <c r="PA305" s="53"/>
      <c r="PB305" s="53"/>
      <c r="PC305" s="53"/>
      <c r="PD305" s="53"/>
      <c r="PE305" s="53"/>
      <c r="PF305" s="53"/>
      <c r="PG305" s="53"/>
      <c r="PH305" s="53"/>
      <c r="PI305" s="53"/>
      <c r="PJ305" s="53"/>
      <c r="PK305" s="53"/>
      <c r="PL305" s="53"/>
      <c r="PM305" s="53"/>
      <c r="PN305" s="53"/>
      <c r="PO305" s="53"/>
      <c r="PP305" s="53"/>
      <c r="PQ305" s="53"/>
      <c r="PR305" s="53"/>
      <c r="PS305" s="53"/>
      <c r="PT305" s="53"/>
      <c r="PU305" s="53"/>
      <c r="PV305" s="53"/>
      <c r="PW305" s="53"/>
      <c r="PX305" s="53"/>
      <c r="PY305" s="53"/>
      <c r="PZ305" s="53"/>
      <c r="QA305" s="53"/>
      <c r="QB305" s="53"/>
      <c r="QC305" s="53"/>
      <c r="QD305" s="53"/>
      <c r="QE305" s="53"/>
      <c r="QF305" s="53"/>
      <c r="QG305" s="53"/>
      <c r="QH305" s="53"/>
      <c r="QI305" s="53"/>
      <c r="QJ305" s="53"/>
      <c r="QK305" s="53"/>
      <c r="QL305" s="53"/>
      <c r="QM305" s="53"/>
      <c r="QN305" s="53"/>
      <c r="QO305" s="53"/>
      <c r="QP305" s="53"/>
      <c r="QQ305" s="53"/>
      <c r="QR305" s="53"/>
      <c r="QS305" s="53"/>
      <c r="QT305" s="53"/>
      <c r="QU305" s="53"/>
      <c r="QV305" s="53"/>
      <c r="QW305" s="53"/>
      <c r="QX305" s="53"/>
      <c r="QY305" s="53"/>
      <c r="QZ305" s="53"/>
      <c r="RA305" s="53"/>
      <c r="RB305" s="53"/>
      <c r="RC305" s="53"/>
      <c r="RD305" s="53"/>
      <c r="RE305" s="53"/>
      <c r="RF305" s="53"/>
      <c r="RG305" s="53"/>
      <c r="RH305" s="53"/>
      <c r="RI305" s="53"/>
      <c r="RJ305" s="53"/>
      <c r="RK305" s="53"/>
      <c r="RL305" s="53"/>
      <c r="RM305" s="53"/>
      <c r="RN305" s="53"/>
      <c r="RO305" s="53"/>
      <c r="RP305" s="53"/>
      <c r="RQ305" s="53"/>
      <c r="RR305" s="53"/>
      <c r="RS305" s="53"/>
      <c r="RT305" s="53"/>
      <c r="RU305" s="53"/>
      <c r="RV305" s="53"/>
      <c r="RW305" s="53"/>
      <c r="RX305" s="53"/>
      <c r="RY305" s="53"/>
      <c r="RZ305" s="53"/>
      <c r="SA305" s="53"/>
      <c r="SB305" s="53"/>
      <c r="SC305" s="53"/>
      <c r="SD305" s="53"/>
      <c r="SE305" s="53"/>
      <c r="SF305" s="53"/>
      <c r="SG305" s="53"/>
      <c r="SH305" s="53"/>
      <c r="SI305" s="53"/>
      <c r="SJ305" s="53"/>
      <c r="SK305" s="53"/>
      <c r="SL305" s="53"/>
      <c r="SM305" s="53"/>
      <c r="SN305" s="53"/>
      <c r="SO305" s="53"/>
      <c r="SP305" s="53"/>
      <c r="SQ305" s="53"/>
      <c r="SR305" s="53"/>
      <c r="SS305" s="53"/>
      <c r="ST305" s="53"/>
      <c r="SU305" s="53"/>
      <c r="SV305" s="53"/>
      <c r="SW305" s="53"/>
      <c r="SX305" s="53"/>
      <c r="SY305" s="53"/>
      <c r="SZ305" s="53"/>
      <c r="TA305" s="53"/>
      <c r="TB305" s="53"/>
      <c r="TC305" s="53"/>
      <c r="TD305" s="53"/>
      <c r="TE305" s="53"/>
      <c r="TF305" s="53"/>
      <c r="TG305" s="53"/>
      <c r="TH305" s="53"/>
      <c r="TI305" s="53"/>
      <c r="TJ305" s="53"/>
      <c r="TK305" s="53"/>
      <c r="TL305" s="53"/>
      <c r="TM305" s="53"/>
      <c r="TN305" s="53"/>
      <c r="TO305" s="53"/>
      <c r="TP305" s="53"/>
      <c r="TQ305" s="53"/>
      <c r="TR305" s="53"/>
      <c r="TS305" s="53"/>
      <c r="TT305" s="53"/>
      <c r="TU305" s="53"/>
      <c r="TV305" s="53"/>
      <c r="TW305" s="53"/>
      <c r="TX305" s="53"/>
      <c r="TY305" s="53"/>
      <c r="TZ305" s="53"/>
      <c r="UA305" s="53"/>
      <c r="UB305" s="53"/>
      <c r="UC305" s="53"/>
      <c r="UD305" s="53"/>
      <c r="UE305" s="53"/>
      <c r="UF305" s="53"/>
      <c r="UG305" s="53"/>
      <c r="UH305" s="53"/>
      <c r="UI305" s="53"/>
      <c r="UJ305" s="53"/>
      <c r="UK305" s="53"/>
      <c r="UL305" s="53"/>
      <c r="UM305" s="53"/>
      <c r="UN305" s="53"/>
      <c r="UO305" s="53"/>
      <c r="UP305" s="53"/>
      <c r="UQ305" s="53"/>
      <c r="UR305" s="53"/>
      <c r="US305" s="53"/>
      <c r="UT305" s="53"/>
      <c r="UU305" s="53"/>
      <c r="UV305" s="53"/>
      <c r="UW305" s="53"/>
      <c r="UX305" s="53"/>
      <c r="UY305" s="53"/>
      <c r="UZ305" s="53"/>
      <c r="VA305" s="53"/>
      <c r="VB305" s="53"/>
      <c r="VC305" s="53"/>
      <c r="VD305" s="53"/>
      <c r="VE305" s="53"/>
      <c r="VF305" s="53"/>
      <c r="VG305" s="53"/>
      <c r="VH305" s="53"/>
      <c r="VI305" s="53"/>
      <c r="VJ305" s="53"/>
      <c r="VK305" s="53"/>
      <c r="VL305" s="53"/>
    </row>
    <row r="306" spans="1:584" s="47" customFormat="1" ht="20.25" hidden="1" customHeight="1" x14ac:dyDescent="0.25">
      <c r="A306" s="71">
        <v>3718500</v>
      </c>
      <c r="B306" s="91">
        <v>8500</v>
      </c>
      <c r="C306" s="71" t="s">
        <v>68</v>
      </c>
      <c r="D306" s="48" t="s">
        <v>597</v>
      </c>
      <c r="E306" s="115">
        <v>0</v>
      </c>
      <c r="F306" s="115"/>
      <c r="G306" s="115"/>
      <c r="H306" s="115"/>
      <c r="I306" s="115"/>
      <c r="J306" s="115"/>
      <c r="K306" s="164" t="e">
        <f t="shared" si="83"/>
        <v>#DIV/0!</v>
      </c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66" t="e">
        <f t="shared" si="84"/>
        <v>#DIV/0!</v>
      </c>
      <c r="Y306" s="115">
        <f t="shared" si="108"/>
        <v>0</v>
      </c>
      <c r="Z306" s="187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  <c r="DL306" s="53"/>
      <c r="DM306" s="53"/>
      <c r="DN306" s="53"/>
      <c r="DO306" s="53"/>
      <c r="DP306" s="53"/>
      <c r="DQ306" s="53"/>
      <c r="DR306" s="53"/>
      <c r="DS306" s="53"/>
      <c r="DT306" s="53"/>
      <c r="DU306" s="53"/>
      <c r="DV306" s="53"/>
      <c r="DW306" s="53"/>
      <c r="DX306" s="53"/>
      <c r="DY306" s="53"/>
      <c r="DZ306" s="53"/>
      <c r="EA306" s="53"/>
      <c r="EB306" s="53"/>
      <c r="EC306" s="53"/>
      <c r="ED306" s="53"/>
      <c r="EE306" s="53"/>
      <c r="EF306" s="53"/>
      <c r="EG306" s="53"/>
      <c r="EH306" s="53"/>
      <c r="EI306" s="53"/>
      <c r="EJ306" s="53"/>
      <c r="EK306" s="53"/>
      <c r="EL306" s="53"/>
      <c r="EM306" s="53"/>
      <c r="EN306" s="53"/>
      <c r="EO306" s="53"/>
      <c r="EP306" s="53"/>
      <c r="EQ306" s="53"/>
      <c r="ER306" s="53"/>
      <c r="ES306" s="53"/>
      <c r="ET306" s="53"/>
      <c r="EU306" s="53"/>
      <c r="EV306" s="53"/>
      <c r="EW306" s="53"/>
      <c r="EX306" s="53"/>
      <c r="EY306" s="53"/>
      <c r="EZ306" s="53"/>
      <c r="FA306" s="53"/>
      <c r="FB306" s="53"/>
      <c r="FC306" s="53"/>
      <c r="FD306" s="53"/>
      <c r="FE306" s="53"/>
      <c r="FF306" s="53"/>
      <c r="FG306" s="53"/>
      <c r="FH306" s="53"/>
      <c r="FI306" s="53"/>
      <c r="FJ306" s="53"/>
      <c r="FK306" s="53"/>
      <c r="FL306" s="53"/>
      <c r="FM306" s="53"/>
      <c r="FN306" s="53"/>
      <c r="FO306" s="53"/>
      <c r="FP306" s="53"/>
      <c r="FQ306" s="53"/>
      <c r="FR306" s="53"/>
      <c r="FS306" s="53"/>
      <c r="FT306" s="53"/>
      <c r="FU306" s="53"/>
      <c r="FV306" s="53"/>
      <c r="FW306" s="53"/>
      <c r="FX306" s="53"/>
      <c r="FY306" s="53"/>
      <c r="FZ306" s="53"/>
      <c r="GA306" s="53"/>
      <c r="GB306" s="53"/>
      <c r="GC306" s="53"/>
      <c r="GD306" s="53"/>
      <c r="GE306" s="53"/>
      <c r="GF306" s="53"/>
      <c r="GG306" s="53"/>
      <c r="GH306" s="53"/>
      <c r="GI306" s="53"/>
      <c r="GJ306" s="53"/>
      <c r="GK306" s="53"/>
      <c r="GL306" s="53"/>
      <c r="GM306" s="53"/>
      <c r="GN306" s="53"/>
      <c r="GO306" s="53"/>
      <c r="GP306" s="53"/>
      <c r="GQ306" s="53"/>
      <c r="GR306" s="53"/>
      <c r="GS306" s="53"/>
      <c r="GT306" s="53"/>
      <c r="GU306" s="53"/>
      <c r="GV306" s="53"/>
      <c r="GW306" s="53"/>
      <c r="GX306" s="53"/>
      <c r="GY306" s="53"/>
      <c r="GZ306" s="53"/>
      <c r="HA306" s="53"/>
      <c r="HB306" s="53"/>
      <c r="HC306" s="53"/>
      <c r="HD306" s="53"/>
      <c r="HE306" s="53"/>
      <c r="HF306" s="53"/>
      <c r="HG306" s="53"/>
      <c r="HH306" s="53"/>
      <c r="HI306" s="53"/>
      <c r="HJ306" s="53"/>
      <c r="HK306" s="53"/>
      <c r="HL306" s="53"/>
      <c r="HM306" s="53"/>
      <c r="HN306" s="53"/>
      <c r="HO306" s="53"/>
      <c r="HP306" s="53"/>
      <c r="HQ306" s="53"/>
      <c r="HR306" s="53"/>
      <c r="HS306" s="53"/>
      <c r="HT306" s="53"/>
      <c r="HU306" s="53"/>
      <c r="HV306" s="53"/>
      <c r="HW306" s="53"/>
      <c r="HX306" s="53"/>
      <c r="HY306" s="53"/>
      <c r="HZ306" s="53"/>
      <c r="IA306" s="53"/>
      <c r="IB306" s="53"/>
      <c r="IC306" s="53"/>
      <c r="ID306" s="53"/>
      <c r="IE306" s="53"/>
      <c r="IF306" s="53"/>
      <c r="IG306" s="53"/>
      <c r="IH306" s="53"/>
      <c r="II306" s="53"/>
      <c r="IJ306" s="53"/>
      <c r="IK306" s="53"/>
      <c r="IL306" s="53"/>
      <c r="IM306" s="53"/>
      <c r="IN306" s="53"/>
      <c r="IO306" s="53"/>
      <c r="IP306" s="53"/>
      <c r="IQ306" s="53"/>
      <c r="IR306" s="53"/>
      <c r="IS306" s="53"/>
      <c r="IT306" s="53"/>
      <c r="IU306" s="53"/>
      <c r="IV306" s="53"/>
      <c r="IW306" s="53"/>
      <c r="IX306" s="53"/>
      <c r="IY306" s="53"/>
      <c r="IZ306" s="53"/>
      <c r="JA306" s="53"/>
      <c r="JB306" s="53"/>
      <c r="JC306" s="53"/>
      <c r="JD306" s="53"/>
      <c r="JE306" s="53"/>
      <c r="JF306" s="53"/>
      <c r="JG306" s="53"/>
      <c r="JH306" s="53"/>
      <c r="JI306" s="53"/>
      <c r="JJ306" s="53"/>
      <c r="JK306" s="53"/>
      <c r="JL306" s="53"/>
      <c r="JM306" s="53"/>
      <c r="JN306" s="53"/>
      <c r="JO306" s="53"/>
      <c r="JP306" s="53"/>
      <c r="JQ306" s="53"/>
      <c r="JR306" s="53"/>
      <c r="JS306" s="53"/>
      <c r="JT306" s="53"/>
      <c r="JU306" s="53"/>
      <c r="JV306" s="53"/>
      <c r="JW306" s="53"/>
      <c r="JX306" s="53"/>
      <c r="JY306" s="53"/>
      <c r="JZ306" s="53"/>
      <c r="KA306" s="53"/>
      <c r="KB306" s="53"/>
      <c r="KC306" s="53"/>
      <c r="KD306" s="53"/>
      <c r="KE306" s="53"/>
      <c r="KF306" s="53"/>
      <c r="KG306" s="53"/>
      <c r="KH306" s="53"/>
      <c r="KI306" s="53"/>
      <c r="KJ306" s="53"/>
      <c r="KK306" s="53"/>
      <c r="KL306" s="53"/>
      <c r="KM306" s="53"/>
      <c r="KN306" s="53"/>
      <c r="KO306" s="53"/>
      <c r="KP306" s="53"/>
      <c r="KQ306" s="53"/>
      <c r="KR306" s="53"/>
      <c r="KS306" s="53"/>
      <c r="KT306" s="53"/>
      <c r="KU306" s="53"/>
      <c r="KV306" s="53"/>
      <c r="KW306" s="53"/>
      <c r="KX306" s="53"/>
      <c r="KY306" s="53"/>
      <c r="KZ306" s="53"/>
      <c r="LA306" s="53"/>
      <c r="LB306" s="53"/>
      <c r="LC306" s="53"/>
      <c r="LD306" s="53"/>
      <c r="LE306" s="53"/>
      <c r="LF306" s="53"/>
      <c r="LG306" s="53"/>
      <c r="LH306" s="53"/>
      <c r="LI306" s="53"/>
      <c r="LJ306" s="53"/>
      <c r="LK306" s="53"/>
      <c r="LL306" s="53"/>
      <c r="LM306" s="53"/>
      <c r="LN306" s="53"/>
      <c r="LO306" s="53"/>
      <c r="LP306" s="53"/>
      <c r="LQ306" s="53"/>
      <c r="LR306" s="53"/>
      <c r="LS306" s="53"/>
      <c r="LT306" s="53"/>
      <c r="LU306" s="53"/>
      <c r="LV306" s="53"/>
      <c r="LW306" s="53"/>
      <c r="LX306" s="53"/>
      <c r="LY306" s="53"/>
      <c r="LZ306" s="53"/>
      <c r="MA306" s="53"/>
      <c r="MB306" s="53"/>
      <c r="MC306" s="53"/>
      <c r="MD306" s="53"/>
      <c r="ME306" s="53"/>
      <c r="MF306" s="53"/>
      <c r="MG306" s="53"/>
      <c r="MH306" s="53"/>
      <c r="MI306" s="53"/>
      <c r="MJ306" s="53"/>
      <c r="MK306" s="53"/>
      <c r="ML306" s="53"/>
      <c r="MM306" s="53"/>
      <c r="MN306" s="53"/>
      <c r="MO306" s="53"/>
      <c r="MP306" s="53"/>
      <c r="MQ306" s="53"/>
      <c r="MR306" s="53"/>
      <c r="MS306" s="53"/>
      <c r="MT306" s="53"/>
      <c r="MU306" s="53"/>
      <c r="MV306" s="53"/>
      <c r="MW306" s="53"/>
      <c r="MX306" s="53"/>
      <c r="MY306" s="53"/>
      <c r="MZ306" s="53"/>
      <c r="NA306" s="53"/>
      <c r="NB306" s="53"/>
      <c r="NC306" s="53"/>
      <c r="ND306" s="53"/>
      <c r="NE306" s="53"/>
      <c r="NF306" s="53"/>
      <c r="NG306" s="53"/>
      <c r="NH306" s="53"/>
      <c r="NI306" s="53"/>
      <c r="NJ306" s="53"/>
      <c r="NK306" s="53"/>
      <c r="NL306" s="53"/>
      <c r="NM306" s="53"/>
      <c r="NN306" s="53"/>
      <c r="NO306" s="53"/>
      <c r="NP306" s="53"/>
      <c r="NQ306" s="53"/>
      <c r="NR306" s="53"/>
      <c r="NS306" s="53"/>
      <c r="NT306" s="53"/>
      <c r="NU306" s="53"/>
      <c r="NV306" s="53"/>
      <c r="NW306" s="53"/>
      <c r="NX306" s="53"/>
      <c r="NY306" s="53"/>
      <c r="NZ306" s="53"/>
      <c r="OA306" s="53"/>
      <c r="OB306" s="53"/>
      <c r="OC306" s="53"/>
      <c r="OD306" s="53"/>
      <c r="OE306" s="53"/>
      <c r="OF306" s="53"/>
      <c r="OG306" s="53"/>
      <c r="OH306" s="53"/>
      <c r="OI306" s="53"/>
      <c r="OJ306" s="53"/>
      <c r="OK306" s="53"/>
      <c r="OL306" s="53"/>
      <c r="OM306" s="53"/>
      <c r="ON306" s="53"/>
      <c r="OO306" s="53"/>
      <c r="OP306" s="53"/>
      <c r="OQ306" s="53"/>
      <c r="OR306" s="53"/>
      <c r="OS306" s="53"/>
      <c r="OT306" s="53"/>
      <c r="OU306" s="53"/>
      <c r="OV306" s="53"/>
      <c r="OW306" s="53"/>
      <c r="OX306" s="53"/>
      <c r="OY306" s="53"/>
      <c r="OZ306" s="53"/>
      <c r="PA306" s="53"/>
      <c r="PB306" s="53"/>
      <c r="PC306" s="53"/>
      <c r="PD306" s="53"/>
      <c r="PE306" s="53"/>
      <c r="PF306" s="53"/>
      <c r="PG306" s="53"/>
      <c r="PH306" s="53"/>
      <c r="PI306" s="53"/>
      <c r="PJ306" s="53"/>
      <c r="PK306" s="53"/>
      <c r="PL306" s="53"/>
      <c r="PM306" s="53"/>
      <c r="PN306" s="53"/>
      <c r="PO306" s="53"/>
      <c r="PP306" s="53"/>
      <c r="PQ306" s="53"/>
      <c r="PR306" s="53"/>
      <c r="PS306" s="53"/>
      <c r="PT306" s="53"/>
      <c r="PU306" s="53"/>
      <c r="PV306" s="53"/>
      <c r="PW306" s="53"/>
      <c r="PX306" s="53"/>
      <c r="PY306" s="53"/>
      <c r="PZ306" s="53"/>
      <c r="QA306" s="53"/>
      <c r="QB306" s="53"/>
      <c r="QC306" s="53"/>
      <c r="QD306" s="53"/>
      <c r="QE306" s="53"/>
      <c r="QF306" s="53"/>
      <c r="QG306" s="53"/>
      <c r="QH306" s="53"/>
      <c r="QI306" s="53"/>
      <c r="QJ306" s="53"/>
      <c r="QK306" s="53"/>
      <c r="QL306" s="53"/>
      <c r="QM306" s="53"/>
      <c r="QN306" s="53"/>
      <c r="QO306" s="53"/>
      <c r="QP306" s="53"/>
      <c r="QQ306" s="53"/>
      <c r="QR306" s="53"/>
      <c r="QS306" s="53"/>
      <c r="QT306" s="53"/>
      <c r="QU306" s="53"/>
      <c r="QV306" s="53"/>
      <c r="QW306" s="53"/>
      <c r="QX306" s="53"/>
      <c r="QY306" s="53"/>
      <c r="QZ306" s="53"/>
      <c r="RA306" s="53"/>
      <c r="RB306" s="53"/>
      <c r="RC306" s="53"/>
      <c r="RD306" s="53"/>
      <c r="RE306" s="53"/>
      <c r="RF306" s="53"/>
      <c r="RG306" s="53"/>
      <c r="RH306" s="53"/>
      <c r="RI306" s="53"/>
      <c r="RJ306" s="53"/>
      <c r="RK306" s="53"/>
      <c r="RL306" s="53"/>
      <c r="RM306" s="53"/>
      <c r="RN306" s="53"/>
      <c r="RO306" s="53"/>
      <c r="RP306" s="53"/>
      <c r="RQ306" s="53"/>
      <c r="RR306" s="53"/>
      <c r="RS306" s="53"/>
      <c r="RT306" s="53"/>
      <c r="RU306" s="53"/>
      <c r="RV306" s="53"/>
      <c r="RW306" s="53"/>
      <c r="RX306" s="53"/>
      <c r="RY306" s="53"/>
      <c r="RZ306" s="53"/>
      <c r="SA306" s="53"/>
      <c r="SB306" s="53"/>
      <c r="SC306" s="53"/>
      <c r="SD306" s="53"/>
      <c r="SE306" s="53"/>
      <c r="SF306" s="53"/>
      <c r="SG306" s="53"/>
      <c r="SH306" s="53"/>
      <c r="SI306" s="53"/>
      <c r="SJ306" s="53"/>
      <c r="SK306" s="53"/>
      <c r="SL306" s="53"/>
      <c r="SM306" s="53"/>
      <c r="SN306" s="53"/>
      <c r="SO306" s="53"/>
      <c r="SP306" s="53"/>
      <c r="SQ306" s="53"/>
      <c r="SR306" s="53"/>
      <c r="SS306" s="53"/>
      <c r="ST306" s="53"/>
      <c r="SU306" s="53"/>
      <c r="SV306" s="53"/>
      <c r="SW306" s="53"/>
      <c r="SX306" s="53"/>
      <c r="SY306" s="53"/>
      <c r="SZ306" s="53"/>
      <c r="TA306" s="53"/>
      <c r="TB306" s="53"/>
      <c r="TC306" s="53"/>
      <c r="TD306" s="53"/>
      <c r="TE306" s="53"/>
      <c r="TF306" s="53"/>
      <c r="TG306" s="53"/>
      <c r="TH306" s="53"/>
      <c r="TI306" s="53"/>
      <c r="TJ306" s="53"/>
      <c r="TK306" s="53"/>
      <c r="TL306" s="53"/>
      <c r="TM306" s="53"/>
      <c r="TN306" s="53"/>
      <c r="TO306" s="53"/>
      <c r="TP306" s="53"/>
      <c r="TQ306" s="53"/>
      <c r="TR306" s="53"/>
      <c r="TS306" s="53"/>
      <c r="TT306" s="53"/>
      <c r="TU306" s="53"/>
      <c r="TV306" s="53"/>
      <c r="TW306" s="53"/>
      <c r="TX306" s="53"/>
      <c r="TY306" s="53"/>
      <c r="TZ306" s="53"/>
      <c r="UA306" s="53"/>
      <c r="UB306" s="53"/>
      <c r="UC306" s="53"/>
      <c r="UD306" s="53"/>
      <c r="UE306" s="53"/>
      <c r="UF306" s="53"/>
      <c r="UG306" s="53"/>
      <c r="UH306" s="53"/>
      <c r="UI306" s="53"/>
      <c r="UJ306" s="53"/>
      <c r="UK306" s="53"/>
      <c r="UL306" s="53"/>
      <c r="UM306" s="53"/>
      <c r="UN306" s="53"/>
      <c r="UO306" s="53"/>
      <c r="UP306" s="53"/>
      <c r="UQ306" s="53"/>
      <c r="UR306" s="53"/>
      <c r="US306" s="53"/>
      <c r="UT306" s="53"/>
      <c r="UU306" s="53"/>
      <c r="UV306" s="53"/>
      <c r="UW306" s="53"/>
      <c r="UX306" s="53"/>
      <c r="UY306" s="53"/>
      <c r="UZ306" s="53"/>
      <c r="VA306" s="53"/>
      <c r="VB306" s="53"/>
      <c r="VC306" s="53"/>
      <c r="VD306" s="53"/>
      <c r="VE306" s="53"/>
      <c r="VF306" s="53"/>
      <c r="VG306" s="53"/>
      <c r="VH306" s="53"/>
      <c r="VI306" s="53"/>
      <c r="VJ306" s="53"/>
      <c r="VK306" s="53"/>
      <c r="VL306" s="53"/>
    </row>
    <row r="307" spans="1:584" s="47" customFormat="1" ht="20.25" hidden="1" customHeight="1" x14ac:dyDescent="0.25">
      <c r="A307" s="45"/>
      <c r="B307" s="91"/>
      <c r="C307" s="91"/>
      <c r="D307" s="46" t="s">
        <v>342</v>
      </c>
      <c r="E307" s="115">
        <v>0</v>
      </c>
      <c r="F307" s="115"/>
      <c r="G307" s="115"/>
      <c r="H307" s="115"/>
      <c r="I307" s="115"/>
      <c r="J307" s="115"/>
      <c r="K307" s="164" t="e">
        <f t="shared" si="83"/>
        <v>#DIV/0!</v>
      </c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66" t="e">
        <f t="shared" si="84"/>
        <v>#DIV/0!</v>
      </c>
      <c r="Y307" s="115">
        <f t="shared" si="108"/>
        <v>0</v>
      </c>
      <c r="Z307" s="187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53"/>
      <c r="DD307" s="53"/>
      <c r="DE307" s="53"/>
      <c r="DF307" s="53"/>
      <c r="DG307" s="53"/>
      <c r="DH307" s="53"/>
      <c r="DI307" s="53"/>
      <c r="DJ307" s="53"/>
      <c r="DK307" s="53"/>
      <c r="DL307" s="53"/>
      <c r="DM307" s="53"/>
      <c r="DN307" s="53"/>
      <c r="DO307" s="53"/>
      <c r="DP307" s="53"/>
      <c r="DQ307" s="53"/>
      <c r="DR307" s="53"/>
      <c r="DS307" s="53"/>
      <c r="DT307" s="53"/>
      <c r="DU307" s="53"/>
      <c r="DV307" s="53"/>
      <c r="DW307" s="53"/>
      <c r="DX307" s="53"/>
      <c r="DY307" s="53"/>
      <c r="DZ307" s="53"/>
      <c r="EA307" s="53"/>
      <c r="EB307" s="53"/>
      <c r="EC307" s="53"/>
      <c r="ED307" s="53"/>
      <c r="EE307" s="53"/>
      <c r="EF307" s="53"/>
      <c r="EG307" s="53"/>
      <c r="EH307" s="53"/>
      <c r="EI307" s="53"/>
      <c r="EJ307" s="53"/>
      <c r="EK307" s="53"/>
      <c r="EL307" s="53"/>
      <c r="EM307" s="53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53"/>
      <c r="EY307" s="53"/>
      <c r="EZ307" s="53"/>
      <c r="FA307" s="53"/>
      <c r="FB307" s="53"/>
      <c r="FC307" s="53"/>
      <c r="FD307" s="53"/>
      <c r="FE307" s="53"/>
      <c r="FF307" s="53"/>
      <c r="FG307" s="53"/>
      <c r="FH307" s="53"/>
      <c r="FI307" s="53"/>
      <c r="FJ307" s="53"/>
      <c r="FK307" s="53"/>
      <c r="FL307" s="53"/>
      <c r="FM307" s="53"/>
      <c r="FN307" s="53"/>
      <c r="FO307" s="53"/>
      <c r="FP307" s="53"/>
      <c r="FQ307" s="53"/>
      <c r="FR307" s="53"/>
      <c r="FS307" s="53"/>
      <c r="FT307" s="53"/>
      <c r="FU307" s="53"/>
      <c r="FV307" s="53"/>
      <c r="FW307" s="53"/>
      <c r="FX307" s="53"/>
      <c r="FY307" s="53"/>
      <c r="FZ307" s="53"/>
      <c r="GA307" s="53"/>
      <c r="GB307" s="53"/>
      <c r="GC307" s="53"/>
      <c r="GD307" s="53"/>
      <c r="GE307" s="53"/>
      <c r="GF307" s="53"/>
      <c r="GG307" s="53"/>
      <c r="GH307" s="53"/>
      <c r="GI307" s="53"/>
      <c r="GJ307" s="53"/>
      <c r="GK307" s="53"/>
      <c r="GL307" s="53"/>
      <c r="GM307" s="53"/>
      <c r="GN307" s="53"/>
      <c r="GO307" s="53"/>
      <c r="GP307" s="53"/>
      <c r="GQ307" s="53"/>
      <c r="GR307" s="53"/>
      <c r="GS307" s="53"/>
      <c r="GT307" s="53"/>
      <c r="GU307" s="53"/>
      <c r="GV307" s="53"/>
      <c r="GW307" s="53"/>
      <c r="GX307" s="53"/>
      <c r="GY307" s="53"/>
      <c r="GZ307" s="53"/>
      <c r="HA307" s="53"/>
      <c r="HB307" s="53"/>
      <c r="HC307" s="53"/>
      <c r="HD307" s="53"/>
      <c r="HE307" s="53"/>
      <c r="HF307" s="53"/>
      <c r="HG307" s="53"/>
      <c r="HH307" s="53"/>
      <c r="HI307" s="53"/>
      <c r="HJ307" s="53"/>
      <c r="HK307" s="53"/>
      <c r="HL307" s="53"/>
      <c r="HM307" s="53"/>
      <c r="HN307" s="53"/>
      <c r="HO307" s="53"/>
      <c r="HP307" s="53"/>
      <c r="HQ307" s="53"/>
      <c r="HR307" s="53"/>
      <c r="HS307" s="53"/>
      <c r="HT307" s="53"/>
      <c r="HU307" s="53"/>
      <c r="HV307" s="53"/>
      <c r="HW307" s="53"/>
      <c r="HX307" s="53"/>
      <c r="HY307" s="53"/>
      <c r="HZ307" s="53"/>
      <c r="IA307" s="53"/>
      <c r="IB307" s="53"/>
      <c r="IC307" s="53"/>
      <c r="ID307" s="53"/>
      <c r="IE307" s="53"/>
      <c r="IF307" s="53"/>
      <c r="IG307" s="53"/>
      <c r="IH307" s="53"/>
      <c r="II307" s="53"/>
      <c r="IJ307" s="53"/>
      <c r="IK307" s="53"/>
      <c r="IL307" s="53"/>
      <c r="IM307" s="53"/>
      <c r="IN307" s="53"/>
      <c r="IO307" s="53"/>
      <c r="IP307" s="53"/>
      <c r="IQ307" s="53"/>
      <c r="IR307" s="53"/>
      <c r="IS307" s="53"/>
      <c r="IT307" s="53"/>
      <c r="IU307" s="53"/>
      <c r="IV307" s="53"/>
      <c r="IW307" s="53"/>
      <c r="IX307" s="53"/>
      <c r="IY307" s="53"/>
      <c r="IZ307" s="53"/>
      <c r="JA307" s="53"/>
      <c r="JB307" s="53"/>
      <c r="JC307" s="53"/>
      <c r="JD307" s="53"/>
      <c r="JE307" s="53"/>
      <c r="JF307" s="53"/>
      <c r="JG307" s="53"/>
      <c r="JH307" s="53"/>
      <c r="JI307" s="53"/>
      <c r="JJ307" s="53"/>
      <c r="JK307" s="53"/>
      <c r="JL307" s="53"/>
      <c r="JM307" s="53"/>
      <c r="JN307" s="53"/>
      <c r="JO307" s="53"/>
      <c r="JP307" s="53"/>
      <c r="JQ307" s="53"/>
      <c r="JR307" s="53"/>
      <c r="JS307" s="53"/>
      <c r="JT307" s="53"/>
      <c r="JU307" s="53"/>
      <c r="JV307" s="53"/>
      <c r="JW307" s="53"/>
      <c r="JX307" s="53"/>
      <c r="JY307" s="53"/>
      <c r="JZ307" s="53"/>
      <c r="KA307" s="53"/>
      <c r="KB307" s="53"/>
      <c r="KC307" s="53"/>
      <c r="KD307" s="53"/>
      <c r="KE307" s="53"/>
      <c r="KF307" s="53"/>
      <c r="KG307" s="53"/>
      <c r="KH307" s="53"/>
      <c r="KI307" s="53"/>
      <c r="KJ307" s="53"/>
      <c r="KK307" s="53"/>
      <c r="KL307" s="53"/>
      <c r="KM307" s="53"/>
      <c r="KN307" s="53"/>
      <c r="KO307" s="53"/>
      <c r="KP307" s="53"/>
      <c r="KQ307" s="53"/>
      <c r="KR307" s="53"/>
      <c r="KS307" s="53"/>
      <c r="KT307" s="53"/>
      <c r="KU307" s="53"/>
      <c r="KV307" s="53"/>
      <c r="KW307" s="53"/>
      <c r="KX307" s="53"/>
      <c r="KY307" s="53"/>
      <c r="KZ307" s="53"/>
      <c r="LA307" s="53"/>
      <c r="LB307" s="53"/>
      <c r="LC307" s="53"/>
      <c r="LD307" s="53"/>
      <c r="LE307" s="53"/>
      <c r="LF307" s="53"/>
      <c r="LG307" s="53"/>
      <c r="LH307" s="53"/>
      <c r="LI307" s="53"/>
      <c r="LJ307" s="53"/>
      <c r="LK307" s="53"/>
      <c r="LL307" s="53"/>
      <c r="LM307" s="53"/>
      <c r="LN307" s="53"/>
      <c r="LO307" s="53"/>
      <c r="LP307" s="53"/>
      <c r="LQ307" s="53"/>
      <c r="LR307" s="53"/>
      <c r="LS307" s="53"/>
      <c r="LT307" s="53"/>
      <c r="LU307" s="53"/>
      <c r="LV307" s="53"/>
      <c r="LW307" s="53"/>
      <c r="LX307" s="53"/>
      <c r="LY307" s="53"/>
      <c r="LZ307" s="53"/>
      <c r="MA307" s="53"/>
      <c r="MB307" s="53"/>
      <c r="MC307" s="53"/>
      <c r="MD307" s="53"/>
      <c r="ME307" s="53"/>
      <c r="MF307" s="53"/>
      <c r="MG307" s="53"/>
      <c r="MH307" s="53"/>
      <c r="MI307" s="53"/>
      <c r="MJ307" s="53"/>
      <c r="MK307" s="53"/>
      <c r="ML307" s="53"/>
      <c r="MM307" s="53"/>
      <c r="MN307" s="53"/>
      <c r="MO307" s="53"/>
      <c r="MP307" s="53"/>
      <c r="MQ307" s="53"/>
      <c r="MR307" s="53"/>
      <c r="MS307" s="53"/>
      <c r="MT307" s="53"/>
      <c r="MU307" s="53"/>
      <c r="MV307" s="53"/>
      <c r="MW307" s="53"/>
      <c r="MX307" s="53"/>
      <c r="MY307" s="53"/>
      <c r="MZ307" s="53"/>
      <c r="NA307" s="53"/>
      <c r="NB307" s="53"/>
      <c r="NC307" s="53"/>
      <c r="ND307" s="53"/>
      <c r="NE307" s="53"/>
      <c r="NF307" s="53"/>
      <c r="NG307" s="53"/>
      <c r="NH307" s="53"/>
      <c r="NI307" s="53"/>
      <c r="NJ307" s="53"/>
      <c r="NK307" s="53"/>
      <c r="NL307" s="53"/>
      <c r="NM307" s="53"/>
      <c r="NN307" s="53"/>
      <c r="NO307" s="53"/>
      <c r="NP307" s="53"/>
      <c r="NQ307" s="53"/>
      <c r="NR307" s="53"/>
      <c r="NS307" s="53"/>
      <c r="NT307" s="53"/>
      <c r="NU307" s="53"/>
      <c r="NV307" s="53"/>
      <c r="NW307" s="53"/>
      <c r="NX307" s="53"/>
      <c r="NY307" s="53"/>
      <c r="NZ307" s="53"/>
      <c r="OA307" s="53"/>
      <c r="OB307" s="53"/>
      <c r="OC307" s="53"/>
      <c r="OD307" s="53"/>
      <c r="OE307" s="53"/>
      <c r="OF307" s="53"/>
      <c r="OG307" s="53"/>
      <c r="OH307" s="53"/>
      <c r="OI307" s="53"/>
      <c r="OJ307" s="53"/>
      <c r="OK307" s="53"/>
      <c r="OL307" s="53"/>
      <c r="OM307" s="53"/>
      <c r="ON307" s="53"/>
      <c r="OO307" s="53"/>
      <c r="OP307" s="53"/>
      <c r="OQ307" s="53"/>
      <c r="OR307" s="53"/>
      <c r="OS307" s="53"/>
      <c r="OT307" s="53"/>
      <c r="OU307" s="53"/>
      <c r="OV307" s="53"/>
      <c r="OW307" s="53"/>
      <c r="OX307" s="53"/>
      <c r="OY307" s="53"/>
      <c r="OZ307" s="53"/>
      <c r="PA307" s="53"/>
      <c r="PB307" s="53"/>
      <c r="PC307" s="53"/>
      <c r="PD307" s="53"/>
      <c r="PE307" s="53"/>
      <c r="PF307" s="53"/>
      <c r="PG307" s="53"/>
      <c r="PH307" s="53"/>
      <c r="PI307" s="53"/>
      <c r="PJ307" s="53"/>
      <c r="PK307" s="53"/>
      <c r="PL307" s="53"/>
      <c r="PM307" s="53"/>
      <c r="PN307" s="53"/>
      <c r="PO307" s="53"/>
      <c r="PP307" s="53"/>
      <c r="PQ307" s="53"/>
      <c r="PR307" s="53"/>
      <c r="PS307" s="53"/>
      <c r="PT307" s="53"/>
      <c r="PU307" s="53"/>
      <c r="PV307" s="53"/>
      <c r="PW307" s="53"/>
      <c r="PX307" s="53"/>
      <c r="PY307" s="53"/>
      <c r="PZ307" s="53"/>
      <c r="QA307" s="53"/>
      <c r="QB307" s="53"/>
      <c r="QC307" s="53"/>
      <c r="QD307" s="53"/>
      <c r="QE307" s="53"/>
      <c r="QF307" s="53"/>
      <c r="QG307" s="53"/>
      <c r="QH307" s="53"/>
      <c r="QI307" s="53"/>
      <c r="QJ307" s="53"/>
      <c r="QK307" s="53"/>
      <c r="QL307" s="53"/>
      <c r="QM307" s="53"/>
      <c r="QN307" s="53"/>
      <c r="QO307" s="53"/>
      <c r="QP307" s="53"/>
      <c r="QQ307" s="53"/>
      <c r="QR307" s="53"/>
      <c r="QS307" s="53"/>
      <c r="QT307" s="53"/>
      <c r="QU307" s="53"/>
      <c r="QV307" s="53"/>
      <c r="QW307" s="53"/>
      <c r="QX307" s="53"/>
      <c r="QY307" s="53"/>
      <c r="QZ307" s="53"/>
      <c r="RA307" s="53"/>
      <c r="RB307" s="53"/>
      <c r="RC307" s="53"/>
      <c r="RD307" s="53"/>
      <c r="RE307" s="53"/>
      <c r="RF307" s="53"/>
      <c r="RG307" s="53"/>
      <c r="RH307" s="53"/>
      <c r="RI307" s="53"/>
      <c r="RJ307" s="53"/>
      <c r="RK307" s="53"/>
      <c r="RL307" s="53"/>
      <c r="RM307" s="53"/>
      <c r="RN307" s="53"/>
      <c r="RO307" s="53"/>
      <c r="RP307" s="53"/>
      <c r="RQ307" s="53"/>
      <c r="RR307" s="53"/>
      <c r="RS307" s="53"/>
      <c r="RT307" s="53"/>
      <c r="RU307" s="53"/>
      <c r="RV307" s="53"/>
      <c r="RW307" s="53"/>
      <c r="RX307" s="53"/>
      <c r="RY307" s="53"/>
      <c r="RZ307" s="53"/>
      <c r="SA307" s="53"/>
      <c r="SB307" s="53"/>
      <c r="SC307" s="53"/>
      <c r="SD307" s="53"/>
      <c r="SE307" s="53"/>
      <c r="SF307" s="53"/>
      <c r="SG307" s="53"/>
      <c r="SH307" s="53"/>
      <c r="SI307" s="53"/>
      <c r="SJ307" s="53"/>
      <c r="SK307" s="53"/>
      <c r="SL307" s="53"/>
      <c r="SM307" s="53"/>
      <c r="SN307" s="53"/>
      <c r="SO307" s="53"/>
      <c r="SP307" s="53"/>
      <c r="SQ307" s="53"/>
      <c r="SR307" s="53"/>
      <c r="SS307" s="53"/>
      <c r="ST307" s="53"/>
      <c r="SU307" s="53"/>
      <c r="SV307" s="53"/>
      <c r="SW307" s="53"/>
      <c r="SX307" s="53"/>
      <c r="SY307" s="53"/>
      <c r="SZ307" s="53"/>
      <c r="TA307" s="53"/>
      <c r="TB307" s="53"/>
      <c r="TC307" s="53"/>
      <c r="TD307" s="53"/>
      <c r="TE307" s="53"/>
      <c r="TF307" s="53"/>
      <c r="TG307" s="53"/>
      <c r="TH307" s="53"/>
      <c r="TI307" s="53"/>
      <c r="TJ307" s="53"/>
      <c r="TK307" s="53"/>
      <c r="TL307" s="53"/>
      <c r="TM307" s="53"/>
      <c r="TN307" s="53"/>
      <c r="TO307" s="53"/>
      <c r="TP307" s="53"/>
      <c r="TQ307" s="53"/>
      <c r="TR307" s="53"/>
      <c r="TS307" s="53"/>
      <c r="TT307" s="53"/>
      <c r="TU307" s="53"/>
      <c r="TV307" s="53"/>
      <c r="TW307" s="53"/>
      <c r="TX307" s="53"/>
      <c r="TY307" s="53"/>
      <c r="TZ307" s="53"/>
      <c r="UA307" s="53"/>
      <c r="UB307" s="53"/>
      <c r="UC307" s="53"/>
      <c r="UD307" s="53"/>
      <c r="UE307" s="53"/>
      <c r="UF307" s="53"/>
      <c r="UG307" s="53"/>
      <c r="UH307" s="53"/>
      <c r="UI307" s="53"/>
      <c r="UJ307" s="53"/>
      <c r="UK307" s="53"/>
      <c r="UL307" s="53"/>
      <c r="UM307" s="53"/>
      <c r="UN307" s="53"/>
      <c r="UO307" s="53"/>
      <c r="UP307" s="53"/>
      <c r="UQ307" s="53"/>
      <c r="UR307" s="53"/>
      <c r="US307" s="53"/>
      <c r="UT307" s="53"/>
      <c r="UU307" s="53"/>
      <c r="UV307" s="53"/>
      <c r="UW307" s="53"/>
      <c r="UX307" s="53"/>
      <c r="UY307" s="53"/>
      <c r="UZ307" s="53"/>
      <c r="VA307" s="53"/>
      <c r="VB307" s="53"/>
      <c r="VC307" s="53"/>
      <c r="VD307" s="53"/>
      <c r="VE307" s="53"/>
      <c r="VF307" s="53"/>
      <c r="VG307" s="53"/>
      <c r="VH307" s="53"/>
      <c r="VI307" s="53"/>
      <c r="VJ307" s="53"/>
      <c r="VK307" s="53"/>
      <c r="VL307" s="53"/>
    </row>
    <row r="308" spans="1:584" s="47" customFormat="1" ht="27" customHeight="1" x14ac:dyDescent="0.25">
      <c r="A308" s="45" t="s">
        <v>288</v>
      </c>
      <c r="B308" s="91" t="str">
        <f>'дод 3'!A212</f>
        <v>8600</v>
      </c>
      <c r="C308" s="91" t="str">
        <f>'дод 3'!B212</f>
        <v>0170</v>
      </c>
      <c r="D308" s="48" t="str">
        <f>'дод 3'!C212</f>
        <v>Обслуговування місцевого боргу</v>
      </c>
      <c r="E308" s="115">
        <v>102992.66</v>
      </c>
      <c r="F308" s="115"/>
      <c r="G308" s="115"/>
      <c r="H308" s="115">
        <v>102992.66</v>
      </c>
      <c r="I308" s="115"/>
      <c r="J308" s="115"/>
      <c r="K308" s="164">
        <f t="shared" si="83"/>
        <v>100</v>
      </c>
      <c r="L308" s="115">
        <f t="shared" si="71"/>
        <v>0</v>
      </c>
      <c r="M308" s="115"/>
      <c r="N308" s="115"/>
      <c r="O308" s="115"/>
      <c r="P308" s="115"/>
      <c r="Q308" s="115"/>
      <c r="R308" s="115">
        <f t="shared" si="72"/>
        <v>0</v>
      </c>
      <c r="S308" s="115"/>
      <c r="T308" s="115"/>
      <c r="U308" s="115"/>
      <c r="V308" s="115"/>
      <c r="W308" s="115"/>
      <c r="X308" s="166"/>
      <c r="Y308" s="115">
        <f t="shared" si="108"/>
        <v>102992.66</v>
      </c>
      <c r="Z308" s="187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  <c r="DI308" s="53"/>
      <c r="DJ308" s="53"/>
      <c r="DK308" s="53"/>
      <c r="DL308" s="53"/>
      <c r="DM308" s="53"/>
      <c r="DN308" s="53"/>
      <c r="DO308" s="53"/>
      <c r="DP308" s="53"/>
      <c r="DQ308" s="53"/>
      <c r="DR308" s="53"/>
      <c r="DS308" s="53"/>
      <c r="DT308" s="53"/>
      <c r="DU308" s="53"/>
      <c r="DV308" s="53"/>
      <c r="DW308" s="53"/>
      <c r="DX308" s="53"/>
      <c r="DY308" s="53"/>
      <c r="DZ308" s="53"/>
      <c r="EA308" s="53"/>
      <c r="EB308" s="53"/>
      <c r="EC308" s="53"/>
      <c r="ED308" s="53"/>
      <c r="EE308" s="53"/>
      <c r="EF308" s="53"/>
      <c r="EG308" s="53"/>
      <c r="EH308" s="53"/>
      <c r="EI308" s="53"/>
      <c r="EJ308" s="53"/>
      <c r="EK308" s="53"/>
      <c r="EL308" s="53"/>
      <c r="EM308" s="53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  <c r="FB308" s="53"/>
      <c r="FC308" s="53"/>
      <c r="FD308" s="53"/>
      <c r="FE308" s="53"/>
      <c r="FF308" s="53"/>
      <c r="FG308" s="53"/>
      <c r="FH308" s="53"/>
      <c r="FI308" s="53"/>
      <c r="FJ308" s="53"/>
      <c r="FK308" s="53"/>
      <c r="FL308" s="53"/>
      <c r="FM308" s="53"/>
      <c r="FN308" s="53"/>
      <c r="FO308" s="53"/>
      <c r="FP308" s="53"/>
      <c r="FQ308" s="53"/>
      <c r="FR308" s="53"/>
      <c r="FS308" s="53"/>
      <c r="FT308" s="53"/>
      <c r="FU308" s="53"/>
      <c r="FV308" s="53"/>
      <c r="FW308" s="53"/>
      <c r="FX308" s="53"/>
      <c r="FY308" s="53"/>
      <c r="FZ308" s="53"/>
      <c r="GA308" s="53"/>
      <c r="GB308" s="53"/>
      <c r="GC308" s="53"/>
      <c r="GD308" s="53"/>
      <c r="GE308" s="53"/>
      <c r="GF308" s="53"/>
      <c r="GG308" s="53"/>
      <c r="GH308" s="53"/>
      <c r="GI308" s="53"/>
      <c r="GJ308" s="53"/>
      <c r="GK308" s="53"/>
      <c r="GL308" s="53"/>
      <c r="GM308" s="53"/>
      <c r="GN308" s="53"/>
      <c r="GO308" s="53"/>
      <c r="GP308" s="53"/>
      <c r="GQ308" s="53"/>
      <c r="GR308" s="53"/>
      <c r="GS308" s="53"/>
      <c r="GT308" s="53"/>
      <c r="GU308" s="53"/>
      <c r="GV308" s="53"/>
      <c r="GW308" s="53"/>
      <c r="GX308" s="53"/>
      <c r="GY308" s="53"/>
      <c r="GZ308" s="53"/>
      <c r="HA308" s="53"/>
      <c r="HB308" s="53"/>
      <c r="HC308" s="53"/>
      <c r="HD308" s="53"/>
      <c r="HE308" s="53"/>
      <c r="HF308" s="53"/>
      <c r="HG308" s="53"/>
      <c r="HH308" s="53"/>
      <c r="HI308" s="53"/>
      <c r="HJ308" s="53"/>
      <c r="HK308" s="53"/>
      <c r="HL308" s="53"/>
      <c r="HM308" s="53"/>
      <c r="HN308" s="53"/>
      <c r="HO308" s="53"/>
      <c r="HP308" s="53"/>
      <c r="HQ308" s="53"/>
      <c r="HR308" s="53"/>
      <c r="HS308" s="53"/>
      <c r="HT308" s="53"/>
      <c r="HU308" s="53"/>
      <c r="HV308" s="53"/>
      <c r="HW308" s="53"/>
      <c r="HX308" s="53"/>
      <c r="HY308" s="53"/>
      <c r="HZ308" s="53"/>
      <c r="IA308" s="53"/>
      <c r="IB308" s="53"/>
      <c r="IC308" s="53"/>
      <c r="ID308" s="53"/>
      <c r="IE308" s="53"/>
      <c r="IF308" s="53"/>
      <c r="IG308" s="53"/>
      <c r="IH308" s="53"/>
      <c r="II308" s="53"/>
      <c r="IJ308" s="53"/>
      <c r="IK308" s="53"/>
      <c r="IL308" s="53"/>
      <c r="IM308" s="53"/>
      <c r="IN308" s="53"/>
      <c r="IO308" s="53"/>
      <c r="IP308" s="53"/>
      <c r="IQ308" s="53"/>
      <c r="IR308" s="53"/>
      <c r="IS308" s="53"/>
      <c r="IT308" s="53"/>
      <c r="IU308" s="53"/>
      <c r="IV308" s="53"/>
      <c r="IW308" s="53"/>
      <c r="IX308" s="53"/>
      <c r="IY308" s="53"/>
      <c r="IZ308" s="53"/>
      <c r="JA308" s="53"/>
      <c r="JB308" s="53"/>
      <c r="JC308" s="53"/>
      <c r="JD308" s="53"/>
      <c r="JE308" s="53"/>
      <c r="JF308" s="53"/>
      <c r="JG308" s="53"/>
      <c r="JH308" s="53"/>
      <c r="JI308" s="53"/>
      <c r="JJ308" s="53"/>
      <c r="JK308" s="53"/>
      <c r="JL308" s="53"/>
      <c r="JM308" s="53"/>
      <c r="JN308" s="53"/>
      <c r="JO308" s="53"/>
      <c r="JP308" s="53"/>
      <c r="JQ308" s="53"/>
      <c r="JR308" s="53"/>
      <c r="JS308" s="53"/>
      <c r="JT308" s="53"/>
      <c r="JU308" s="53"/>
      <c r="JV308" s="53"/>
      <c r="JW308" s="53"/>
      <c r="JX308" s="53"/>
      <c r="JY308" s="53"/>
      <c r="JZ308" s="53"/>
      <c r="KA308" s="53"/>
      <c r="KB308" s="53"/>
      <c r="KC308" s="53"/>
      <c r="KD308" s="53"/>
      <c r="KE308" s="53"/>
      <c r="KF308" s="53"/>
      <c r="KG308" s="53"/>
      <c r="KH308" s="53"/>
      <c r="KI308" s="53"/>
      <c r="KJ308" s="53"/>
      <c r="KK308" s="53"/>
      <c r="KL308" s="53"/>
      <c r="KM308" s="53"/>
      <c r="KN308" s="53"/>
      <c r="KO308" s="53"/>
      <c r="KP308" s="53"/>
      <c r="KQ308" s="53"/>
      <c r="KR308" s="53"/>
      <c r="KS308" s="53"/>
      <c r="KT308" s="53"/>
      <c r="KU308" s="53"/>
      <c r="KV308" s="53"/>
      <c r="KW308" s="53"/>
      <c r="KX308" s="53"/>
      <c r="KY308" s="53"/>
      <c r="KZ308" s="53"/>
      <c r="LA308" s="53"/>
      <c r="LB308" s="53"/>
      <c r="LC308" s="53"/>
      <c r="LD308" s="53"/>
      <c r="LE308" s="53"/>
      <c r="LF308" s="53"/>
      <c r="LG308" s="53"/>
      <c r="LH308" s="53"/>
      <c r="LI308" s="53"/>
      <c r="LJ308" s="53"/>
      <c r="LK308" s="53"/>
      <c r="LL308" s="53"/>
      <c r="LM308" s="53"/>
      <c r="LN308" s="53"/>
      <c r="LO308" s="53"/>
      <c r="LP308" s="53"/>
      <c r="LQ308" s="53"/>
      <c r="LR308" s="53"/>
      <c r="LS308" s="53"/>
      <c r="LT308" s="53"/>
      <c r="LU308" s="53"/>
      <c r="LV308" s="53"/>
      <c r="LW308" s="53"/>
      <c r="LX308" s="53"/>
      <c r="LY308" s="53"/>
      <c r="LZ308" s="53"/>
      <c r="MA308" s="53"/>
      <c r="MB308" s="53"/>
      <c r="MC308" s="53"/>
      <c r="MD308" s="53"/>
      <c r="ME308" s="53"/>
      <c r="MF308" s="53"/>
      <c r="MG308" s="53"/>
      <c r="MH308" s="53"/>
      <c r="MI308" s="53"/>
      <c r="MJ308" s="53"/>
      <c r="MK308" s="53"/>
      <c r="ML308" s="53"/>
      <c r="MM308" s="53"/>
      <c r="MN308" s="53"/>
      <c r="MO308" s="53"/>
      <c r="MP308" s="53"/>
      <c r="MQ308" s="53"/>
      <c r="MR308" s="53"/>
      <c r="MS308" s="53"/>
      <c r="MT308" s="53"/>
      <c r="MU308" s="53"/>
      <c r="MV308" s="53"/>
      <c r="MW308" s="53"/>
      <c r="MX308" s="53"/>
      <c r="MY308" s="53"/>
      <c r="MZ308" s="53"/>
      <c r="NA308" s="53"/>
      <c r="NB308" s="53"/>
      <c r="NC308" s="53"/>
      <c r="ND308" s="53"/>
      <c r="NE308" s="53"/>
      <c r="NF308" s="53"/>
      <c r="NG308" s="53"/>
      <c r="NH308" s="53"/>
      <c r="NI308" s="53"/>
      <c r="NJ308" s="53"/>
      <c r="NK308" s="53"/>
      <c r="NL308" s="53"/>
      <c r="NM308" s="53"/>
      <c r="NN308" s="53"/>
      <c r="NO308" s="53"/>
      <c r="NP308" s="53"/>
      <c r="NQ308" s="53"/>
      <c r="NR308" s="53"/>
      <c r="NS308" s="53"/>
      <c r="NT308" s="53"/>
      <c r="NU308" s="53"/>
      <c r="NV308" s="53"/>
      <c r="NW308" s="53"/>
      <c r="NX308" s="53"/>
      <c r="NY308" s="53"/>
      <c r="NZ308" s="53"/>
      <c r="OA308" s="53"/>
      <c r="OB308" s="53"/>
      <c r="OC308" s="53"/>
      <c r="OD308" s="53"/>
      <c r="OE308" s="53"/>
      <c r="OF308" s="53"/>
      <c r="OG308" s="53"/>
      <c r="OH308" s="53"/>
      <c r="OI308" s="53"/>
      <c r="OJ308" s="53"/>
      <c r="OK308" s="53"/>
      <c r="OL308" s="53"/>
      <c r="OM308" s="53"/>
      <c r="ON308" s="53"/>
      <c r="OO308" s="53"/>
      <c r="OP308" s="53"/>
      <c r="OQ308" s="53"/>
      <c r="OR308" s="53"/>
      <c r="OS308" s="53"/>
      <c r="OT308" s="53"/>
      <c r="OU308" s="53"/>
      <c r="OV308" s="53"/>
      <c r="OW308" s="53"/>
      <c r="OX308" s="53"/>
      <c r="OY308" s="53"/>
      <c r="OZ308" s="53"/>
      <c r="PA308" s="53"/>
      <c r="PB308" s="53"/>
      <c r="PC308" s="53"/>
      <c r="PD308" s="53"/>
      <c r="PE308" s="53"/>
      <c r="PF308" s="53"/>
      <c r="PG308" s="53"/>
      <c r="PH308" s="53"/>
      <c r="PI308" s="53"/>
      <c r="PJ308" s="53"/>
      <c r="PK308" s="53"/>
      <c r="PL308" s="53"/>
      <c r="PM308" s="53"/>
      <c r="PN308" s="53"/>
      <c r="PO308" s="53"/>
      <c r="PP308" s="53"/>
      <c r="PQ308" s="53"/>
      <c r="PR308" s="53"/>
      <c r="PS308" s="53"/>
      <c r="PT308" s="53"/>
      <c r="PU308" s="53"/>
      <c r="PV308" s="53"/>
      <c r="PW308" s="53"/>
      <c r="PX308" s="53"/>
      <c r="PY308" s="53"/>
      <c r="PZ308" s="53"/>
      <c r="QA308" s="53"/>
      <c r="QB308" s="53"/>
      <c r="QC308" s="53"/>
      <c r="QD308" s="53"/>
      <c r="QE308" s="53"/>
      <c r="QF308" s="53"/>
      <c r="QG308" s="53"/>
      <c r="QH308" s="53"/>
      <c r="QI308" s="53"/>
      <c r="QJ308" s="53"/>
      <c r="QK308" s="53"/>
      <c r="QL308" s="53"/>
      <c r="QM308" s="53"/>
      <c r="QN308" s="53"/>
      <c r="QO308" s="53"/>
      <c r="QP308" s="53"/>
      <c r="QQ308" s="53"/>
      <c r="QR308" s="53"/>
      <c r="QS308" s="53"/>
      <c r="QT308" s="53"/>
      <c r="QU308" s="53"/>
      <c r="QV308" s="53"/>
      <c r="QW308" s="53"/>
      <c r="QX308" s="53"/>
      <c r="QY308" s="53"/>
      <c r="QZ308" s="53"/>
      <c r="RA308" s="53"/>
      <c r="RB308" s="53"/>
      <c r="RC308" s="53"/>
      <c r="RD308" s="53"/>
      <c r="RE308" s="53"/>
      <c r="RF308" s="53"/>
      <c r="RG308" s="53"/>
      <c r="RH308" s="53"/>
      <c r="RI308" s="53"/>
      <c r="RJ308" s="53"/>
      <c r="RK308" s="53"/>
      <c r="RL308" s="53"/>
      <c r="RM308" s="53"/>
      <c r="RN308" s="53"/>
      <c r="RO308" s="53"/>
      <c r="RP308" s="53"/>
      <c r="RQ308" s="53"/>
      <c r="RR308" s="53"/>
      <c r="RS308" s="53"/>
      <c r="RT308" s="53"/>
      <c r="RU308" s="53"/>
      <c r="RV308" s="53"/>
      <c r="RW308" s="53"/>
      <c r="RX308" s="53"/>
      <c r="RY308" s="53"/>
      <c r="RZ308" s="53"/>
      <c r="SA308" s="53"/>
      <c r="SB308" s="53"/>
      <c r="SC308" s="53"/>
      <c r="SD308" s="53"/>
      <c r="SE308" s="53"/>
      <c r="SF308" s="53"/>
      <c r="SG308" s="53"/>
      <c r="SH308" s="53"/>
      <c r="SI308" s="53"/>
      <c r="SJ308" s="53"/>
      <c r="SK308" s="53"/>
      <c r="SL308" s="53"/>
      <c r="SM308" s="53"/>
      <c r="SN308" s="53"/>
      <c r="SO308" s="53"/>
      <c r="SP308" s="53"/>
      <c r="SQ308" s="53"/>
      <c r="SR308" s="53"/>
      <c r="SS308" s="53"/>
      <c r="ST308" s="53"/>
      <c r="SU308" s="53"/>
      <c r="SV308" s="53"/>
      <c r="SW308" s="53"/>
      <c r="SX308" s="53"/>
      <c r="SY308" s="53"/>
      <c r="SZ308" s="53"/>
      <c r="TA308" s="53"/>
      <c r="TB308" s="53"/>
      <c r="TC308" s="53"/>
      <c r="TD308" s="53"/>
      <c r="TE308" s="53"/>
      <c r="TF308" s="53"/>
      <c r="TG308" s="53"/>
      <c r="TH308" s="53"/>
      <c r="TI308" s="53"/>
      <c r="TJ308" s="53"/>
      <c r="TK308" s="53"/>
      <c r="TL308" s="53"/>
      <c r="TM308" s="53"/>
      <c r="TN308" s="53"/>
      <c r="TO308" s="53"/>
      <c r="TP308" s="53"/>
      <c r="TQ308" s="53"/>
      <c r="TR308" s="53"/>
      <c r="TS308" s="53"/>
      <c r="TT308" s="53"/>
      <c r="TU308" s="53"/>
      <c r="TV308" s="53"/>
      <c r="TW308" s="53"/>
      <c r="TX308" s="53"/>
      <c r="TY308" s="53"/>
      <c r="TZ308" s="53"/>
      <c r="UA308" s="53"/>
      <c r="UB308" s="53"/>
      <c r="UC308" s="53"/>
      <c r="UD308" s="53"/>
      <c r="UE308" s="53"/>
      <c r="UF308" s="53"/>
      <c r="UG308" s="53"/>
      <c r="UH308" s="53"/>
      <c r="UI308" s="53"/>
      <c r="UJ308" s="53"/>
      <c r="UK308" s="53"/>
      <c r="UL308" s="53"/>
      <c r="UM308" s="53"/>
      <c r="UN308" s="53"/>
      <c r="UO308" s="53"/>
      <c r="UP308" s="53"/>
      <c r="UQ308" s="53"/>
      <c r="UR308" s="53"/>
      <c r="US308" s="53"/>
      <c r="UT308" s="53"/>
      <c r="UU308" s="53"/>
      <c r="UV308" s="53"/>
      <c r="UW308" s="53"/>
      <c r="UX308" s="53"/>
      <c r="UY308" s="53"/>
      <c r="UZ308" s="53"/>
      <c r="VA308" s="53"/>
      <c r="VB308" s="53"/>
      <c r="VC308" s="53"/>
      <c r="VD308" s="53"/>
      <c r="VE308" s="53"/>
      <c r="VF308" s="53"/>
      <c r="VG308" s="53"/>
      <c r="VH308" s="53"/>
      <c r="VI308" s="53"/>
      <c r="VJ308" s="53"/>
      <c r="VK308" s="53"/>
      <c r="VL308" s="53"/>
    </row>
    <row r="309" spans="1:584" s="47" customFormat="1" ht="21" customHeight="1" x14ac:dyDescent="0.25">
      <c r="A309" s="45" t="s">
        <v>302</v>
      </c>
      <c r="B309" s="91" t="str">
        <f>'дод 3'!A213</f>
        <v>8700</v>
      </c>
      <c r="C309" s="91" t="str">
        <f>'дод 3'!B213</f>
        <v>0133</v>
      </c>
      <c r="D309" s="48" t="str">
        <f>'дод 3'!C213</f>
        <v>Резервний фонд</v>
      </c>
      <c r="E309" s="115">
        <v>8084814.1600000001</v>
      </c>
      <c r="F309" s="115"/>
      <c r="G309" s="115"/>
      <c r="H309" s="115"/>
      <c r="I309" s="115"/>
      <c r="J309" s="115"/>
      <c r="K309" s="164">
        <f t="shared" si="83"/>
        <v>0</v>
      </c>
      <c r="L309" s="115">
        <f t="shared" si="71"/>
        <v>0</v>
      </c>
      <c r="M309" s="115"/>
      <c r="N309" s="115"/>
      <c r="O309" s="115"/>
      <c r="P309" s="115"/>
      <c r="Q309" s="115"/>
      <c r="R309" s="115">
        <f t="shared" si="72"/>
        <v>0</v>
      </c>
      <c r="S309" s="115"/>
      <c r="T309" s="115"/>
      <c r="U309" s="115"/>
      <c r="V309" s="115"/>
      <c r="W309" s="115"/>
      <c r="X309" s="166"/>
      <c r="Y309" s="115">
        <f t="shared" si="108"/>
        <v>0</v>
      </c>
      <c r="Z309" s="187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  <c r="DI309" s="53"/>
      <c r="DJ309" s="53"/>
      <c r="DK309" s="53"/>
      <c r="DL309" s="53"/>
      <c r="DM309" s="53"/>
      <c r="DN309" s="53"/>
      <c r="DO309" s="53"/>
      <c r="DP309" s="53"/>
      <c r="DQ309" s="53"/>
      <c r="DR309" s="53"/>
      <c r="DS309" s="53"/>
      <c r="DT309" s="53"/>
      <c r="DU309" s="53"/>
      <c r="DV309" s="53"/>
      <c r="DW309" s="53"/>
      <c r="DX309" s="53"/>
      <c r="DY309" s="53"/>
      <c r="DZ309" s="53"/>
      <c r="EA309" s="53"/>
      <c r="EB309" s="53"/>
      <c r="EC309" s="53"/>
      <c r="ED309" s="53"/>
      <c r="EE309" s="53"/>
      <c r="EF309" s="53"/>
      <c r="EG309" s="53"/>
      <c r="EH309" s="53"/>
      <c r="EI309" s="53"/>
      <c r="EJ309" s="53"/>
      <c r="EK309" s="53"/>
      <c r="EL309" s="53"/>
      <c r="EM309" s="53"/>
      <c r="EN309" s="53"/>
      <c r="EO309" s="53"/>
      <c r="EP309" s="53"/>
      <c r="EQ309" s="53"/>
      <c r="ER309" s="53"/>
      <c r="ES309" s="53"/>
      <c r="ET309" s="53"/>
      <c r="EU309" s="53"/>
      <c r="EV309" s="53"/>
      <c r="EW309" s="53"/>
      <c r="EX309" s="53"/>
      <c r="EY309" s="53"/>
      <c r="EZ309" s="53"/>
      <c r="FA309" s="53"/>
      <c r="FB309" s="53"/>
      <c r="FC309" s="53"/>
      <c r="FD309" s="53"/>
      <c r="FE309" s="53"/>
      <c r="FF309" s="53"/>
      <c r="FG309" s="53"/>
      <c r="FH309" s="53"/>
      <c r="FI309" s="53"/>
      <c r="FJ309" s="53"/>
      <c r="FK309" s="53"/>
      <c r="FL309" s="53"/>
      <c r="FM309" s="53"/>
      <c r="FN309" s="53"/>
      <c r="FO309" s="53"/>
      <c r="FP309" s="53"/>
      <c r="FQ309" s="53"/>
      <c r="FR309" s="53"/>
      <c r="FS309" s="53"/>
      <c r="FT309" s="53"/>
      <c r="FU309" s="53"/>
      <c r="FV309" s="53"/>
      <c r="FW309" s="53"/>
      <c r="FX309" s="53"/>
      <c r="FY309" s="53"/>
      <c r="FZ309" s="53"/>
      <c r="GA309" s="53"/>
      <c r="GB309" s="53"/>
      <c r="GC309" s="53"/>
      <c r="GD309" s="53"/>
      <c r="GE309" s="53"/>
      <c r="GF309" s="53"/>
      <c r="GG309" s="53"/>
      <c r="GH309" s="53"/>
      <c r="GI309" s="53"/>
      <c r="GJ309" s="53"/>
      <c r="GK309" s="53"/>
      <c r="GL309" s="53"/>
      <c r="GM309" s="53"/>
      <c r="GN309" s="53"/>
      <c r="GO309" s="53"/>
      <c r="GP309" s="53"/>
      <c r="GQ309" s="53"/>
      <c r="GR309" s="53"/>
      <c r="GS309" s="53"/>
      <c r="GT309" s="53"/>
      <c r="GU309" s="53"/>
      <c r="GV309" s="53"/>
      <c r="GW309" s="53"/>
      <c r="GX309" s="53"/>
      <c r="GY309" s="53"/>
      <c r="GZ309" s="53"/>
      <c r="HA309" s="53"/>
      <c r="HB309" s="53"/>
      <c r="HC309" s="53"/>
      <c r="HD309" s="53"/>
      <c r="HE309" s="53"/>
      <c r="HF309" s="53"/>
      <c r="HG309" s="53"/>
      <c r="HH309" s="53"/>
      <c r="HI309" s="53"/>
      <c r="HJ309" s="53"/>
      <c r="HK309" s="53"/>
      <c r="HL309" s="53"/>
      <c r="HM309" s="53"/>
      <c r="HN309" s="53"/>
      <c r="HO309" s="53"/>
      <c r="HP309" s="53"/>
      <c r="HQ309" s="53"/>
      <c r="HR309" s="53"/>
      <c r="HS309" s="53"/>
      <c r="HT309" s="53"/>
      <c r="HU309" s="53"/>
      <c r="HV309" s="53"/>
      <c r="HW309" s="53"/>
      <c r="HX309" s="53"/>
      <c r="HY309" s="53"/>
      <c r="HZ309" s="53"/>
      <c r="IA309" s="53"/>
      <c r="IB309" s="53"/>
      <c r="IC309" s="53"/>
      <c r="ID309" s="53"/>
      <c r="IE309" s="53"/>
      <c r="IF309" s="53"/>
      <c r="IG309" s="53"/>
      <c r="IH309" s="53"/>
      <c r="II309" s="53"/>
      <c r="IJ309" s="53"/>
      <c r="IK309" s="53"/>
      <c r="IL309" s="53"/>
      <c r="IM309" s="53"/>
      <c r="IN309" s="53"/>
      <c r="IO309" s="53"/>
      <c r="IP309" s="53"/>
      <c r="IQ309" s="53"/>
      <c r="IR309" s="53"/>
      <c r="IS309" s="53"/>
      <c r="IT309" s="53"/>
      <c r="IU309" s="53"/>
      <c r="IV309" s="53"/>
      <c r="IW309" s="53"/>
      <c r="IX309" s="53"/>
      <c r="IY309" s="53"/>
      <c r="IZ309" s="53"/>
      <c r="JA309" s="53"/>
      <c r="JB309" s="53"/>
      <c r="JC309" s="53"/>
      <c r="JD309" s="53"/>
      <c r="JE309" s="53"/>
      <c r="JF309" s="53"/>
      <c r="JG309" s="53"/>
      <c r="JH309" s="53"/>
      <c r="JI309" s="53"/>
      <c r="JJ309" s="53"/>
      <c r="JK309" s="53"/>
      <c r="JL309" s="53"/>
      <c r="JM309" s="53"/>
      <c r="JN309" s="53"/>
      <c r="JO309" s="53"/>
      <c r="JP309" s="53"/>
      <c r="JQ309" s="53"/>
      <c r="JR309" s="53"/>
      <c r="JS309" s="53"/>
      <c r="JT309" s="53"/>
      <c r="JU309" s="53"/>
      <c r="JV309" s="53"/>
      <c r="JW309" s="53"/>
      <c r="JX309" s="53"/>
      <c r="JY309" s="53"/>
      <c r="JZ309" s="53"/>
      <c r="KA309" s="53"/>
      <c r="KB309" s="53"/>
      <c r="KC309" s="53"/>
      <c r="KD309" s="53"/>
      <c r="KE309" s="53"/>
      <c r="KF309" s="53"/>
      <c r="KG309" s="53"/>
      <c r="KH309" s="53"/>
      <c r="KI309" s="53"/>
      <c r="KJ309" s="53"/>
      <c r="KK309" s="53"/>
      <c r="KL309" s="53"/>
      <c r="KM309" s="53"/>
      <c r="KN309" s="53"/>
      <c r="KO309" s="53"/>
      <c r="KP309" s="53"/>
      <c r="KQ309" s="53"/>
      <c r="KR309" s="53"/>
      <c r="KS309" s="53"/>
      <c r="KT309" s="53"/>
      <c r="KU309" s="53"/>
      <c r="KV309" s="53"/>
      <c r="KW309" s="53"/>
      <c r="KX309" s="53"/>
      <c r="KY309" s="53"/>
      <c r="KZ309" s="53"/>
      <c r="LA309" s="53"/>
      <c r="LB309" s="53"/>
      <c r="LC309" s="53"/>
      <c r="LD309" s="53"/>
      <c r="LE309" s="53"/>
      <c r="LF309" s="53"/>
      <c r="LG309" s="53"/>
      <c r="LH309" s="53"/>
      <c r="LI309" s="53"/>
      <c r="LJ309" s="53"/>
      <c r="LK309" s="53"/>
      <c r="LL309" s="53"/>
      <c r="LM309" s="53"/>
      <c r="LN309" s="53"/>
      <c r="LO309" s="53"/>
      <c r="LP309" s="53"/>
      <c r="LQ309" s="53"/>
      <c r="LR309" s="53"/>
      <c r="LS309" s="53"/>
      <c r="LT309" s="53"/>
      <c r="LU309" s="53"/>
      <c r="LV309" s="53"/>
      <c r="LW309" s="53"/>
      <c r="LX309" s="53"/>
      <c r="LY309" s="53"/>
      <c r="LZ309" s="53"/>
      <c r="MA309" s="53"/>
      <c r="MB309" s="53"/>
      <c r="MC309" s="53"/>
      <c r="MD309" s="53"/>
      <c r="ME309" s="53"/>
      <c r="MF309" s="53"/>
      <c r="MG309" s="53"/>
      <c r="MH309" s="53"/>
      <c r="MI309" s="53"/>
      <c r="MJ309" s="53"/>
      <c r="MK309" s="53"/>
      <c r="ML309" s="53"/>
      <c r="MM309" s="53"/>
      <c r="MN309" s="53"/>
      <c r="MO309" s="53"/>
      <c r="MP309" s="53"/>
      <c r="MQ309" s="53"/>
      <c r="MR309" s="53"/>
      <c r="MS309" s="53"/>
      <c r="MT309" s="53"/>
      <c r="MU309" s="53"/>
      <c r="MV309" s="53"/>
      <c r="MW309" s="53"/>
      <c r="MX309" s="53"/>
      <c r="MY309" s="53"/>
      <c r="MZ309" s="53"/>
      <c r="NA309" s="53"/>
      <c r="NB309" s="53"/>
      <c r="NC309" s="53"/>
      <c r="ND309" s="53"/>
      <c r="NE309" s="53"/>
      <c r="NF309" s="53"/>
      <c r="NG309" s="53"/>
      <c r="NH309" s="53"/>
      <c r="NI309" s="53"/>
      <c r="NJ309" s="53"/>
      <c r="NK309" s="53"/>
      <c r="NL309" s="53"/>
      <c r="NM309" s="53"/>
      <c r="NN309" s="53"/>
      <c r="NO309" s="53"/>
      <c r="NP309" s="53"/>
      <c r="NQ309" s="53"/>
      <c r="NR309" s="53"/>
      <c r="NS309" s="53"/>
      <c r="NT309" s="53"/>
      <c r="NU309" s="53"/>
      <c r="NV309" s="53"/>
      <c r="NW309" s="53"/>
      <c r="NX309" s="53"/>
      <c r="NY309" s="53"/>
      <c r="NZ309" s="53"/>
      <c r="OA309" s="53"/>
      <c r="OB309" s="53"/>
      <c r="OC309" s="53"/>
      <c r="OD309" s="53"/>
      <c r="OE309" s="53"/>
      <c r="OF309" s="53"/>
      <c r="OG309" s="53"/>
      <c r="OH309" s="53"/>
      <c r="OI309" s="53"/>
      <c r="OJ309" s="53"/>
      <c r="OK309" s="53"/>
      <c r="OL309" s="53"/>
      <c r="OM309" s="53"/>
      <c r="ON309" s="53"/>
      <c r="OO309" s="53"/>
      <c r="OP309" s="53"/>
      <c r="OQ309" s="53"/>
      <c r="OR309" s="53"/>
      <c r="OS309" s="53"/>
      <c r="OT309" s="53"/>
      <c r="OU309" s="53"/>
      <c r="OV309" s="53"/>
      <c r="OW309" s="53"/>
      <c r="OX309" s="53"/>
      <c r="OY309" s="53"/>
      <c r="OZ309" s="53"/>
      <c r="PA309" s="53"/>
      <c r="PB309" s="53"/>
      <c r="PC309" s="53"/>
      <c r="PD309" s="53"/>
      <c r="PE309" s="53"/>
      <c r="PF309" s="53"/>
      <c r="PG309" s="53"/>
      <c r="PH309" s="53"/>
      <c r="PI309" s="53"/>
      <c r="PJ309" s="53"/>
      <c r="PK309" s="53"/>
      <c r="PL309" s="53"/>
      <c r="PM309" s="53"/>
      <c r="PN309" s="53"/>
      <c r="PO309" s="53"/>
      <c r="PP309" s="53"/>
      <c r="PQ309" s="53"/>
      <c r="PR309" s="53"/>
      <c r="PS309" s="53"/>
      <c r="PT309" s="53"/>
      <c r="PU309" s="53"/>
      <c r="PV309" s="53"/>
      <c r="PW309" s="53"/>
      <c r="PX309" s="53"/>
      <c r="PY309" s="53"/>
      <c r="PZ309" s="53"/>
      <c r="QA309" s="53"/>
      <c r="QB309" s="53"/>
      <c r="QC309" s="53"/>
      <c r="QD309" s="53"/>
      <c r="QE309" s="53"/>
      <c r="QF309" s="53"/>
      <c r="QG309" s="53"/>
      <c r="QH309" s="53"/>
      <c r="QI309" s="53"/>
      <c r="QJ309" s="53"/>
      <c r="QK309" s="53"/>
      <c r="QL309" s="53"/>
      <c r="QM309" s="53"/>
      <c r="QN309" s="53"/>
      <c r="QO309" s="53"/>
      <c r="QP309" s="53"/>
      <c r="QQ309" s="53"/>
      <c r="QR309" s="53"/>
      <c r="QS309" s="53"/>
      <c r="QT309" s="53"/>
      <c r="QU309" s="53"/>
      <c r="QV309" s="53"/>
      <c r="QW309" s="53"/>
      <c r="QX309" s="53"/>
      <c r="QY309" s="53"/>
      <c r="QZ309" s="53"/>
      <c r="RA309" s="53"/>
      <c r="RB309" s="53"/>
      <c r="RC309" s="53"/>
      <c r="RD309" s="53"/>
      <c r="RE309" s="53"/>
      <c r="RF309" s="53"/>
      <c r="RG309" s="53"/>
      <c r="RH309" s="53"/>
      <c r="RI309" s="53"/>
      <c r="RJ309" s="53"/>
      <c r="RK309" s="53"/>
      <c r="RL309" s="53"/>
      <c r="RM309" s="53"/>
      <c r="RN309" s="53"/>
      <c r="RO309" s="53"/>
      <c r="RP309" s="53"/>
      <c r="RQ309" s="53"/>
      <c r="RR309" s="53"/>
      <c r="RS309" s="53"/>
      <c r="RT309" s="53"/>
      <c r="RU309" s="53"/>
      <c r="RV309" s="53"/>
      <c r="RW309" s="53"/>
      <c r="RX309" s="53"/>
      <c r="RY309" s="53"/>
      <c r="RZ309" s="53"/>
      <c r="SA309" s="53"/>
      <c r="SB309" s="53"/>
      <c r="SC309" s="53"/>
      <c r="SD309" s="53"/>
      <c r="SE309" s="53"/>
      <c r="SF309" s="53"/>
      <c r="SG309" s="53"/>
      <c r="SH309" s="53"/>
      <c r="SI309" s="53"/>
      <c r="SJ309" s="53"/>
      <c r="SK309" s="53"/>
      <c r="SL309" s="53"/>
      <c r="SM309" s="53"/>
      <c r="SN309" s="53"/>
      <c r="SO309" s="53"/>
      <c r="SP309" s="53"/>
      <c r="SQ309" s="53"/>
      <c r="SR309" s="53"/>
      <c r="SS309" s="53"/>
      <c r="ST309" s="53"/>
      <c r="SU309" s="53"/>
      <c r="SV309" s="53"/>
      <c r="SW309" s="53"/>
      <c r="SX309" s="53"/>
      <c r="SY309" s="53"/>
      <c r="SZ309" s="53"/>
      <c r="TA309" s="53"/>
      <c r="TB309" s="53"/>
      <c r="TC309" s="53"/>
      <c r="TD309" s="53"/>
      <c r="TE309" s="53"/>
      <c r="TF309" s="53"/>
      <c r="TG309" s="53"/>
      <c r="TH309" s="53"/>
      <c r="TI309" s="53"/>
      <c r="TJ309" s="53"/>
      <c r="TK309" s="53"/>
      <c r="TL309" s="53"/>
      <c r="TM309" s="53"/>
      <c r="TN309" s="53"/>
      <c r="TO309" s="53"/>
      <c r="TP309" s="53"/>
      <c r="TQ309" s="53"/>
      <c r="TR309" s="53"/>
      <c r="TS309" s="53"/>
      <c r="TT309" s="53"/>
      <c r="TU309" s="53"/>
      <c r="TV309" s="53"/>
      <c r="TW309" s="53"/>
      <c r="TX309" s="53"/>
      <c r="TY309" s="53"/>
      <c r="TZ309" s="53"/>
      <c r="UA309" s="53"/>
      <c r="UB309" s="53"/>
      <c r="UC309" s="53"/>
      <c r="UD309" s="53"/>
      <c r="UE309" s="53"/>
      <c r="UF309" s="53"/>
      <c r="UG309" s="53"/>
      <c r="UH309" s="53"/>
      <c r="UI309" s="53"/>
      <c r="UJ309" s="53"/>
      <c r="UK309" s="53"/>
      <c r="UL309" s="53"/>
      <c r="UM309" s="53"/>
      <c r="UN309" s="53"/>
      <c r="UO309" s="53"/>
      <c r="UP309" s="53"/>
      <c r="UQ309" s="53"/>
      <c r="UR309" s="53"/>
      <c r="US309" s="53"/>
      <c r="UT309" s="53"/>
      <c r="UU309" s="53"/>
      <c r="UV309" s="53"/>
      <c r="UW309" s="53"/>
      <c r="UX309" s="53"/>
      <c r="UY309" s="53"/>
      <c r="UZ309" s="53"/>
      <c r="VA309" s="53"/>
      <c r="VB309" s="53"/>
      <c r="VC309" s="53"/>
      <c r="VD309" s="53"/>
      <c r="VE309" s="53"/>
      <c r="VF309" s="53"/>
      <c r="VG309" s="53"/>
      <c r="VH309" s="53"/>
      <c r="VI309" s="53"/>
      <c r="VJ309" s="53"/>
      <c r="VK309" s="53"/>
      <c r="VL309" s="53"/>
    </row>
    <row r="310" spans="1:584" s="47" customFormat="1" ht="22.5" customHeight="1" x14ac:dyDescent="0.25">
      <c r="A310" s="45" t="s">
        <v>303</v>
      </c>
      <c r="B310" s="91" t="str">
        <f>'дод 3'!A217</f>
        <v>9110</v>
      </c>
      <c r="C310" s="91" t="str">
        <f>'дод 3'!B217</f>
        <v>0180</v>
      </c>
      <c r="D310" s="48" t="str">
        <f>'дод 3'!C217</f>
        <v>Реверсна дотація</v>
      </c>
      <c r="E310" s="115">
        <v>111090200</v>
      </c>
      <c r="F310" s="115"/>
      <c r="G310" s="115"/>
      <c r="H310" s="115">
        <v>111090200</v>
      </c>
      <c r="I310" s="115"/>
      <c r="J310" s="115"/>
      <c r="K310" s="164">
        <f t="shared" si="83"/>
        <v>100</v>
      </c>
      <c r="L310" s="115">
        <f t="shared" ref="L310:L313" si="109">N310+Q310</f>
        <v>0</v>
      </c>
      <c r="M310" s="115"/>
      <c r="N310" s="115"/>
      <c r="O310" s="115"/>
      <c r="P310" s="115"/>
      <c r="Q310" s="115"/>
      <c r="R310" s="115">
        <f t="shared" ref="R310:R313" si="110">T310+W310</f>
        <v>0</v>
      </c>
      <c r="S310" s="115"/>
      <c r="T310" s="115"/>
      <c r="U310" s="115"/>
      <c r="V310" s="115"/>
      <c r="W310" s="115"/>
      <c r="X310" s="166"/>
      <c r="Y310" s="115">
        <f t="shared" si="108"/>
        <v>111090200</v>
      </c>
      <c r="Z310" s="187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  <c r="FF310" s="53"/>
      <c r="FG310" s="53"/>
      <c r="FH310" s="53"/>
      <c r="FI310" s="53"/>
      <c r="FJ310" s="53"/>
      <c r="FK310" s="53"/>
      <c r="FL310" s="53"/>
      <c r="FM310" s="53"/>
      <c r="FN310" s="53"/>
      <c r="FO310" s="53"/>
      <c r="FP310" s="53"/>
      <c r="FQ310" s="53"/>
      <c r="FR310" s="53"/>
      <c r="FS310" s="53"/>
      <c r="FT310" s="53"/>
      <c r="FU310" s="53"/>
      <c r="FV310" s="53"/>
      <c r="FW310" s="53"/>
      <c r="FX310" s="53"/>
      <c r="FY310" s="53"/>
      <c r="FZ310" s="53"/>
      <c r="GA310" s="53"/>
      <c r="GB310" s="53"/>
      <c r="GC310" s="53"/>
      <c r="GD310" s="53"/>
      <c r="GE310" s="53"/>
      <c r="GF310" s="53"/>
      <c r="GG310" s="53"/>
      <c r="GH310" s="53"/>
      <c r="GI310" s="53"/>
      <c r="GJ310" s="53"/>
      <c r="GK310" s="53"/>
      <c r="GL310" s="53"/>
      <c r="GM310" s="53"/>
      <c r="GN310" s="53"/>
      <c r="GO310" s="53"/>
      <c r="GP310" s="53"/>
      <c r="GQ310" s="53"/>
      <c r="GR310" s="53"/>
      <c r="GS310" s="53"/>
      <c r="GT310" s="53"/>
      <c r="GU310" s="53"/>
      <c r="GV310" s="53"/>
      <c r="GW310" s="53"/>
      <c r="GX310" s="53"/>
      <c r="GY310" s="53"/>
      <c r="GZ310" s="53"/>
      <c r="HA310" s="53"/>
      <c r="HB310" s="53"/>
      <c r="HC310" s="53"/>
      <c r="HD310" s="53"/>
      <c r="HE310" s="53"/>
      <c r="HF310" s="53"/>
      <c r="HG310" s="53"/>
      <c r="HH310" s="53"/>
      <c r="HI310" s="53"/>
      <c r="HJ310" s="53"/>
      <c r="HK310" s="53"/>
      <c r="HL310" s="53"/>
      <c r="HM310" s="53"/>
      <c r="HN310" s="53"/>
      <c r="HO310" s="53"/>
      <c r="HP310" s="53"/>
      <c r="HQ310" s="53"/>
      <c r="HR310" s="53"/>
      <c r="HS310" s="53"/>
      <c r="HT310" s="53"/>
      <c r="HU310" s="53"/>
      <c r="HV310" s="53"/>
      <c r="HW310" s="53"/>
      <c r="HX310" s="53"/>
      <c r="HY310" s="53"/>
      <c r="HZ310" s="53"/>
      <c r="IA310" s="53"/>
      <c r="IB310" s="53"/>
      <c r="IC310" s="53"/>
      <c r="ID310" s="53"/>
      <c r="IE310" s="53"/>
      <c r="IF310" s="53"/>
      <c r="IG310" s="53"/>
      <c r="IH310" s="53"/>
      <c r="II310" s="53"/>
      <c r="IJ310" s="53"/>
      <c r="IK310" s="53"/>
      <c r="IL310" s="53"/>
      <c r="IM310" s="53"/>
      <c r="IN310" s="53"/>
      <c r="IO310" s="53"/>
      <c r="IP310" s="53"/>
      <c r="IQ310" s="53"/>
      <c r="IR310" s="53"/>
      <c r="IS310" s="53"/>
      <c r="IT310" s="53"/>
      <c r="IU310" s="53"/>
      <c r="IV310" s="53"/>
      <c r="IW310" s="53"/>
      <c r="IX310" s="53"/>
      <c r="IY310" s="53"/>
      <c r="IZ310" s="53"/>
      <c r="JA310" s="53"/>
      <c r="JB310" s="53"/>
      <c r="JC310" s="53"/>
      <c r="JD310" s="53"/>
      <c r="JE310" s="53"/>
      <c r="JF310" s="53"/>
      <c r="JG310" s="53"/>
      <c r="JH310" s="53"/>
      <c r="JI310" s="53"/>
      <c r="JJ310" s="53"/>
      <c r="JK310" s="53"/>
      <c r="JL310" s="53"/>
      <c r="JM310" s="53"/>
      <c r="JN310" s="53"/>
      <c r="JO310" s="53"/>
      <c r="JP310" s="53"/>
      <c r="JQ310" s="53"/>
      <c r="JR310" s="53"/>
      <c r="JS310" s="53"/>
      <c r="JT310" s="53"/>
      <c r="JU310" s="53"/>
      <c r="JV310" s="53"/>
      <c r="JW310" s="53"/>
      <c r="JX310" s="53"/>
      <c r="JY310" s="53"/>
      <c r="JZ310" s="53"/>
      <c r="KA310" s="53"/>
      <c r="KB310" s="53"/>
      <c r="KC310" s="53"/>
      <c r="KD310" s="53"/>
      <c r="KE310" s="53"/>
      <c r="KF310" s="53"/>
      <c r="KG310" s="53"/>
      <c r="KH310" s="53"/>
      <c r="KI310" s="53"/>
      <c r="KJ310" s="53"/>
      <c r="KK310" s="53"/>
      <c r="KL310" s="53"/>
      <c r="KM310" s="53"/>
      <c r="KN310" s="53"/>
      <c r="KO310" s="53"/>
      <c r="KP310" s="53"/>
      <c r="KQ310" s="53"/>
      <c r="KR310" s="53"/>
      <c r="KS310" s="53"/>
      <c r="KT310" s="53"/>
      <c r="KU310" s="53"/>
      <c r="KV310" s="53"/>
      <c r="KW310" s="53"/>
      <c r="KX310" s="53"/>
      <c r="KY310" s="53"/>
      <c r="KZ310" s="53"/>
      <c r="LA310" s="53"/>
      <c r="LB310" s="53"/>
      <c r="LC310" s="53"/>
      <c r="LD310" s="53"/>
      <c r="LE310" s="53"/>
      <c r="LF310" s="53"/>
      <c r="LG310" s="53"/>
      <c r="LH310" s="53"/>
      <c r="LI310" s="53"/>
      <c r="LJ310" s="53"/>
      <c r="LK310" s="53"/>
      <c r="LL310" s="53"/>
      <c r="LM310" s="53"/>
      <c r="LN310" s="53"/>
      <c r="LO310" s="53"/>
      <c r="LP310" s="53"/>
      <c r="LQ310" s="53"/>
      <c r="LR310" s="53"/>
      <c r="LS310" s="53"/>
      <c r="LT310" s="53"/>
      <c r="LU310" s="53"/>
      <c r="LV310" s="53"/>
      <c r="LW310" s="53"/>
      <c r="LX310" s="53"/>
      <c r="LY310" s="53"/>
      <c r="LZ310" s="53"/>
      <c r="MA310" s="53"/>
      <c r="MB310" s="53"/>
      <c r="MC310" s="53"/>
      <c r="MD310" s="53"/>
      <c r="ME310" s="53"/>
      <c r="MF310" s="53"/>
      <c r="MG310" s="53"/>
      <c r="MH310" s="53"/>
      <c r="MI310" s="53"/>
      <c r="MJ310" s="53"/>
      <c r="MK310" s="53"/>
      <c r="ML310" s="53"/>
      <c r="MM310" s="53"/>
      <c r="MN310" s="53"/>
      <c r="MO310" s="53"/>
      <c r="MP310" s="53"/>
      <c r="MQ310" s="53"/>
      <c r="MR310" s="53"/>
      <c r="MS310" s="53"/>
      <c r="MT310" s="53"/>
      <c r="MU310" s="53"/>
      <c r="MV310" s="53"/>
      <c r="MW310" s="53"/>
      <c r="MX310" s="53"/>
      <c r="MY310" s="53"/>
      <c r="MZ310" s="53"/>
      <c r="NA310" s="53"/>
      <c r="NB310" s="53"/>
      <c r="NC310" s="53"/>
      <c r="ND310" s="53"/>
      <c r="NE310" s="53"/>
      <c r="NF310" s="53"/>
      <c r="NG310" s="53"/>
      <c r="NH310" s="53"/>
      <c r="NI310" s="53"/>
      <c r="NJ310" s="53"/>
      <c r="NK310" s="53"/>
      <c r="NL310" s="53"/>
      <c r="NM310" s="53"/>
      <c r="NN310" s="53"/>
      <c r="NO310" s="53"/>
      <c r="NP310" s="53"/>
      <c r="NQ310" s="53"/>
      <c r="NR310" s="53"/>
      <c r="NS310" s="53"/>
      <c r="NT310" s="53"/>
      <c r="NU310" s="53"/>
      <c r="NV310" s="53"/>
      <c r="NW310" s="53"/>
      <c r="NX310" s="53"/>
      <c r="NY310" s="53"/>
      <c r="NZ310" s="53"/>
      <c r="OA310" s="53"/>
      <c r="OB310" s="53"/>
      <c r="OC310" s="53"/>
      <c r="OD310" s="53"/>
      <c r="OE310" s="53"/>
      <c r="OF310" s="53"/>
      <c r="OG310" s="53"/>
      <c r="OH310" s="53"/>
      <c r="OI310" s="53"/>
      <c r="OJ310" s="53"/>
      <c r="OK310" s="53"/>
      <c r="OL310" s="53"/>
      <c r="OM310" s="53"/>
      <c r="ON310" s="53"/>
      <c r="OO310" s="53"/>
      <c r="OP310" s="53"/>
      <c r="OQ310" s="53"/>
      <c r="OR310" s="53"/>
      <c r="OS310" s="53"/>
      <c r="OT310" s="53"/>
      <c r="OU310" s="53"/>
      <c r="OV310" s="53"/>
      <c r="OW310" s="53"/>
      <c r="OX310" s="53"/>
      <c r="OY310" s="53"/>
      <c r="OZ310" s="53"/>
      <c r="PA310" s="53"/>
      <c r="PB310" s="53"/>
      <c r="PC310" s="53"/>
      <c r="PD310" s="53"/>
      <c r="PE310" s="53"/>
      <c r="PF310" s="53"/>
      <c r="PG310" s="53"/>
      <c r="PH310" s="53"/>
      <c r="PI310" s="53"/>
      <c r="PJ310" s="53"/>
      <c r="PK310" s="53"/>
      <c r="PL310" s="53"/>
      <c r="PM310" s="53"/>
      <c r="PN310" s="53"/>
      <c r="PO310" s="53"/>
      <c r="PP310" s="53"/>
      <c r="PQ310" s="53"/>
      <c r="PR310" s="53"/>
      <c r="PS310" s="53"/>
      <c r="PT310" s="53"/>
      <c r="PU310" s="53"/>
      <c r="PV310" s="53"/>
      <c r="PW310" s="53"/>
      <c r="PX310" s="53"/>
      <c r="PY310" s="53"/>
      <c r="PZ310" s="53"/>
      <c r="QA310" s="53"/>
      <c r="QB310" s="53"/>
      <c r="QC310" s="53"/>
      <c r="QD310" s="53"/>
      <c r="QE310" s="53"/>
      <c r="QF310" s="53"/>
      <c r="QG310" s="53"/>
      <c r="QH310" s="53"/>
      <c r="QI310" s="53"/>
      <c r="QJ310" s="53"/>
      <c r="QK310" s="53"/>
      <c r="QL310" s="53"/>
      <c r="QM310" s="53"/>
      <c r="QN310" s="53"/>
      <c r="QO310" s="53"/>
      <c r="QP310" s="53"/>
      <c r="QQ310" s="53"/>
      <c r="QR310" s="53"/>
      <c r="QS310" s="53"/>
      <c r="QT310" s="53"/>
      <c r="QU310" s="53"/>
      <c r="QV310" s="53"/>
      <c r="QW310" s="53"/>
      <c r="QX310" s="53"/>
      <c r="QY310" s="53"/>
      <c r="QZ310" s="53"/>
      <c r="RA310" s="53"/>
      <c r="RB310" s="53"/>
      <c r="RC310" s="53"/>
      <c r="RD310" s="53"/>
      <c r="RE310" s="53"/>
      <c r="RF310" s="53"/>
      <c r="RG310" s="53"/>
      <c r="RH310" s="53"/>
      <c r="RI310" s="53"/>
      <c r="RJ310" s="53"/>
      <c r="RK310" s="53"/>
      <c r="RL310" s="53"/>
      <c r="RM310" s="53"/>
      <c r="RN310" s="53"/>
      <c r="RO310" s="53"/>
      <c r="RP310" s="53"/>
      <c r="RQ310" s="53"/>
      <c r="RR310" s="53"/>
      <c r="RS310" s="53"/>
      <c r="RT310" s="53"/>
      <c r="RU310" s="53"/>
      <c r="RV310" s="53"/>
      <c r="RW310" s="53"/>
      <c r="RX310" s="53"/>
      <c r="RY310" s="53"/>
      <c r="RZ310" s="53"/>
      <c r="SA310" s="53"/>
      <c r="SB310" s="53"/>
      <c r="SC310" s="53"/>
      <c r="SD310" s="53"/>
      <c r="SE310" s="53"/>
      <c r="SF310" s="53"/>
      <c r="SG310" s="53"/>
      <c r="SH310" s="53"/>
      <c r="SI310" s="53"/>
      <c r="SJ310" s="53"/>
      <c r="SK310" s="53"/>
      <c r="SL310" s="53"/>
      <c r="SM310" s="53"/>
      <c r="SN310" s="53"/>
      <c r="SO310" s="53"/>
      <c r="SP310" s="53"/>
      <c r="SQ310" s="53"/>
      <c r="SR310" s="53"/>
      <c r="SS310" s="53"/>
      <c r="ST310" s="53"/>
      <c r="SU310" s="53"/>
      <c r="SV310" s="53"/>
      <c r="SW310" s="53"/>
      <c r="SX310" s="53"/>
      <c r="SY310" s="53"/>
      <c r="SZ310" s="53"/>
      <c r="TA310" s="53"/>
      <c r="TB310" s="53"/>
      <c r="TC310" s="53"/>
      <c r="TD310" s="53"/>
      <c r="TE310" s="53"/>
      <c r="TF310" s="53"/>
      <c r="TG310" s="53"/>
      <c r="TH310" s="53"/>
      <c r="TI310" s="53"/>
      <c r="TJ310" s="53"/>
      <c r="TK310" s="53"/>
      <c r="TL310" s="53"/>
      <c r="TM310" s="53"/>
      <c r="TN310" s="53"/>
      <c r="TO310" s="53"/>
      <c r="TP310" s="53"/>
      <c r="TQ310" s="53"/>
      <c r="TR310" s="53"/>
      <c r="TS310" s="53"/>
      <c r="TT310" s="53"/>
      <c r="TU310" s="53"/>
      <c r="TV310" s="53"/>
      <c r="TW310" s="53"/>
      <c r="TX310" s="53"/>
      <c r="TY310" s="53"/>
      <c r="TZ310" s="53"/>
      <c r="UA310" s="53"/>
      <c r="UB310" s="53"/>
      <c r="UC310" s="53"/>
      <c r="UD310" s="53"/>
      <c r="UE310" s="53"/>
      <c r="UF310" s="53"/>
      <c r="UG310" s="53"/>
      <c r="UH310" s="53"/>
      <c r="UI310" s="53"/>
      <c r="UJ310" s="53"/>
      <c r="UK310" s="53"/>
      <c r="UL310" s="53"/>
      <c r="UM310" s="53"/>
      <c r="UN310" s="53"/>
      <c r="UO310" s="53"/>
      <c r="UP310" s="53"/>
      <c r="UQ310" s="53"/>
      <c r="UR310" s="53"/>
      <c r="US310" s="53"/>
      <c r="UT310" s="53"/>
      <c r="UU310" s="53"/>
      <c r="UV310" s="53"/>
      <c r="UW310" s="53"/>
      <c r="UX310" s="53"/>
      <c r="UY310" s="53"/>
      <c r="UZ310" s="53"/>
      <c r="VA310" s="53"/>
      <c r="VB310" s="53"/>
      <c r="VC310" s="53"/>
      <c r="VD310" s="53"/>
      <c r="VE310" s="53"/>
      <c r="VF310" s="53"/>
      <c r="VG310" s="53"/>
      <c r="VH310" s="53"/>
      <c r="VI310" s="53"/>
      <c r="VJ310" s="53"/>
      <c r="VK310" s="53"/>
      <c r="VL310" s="53"/>
    </row>
    <row r="311" spans="1:584" s="47" customFormat="1" ht="98.25" customHeight="1" x14ac:dyDescent="0.25">
      <c r="A311" s="45" t="s">
        <v>530</v>
      </c>
      <c r="B311" s="91" t="s">
        <v>532</v>
      </c>
      <c r="C311" s="91" t="s">
        <v>68</v>
      </c>
      <c r="D311" s="59" t="s">
        <v>531</v>
      </c>
      <c r="E311" s="115">
        <v>0</v>
      </c>
      <c r="F311" s="115"/>
      <c r="G311" s="115"/>
      <c r="H311" s="115"/>
      <c r="I311" s="115"/>
      <c r="J311" s="115"/>
      <c r="K311" s="135"/>
      <c r="L311" s="115">
        <f t="shared" si="109"/>
        <v>8000000</v>
      </c>
      <c r="M311" s="115"/>
      <c r="N311" s="115">
        <v>8000000</v>
      </c>
      <c r="O311" s="115"/>
      <c r="P311" s="115"/>
      <c r="Q311" s="115"/>
      <c r="R311" s="115">
        <f t="shared" si="110"/>
        <v>7943425.6399999997</v>
      </c>
      <c r="S311" s="115"/>
      <c r="T311" s="115">
        <v>7943425.6399999997</v>
      </c>
      <c r="U311" s="115"/>
      <c r="V311" s="115"/>
      <c r="W311" s="115"/>
      <c r="X311" s="166">
        <f t="shared" si="84"/>
        <v>99.292820500000005</v>
      </c>
      <c r="Y311" s="115">
        <f t="shared" si="108"/>
        <v>7943425.6399999997</v>
      </c>
      <c r="Z311" s="188">
        <v>17</v>
      </c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53"/>
      <c r="CS311" s="53"/>
      <c r="CT311" s="53"/>
      <c r="CU311" s="53"/>
      <c r="CV311" s="53"/>
      <c r="CW311" s="53"/>
      <c r="CX311" s="53"/>
      <c r="CY311" s="53"/>
      <c r="CZ311" s="53"/>
      <c r="DA311" s="53"/>
      <c r="DB311" s="53"/>
      <c r="DC311" s="53"/>
      <c r="DD311" s="53"/>
      <c r="DE311" s="53"/>
      <c r="DF311" s="53"/>
      <c r="DG311" s="53"/>
      <c r="DH311" s="53"/>
      <c r="DI311" s="53"/>
      <c r="DJ311" s="53"/>
      <c r="DK311" s="53"/>
      <c r="DL311" s="53"/>
      <c r="DM311" s="53"/>
      <c r="DN311" s="53"/>
      <c r="DO311" s="53"/>
      <c r="DP311" s="53"/>
      <c r="DQ311" s="53"/>
      <c r="DR311" s="53"/>
      <c r="DS311" s="53"/>
      <c r="DT311" s="53"/>
      <c r="DU311" s="53"/>
      <c r="DV311" s="53"/>
      <c r="DW311" s="53"/>
      <c r="DX311" s="53"/>
      <c r="DY311" s="53"/>
      <c r="DZ311" s="53"/>
      <c r="EA311" s="53"/>
      <c r="EB311" s="53"/>
      <c r="EC311" s="53"/>
      <c r="ED311" s="53"/>
      <c r="EE311" s="53"/>
      <c r="EF311" s="53"/>
      <c r="EG311" s="53"/>
      <c r="EH311" s="53"/>
      <c r="EI311" s="53"/>
      <c r="EJ311" s="53"/>
      <c r="EK311" s="53"/>
      <c r="EL311" s="53"/>
      <c r="EM311" s="53"/>
      <c r="EN311" s="53"/>
      <c r="EO311" s="53"/>
      <c r="EP311" s="53"/>
      <c r="EQ311" s="53"/>
      <c r="ER311" s="53"/>
      <c r="ES311" s="53"/>
      <c r="ET311" s="53"/>
      <c r="EU311" s="53"/>
      <c r="EV311" s="53"/>
      <c r="EW311" s="53"/>
      <c r="EX311" s="53"/>
      <c r="EY311" s="53"/>
      <c r="EZ311" s="53"/>
      <c r="FA311" s="53"/>
      <c r="FB311" s="53"/>
      <c r="FC311" s="53"/>
      <c r="FD311" s="53"/>
      <c r="FE311" s="53"/>
      <c r="FF311" s="53"/>
      <c r="FG311" s="53"/>
      <c r="FH311" s="53"/>
      <c r="FI311" s="53"/>
      <c r="FJ311" s="53"/>
      <c r="FK311" s="53"/>
      <c r="FL311" s="53"/>
      <c r="FM311" s="53"/>
      <c r="FN311" s="53"/>
      <c r="FO311" s="53"/>
      <c r="FP311" s="53"/>
      <c r="FQ311" s="53"/>
      <c r="FR311" s="53"/>
      <c r="FS311" s="53"/>
      <c r="FT311" s="53"/>
      <c r="FU311" s="53"/>
      <c r="FV311" s="53"/>
      <c r="FW311" s="53"/>
      <c r="FX311" s="53"/>
      <c r="FY311" s="53"/>
      <c r="FZ311" s="53"/>
      <c r="GA311" s="53"/>
      <c r="GB311" s="53"/>
      <c r="GC311" s="53"/>
      <c r="GD311" s="53"/>
      <c r="GE311" s="53"/>
      <c r="GF311" s="53"/>
      <c r="GG311" s="53"/>
      <c r="GH311" s="53"/>
      <c r="GI311" s="53"/>
      <c r="GJ311" s="53"/>
      <c r="GK311" s="53"/>
      <c r="GL311" s="53"/>
      <c r="GM311" s="53"/>
      <c r="GN311" s="53"/>
      <c r="GO311" s="53"/>
      <c r="GP311" s="53"/>
      <c r="GQ311" s="53"/>
      <c r="GR311" s="53"/>
      <c r="GS311" s="53"/>
      <c r="GT311" s="53"/>
      <c r="GU311" s="53"/>
      <c r="GV311" s="53"/>
      <c r="GW311" s="53"/>
      <c r="GX311" s="53"/>
      <c r="GY311" s="53"/>
      <c r="GZ311" s="53"/>
      <c r="HA311" s="53"/>
      <c r="HB311" s="53"/>
      <c r="HC311" s="53"/>
      <c r="HD311" s="53"/>
      <c r="HE311" s="53"/>
      <c r="HF311" s="53"/>
      <c r="HG311" s="53"/>
      <c r="HH311" s="53"/>
      <c r="HI311" s="53"/>
      <c r="HJ311" s="53"/>
      <c r="HK311" s="53"/>
      <c r="HL311" s="53"/>
      <c r="HM311" s="53"/>
      <c r="HN311" s="53"/>
      <c r="HO311" s="53"/>
      <c r="HP311" s="53"/>
      <c r="HQ311" s="53"/>
      <c r="HR311" s="53"/>
      <c r="HS311" s="53"/>
      <c r="HT311" s="53"/>
      <c r="HU311" s="53"/>
      <c r="HV311" s="53"/>
      <c r="HW311" s="53"/>
      <c r="HX311" s="53"/>
      <c r="HY311" s="53"/>
      <c r="HZ311" s="53"/>
      <c r="IA311" s="53"/>
      <c r="IB311" s="53"/>
      <c r="IC311" s="53"/>
      <c r="ID311" s="53"/>
      <c r="IE311" s="53"/>
      <c r="IF311" s="53"/>
      <c r="IG311" s="53"/>
      <c r="IH311" s="53"/>
      <c r="II311" s="53"/>
      <c r="IJ311" s="53"/>
      <c r="IK311" s="53"/>
      <c r="IL311" s="53"/>
      <c r="IM311" s="53"/>
      <c r="IN311" s="53"/>
      <c r="IO311" s="53"/>
      <c r="IP311" s="53"/>
      <c r="IQ311" s="53"/>
      <c r="IR311" s="53"/>
      <c r="IS311" s="53"/>
      <c r="IT311" s="53"/>
      <c r="IU311" s="53"/>
      <c r="IV311" s="53"/>
      <c r="IW311" s="53"/>
      <c r="IX311" s="53"/>
      <c r="IY311" s="53"/>
      <c r="IZ311" s="53"/>
      <c r="JA311" s="53"/>
      <c r="JB311" s="53"/>
      <c r="JC311" s="53"/>
      <c r="JD311" s="53"/>
      <c r="JE311" s="53"/>
      <c r="JF311" s="53"/>
      <c r="JG311" s="53"/>
      <c r="JH311" s="53"/>
      <c r="JI311" s="53"/>
      <c r="JJ311" s="53"/>
      <c r="JK311" s="53"/>
      <c r="JL311" s="53"/>
      <c r="JM311" s="53"/>
      <c r="JN311" s="53"/>
      <c r="JO311" s="53"/>
      <c r="JP311" s="53"/>
      <c r="JQ311" s="53"/>
      <c r="JR311" s="53"/>
      <c r="JS311" s="53"/>
      <c r="JT311" s="53"/>
      <c r="JU311" s="53"/>
      <c r="JV311" s="53"/>
      <c r="JW311" s="53"/>
      <c r="JX311" s="53"/>
      <c r="JY311" s="53"/>
      <c r="JZ311" s="53"/>
      <c r="KA311" s="53"/>
      <c r="KB311" s="53"/>
      <c r="KC311" s="53"/>
      <c r="KD311" s="53"/>
      <c r="KE311" s="53"/>
      <c r="KF311" s="53"/>
      <c r="KG311" s="53"/>
      <c r="KH311" s="53"/>
      <c r="KI311" s="53"/>
      <c r="KJ311" s="53"/>
      <c r="KK311" s="53"/>
      <c r="KL311" s="53"/>
      <c r="KM311" s="53"/>
      <c r="KN311" s="53"/>
      <c r="KO311" s="53"/>
      <c r="KP311" s="53"/>
      <c r="KQ311" s="53"/>
      <c r="KR311" s="53"/>
      <c r="KS311" s="53"/>
      <c r="KT311" s="53"/>
      <c r="KU311" s="53"/>
      <c r="KV311" s="53"/>
      <c r="KW311" s="53"/>
      <c r="KX311" s="53"/>
      <c r="KY311" s="53"/>
      <c r="KZ311" s="53"/>
      <c r="LA311" s="53"/>
      <c r="LB311" s="53"/>
      <c r="LC311" s="53"/>
      <c r="LD311" s="53"/>
      <c r="LE311" s="53"/>
      <c r="LF311" s="53"/>
      <c r="LG311" s="53"/>
      <c r="LH311" s="53"/>
      <c r="LI311" s="53"/>
      <c r="LJ311" s="53"/>
      <c r="LK311" s="53"/>
      <c r="LL311" s="53"/>
      <c r="LM311" s="53"/>
      <c r="LN311" s="53"/>
      <c r="LO311" s="53"/>
      <c r="LP311" s="53"/>
      <c r="LQ311" s="53"/>
      <c r="LR311" s="53"/>
      <c r="LS311" s="53"/>
      <c r="LT311" s="53"/>
      <c r="LU311" s="53"/>
      <c r="LV311" s="53"/>
      <c r="LW311" s="53"/>
      <c r="LX311" s="53"/>
      <c r="LY311" s="53"/>
      <c r="LZ311" s="53"/>
      <c r="MA311" s="53"/>
      <c r="MB311" s="53"/>
      <c r="MC311" s="53"/>
      <c r="MD311" s="53"/>
      <c r="ME311" s="53"/>
      <c r="MF311" s="53"/>
      <c r="MG311" s="53"/>
      <c r="MH311" s="53"/>
      <c r="MI311" s="53"/>
      <c r="MJ311" s="53"/>
      <c r="MK311" s="53"/>
      <c r="ML311" s="53"/>
      <c r="MM311" s="53"/>
      <c r="MN311" s="53"/>
      <c r="MO311" s="53"/>
      <c r="MP311" s="53"/>
      <c r="MQ311" s="53"/>
      <c r="MR311" s="53"/>
      <c r="MS311" s="53"/>
      <c r="MT311" s="53"/>
      <c r="MU311" s="53"/>
      <c r="MV311" s="53"/>
      <c r="MW311" s="53"/>
      <c r="MX311" s="53"/>
      <c r="MY311" s="53"/>
      <c r="MZ311" s="53"/>
      <c r="NA311" s="53"/>
      <c r="NB311" s="53"/>
      <c r="NC311" s="53"/>
      <c r="ND311" s="53"/>
      <c r="NE311" s="53"/>
      <c r="NF311" s="53"/>
      <c r="NG311" s="53"/>
      <c r="NH311" s="53"/>
      <c r="NI311" s="53"/>
      <c r="NJ311" s="53"/>
      <c r="NK311" s="53"/>
      <c r="NL311" s="53"/>
      <c r="NM311" s="53"/>
      <c r="NN311" s="53"/>
      <c r="NO311" s="53"/>
      <c r="NP311" s="53"/>
      <c r="NQ311" s="53"/>
      <c r="NR311" s="53"/>
      <c r="NS311" s="53"/>
      <c r="NT311" s="53"/>
      <c r="NU311" s="53"/>
      <c r="NV311" s="53"/>
      <c r="NW311" s="53"/>
      <c r="NX311" s="53"/>
      <c r="NY311" s="53"/>
      <c r="NZ311" s="53"/>
      <c r="OA311" s="53"/>
      <c r="OB311" s="53"/>
      <c r="OC311" s="53"/>
      <c r="OD311" s="53"/>
      <c r="OE311" s="53"/>
      <c r="OF311" s="53"/>
      <c r="OG311" s="53"/>
      <c r="OH311" s="53"/>
      <c r="OI311" s="53"/>
      <c r="OJ311" s="53"/>
      <c r="OK311" s="53"/>
      <c r="OL311" s="53"/>
      <c r="OM311" s="53"/>
      <c r="ON311" s="53"/>
      <c r="OO311" s="53"/>
      <c r="OP311" s="53"/>
      <c r="OQ311" s="53"/>
      <c r="OR311" s="53"/>
      <c r="OS311" s="53"/>
      <c r="OT311" s="53"/>
      <c r="OU311" s="53"/>
      <c r="OV311" s="53"/>
      <c r="OW311" s="53"/>
      <c r="OX311" s="53"/>
      <c r="OY311" s="53"/>
      <c r="OZ311" s="53"/>
      <c r="PA311" s="53"/>
      <c r="PB311" s="53"/>
      <c r="PC311" s="53"/>
      <c r="PD311" s="53"/>
      <c r="PE311" s="53"/>
      <c r="PF311" s="53"/>
      <c r="PG311" s="53"/>
      <c r="PH311" s="53"/>
      <c r="PI311" s="53"/>
      <c r="PJ311" s="53"/>
      <c r="PK311" s="53"/>
      <c r="PL311" s="53"/>
      <c r="PM311" s="53"/>
      <c r="PN311" s="53"/>
      <c r="PO311" s="53"/>
      <c r="PP311" s="53"/>
      <c r="PQ311" s="53"/>
      <c r="PR311" s="53"/>
      <c r="PS311" s="53"/>
      <c r="PT311" s="53"/>
      <c r="PU311" s="53"/>
      <c r="PV311" s="53"/>
      <c r="PW311" s="53"/>
      <c r="PX311" s="53"/>
      <c r="PY311" s="53"/>
      <c r="PZ311" s="53"/>
      <c r="QA311" s="53"/>
      <c r="QB311" s="53"/>
      <c r="QC311" s="53"/>
      <c r="QD311" s="53"/>
      <c r="QE311" s="53"/>
      <c r="QF311" s="53"/>
      <c r="QG311" s="53"/>
      <c r="QH311" s="53"/>
      <c r="QI311" s="53"/>
      <c r="QJ311" s="53"/>
      <c r="QK311" s="53"/>
      <c r="QL311" s="53"/>
      <c r="QM311" s="53"/>
      <c r="QN311" s="53"/>
      <c r="QO311" s="53"/>
      <c r="QP311" s="53"/>
      <c r="QQ311" s="53"/>
      <c r="QR311" s="53"/>
      <c r="QS311" s="53"/>
      <c r="QT311" s="53"/>
      <c r="QU311" s="53"/>
      <c r="QV311" s="53"/>
      <c r="QW311" s="53"/>
      <c r="QX311" s="53"/>
      <c r="QY311" s="53"/>
      <c r="QZ311" s="53"/>
      <c r="RA311" s="53"/>
      <c r="RB311" s="53"/>
      <c r="RC311" s="53"/>
      <c r="RD311" s="53"/>
      <c r="RE311" s="53"/>
      <c r="RF311" s="53"/>
      <c r="RG311" s="53"/>
      <c r="RH311" s="53"/>
      <c r="RI311" s="53"/>
      <c r="RJ311" s="53"/>
      <c r="RK311" s="53"/>
      <c r="RL311" s="53"/>
      <c r="RM311" s="53"/>
      <c r="RN311" s="53"/>
      <c r="RO311" s="53"/>
      <c r="RP311" s="53"/>
      <c r="RQ311" s="53"/>
      <c r="RR311" s="53"/>
      <c r="RS311" s="53"/>
      <c r="RT311" s="53"/>
      <c r="RU311" s="53"/>
      <c r="RV311" s="53"/>
      <c r="RW311" s="53"/>
      <c r="RX311" s="53"/>
      <c r="RY311" s="53"/>
      <c r="RZ311" s="53"/>
      <c r="SA311" s="53"/>
      <c r="SB311" s="53"/>
      <c r="SC311" s="53"/>
      <c r="SD311" s="53"/>
      <c r="SE311" s="53"/>
      <c r="SF311" s="53"/>
      <c r="SG311" s="53"/>
      <c r="SH311" s="53"/>
      <c r="SI311" s="53"/>
      <c r="SJ311" s="53"/>
      <c r="SK311" s="53"/>
      <c r="SL311" s="53"/>
      <c r="SM311" s="53"/>
      <c r="SN311" s="53"/>
      <c r="SO311" s="53"/>
      <c r="SP311" s="53"/>
      <c r="SQ311" s="53"/>
      <c r="SR311" s="53"/>
      <c r="SS311" s="53"/>
      <c r="ST311" s="53"/>
      <c r="SU311" s="53"/>
      <c r="SV311" s="53"/>
      <c r="SW311" s="53"/>
      <c r="SX311" s="53"/>
      <c r="SY311" s="53"/>
      <c r="SZ311" s="53"/>
      <c r="TA311" s="53"/>
      <c r="TB311" s="53"/>
      <c r="TC311" s="53"/>
      <c r="TD311" s="53"/>
      <c r="TE311" s="53"/>
      <c r="TF311" s="53"/>
      <c r="TG311" s="53"/>
      <c r="TH311" s="53"/>
      <c r="TI311" s="53"/>
      <c r="TJ311" s="53"/>
      <c r="TK311" s="53"/>
      <c r="TL311" s="53"/>
      <c r="TM311" s="53"/>
      <c r="TN311" s="53"/>
      <c r="TO311" s="53"/>
      <c r="TP311" s="53"/>
      <c r="TQ311" s="53"/>
      <c r="TR311" s="53"/>
      <c r="TS311" s="53"/>
      <c r="TT311" s="53"/>
      <c r="TU311" s="53"/>
      <c r="TV311" s="53"/>
      <c r="TW311" s="53"/>
      <c r="TX311" s="53"/>
      <c r="TY311" s="53"/>
      <c r="TZ311" s="53"/>
      <c r="UA311" s="53"/>
      <c r="UB311" s="53"/>
      <c r="UC311" s="53"/>
      <c r="UD311" s="53"/>
      <c r="UE311" s="53"/>
      <c r="UF311" s="53"/>
      <c r="UG311" s="53"/>
      <c r="UH311" s="53"/>
      <c r="UI311" s="53"/>
      <c r="UJ311" s="53"/>
      <c r="UK311" s="53"/>
      <c r="UL311" s="53"/>
      <c r="UM311" s="53"/>
      <c r="UN311" s="53"/>
      <c r="UO311" s="53"/>
      <c r="UP311" s="53"/>
      <c r="UQ311" s="53"/>
      <c r="UR311" s="53"/>
      <c r="US311" s="53"/>
      <c r="UT311" s="53"/>
      <c r="UU311" s="53"/>
      <c r="UV311" s="53"/>
      <c r="UW311" s="53"/>
      <c r="UX311" s="53"/>
      <c r="UY311" s="53"/>
      <c r="UZ311" s="53"/>
      <c r="VA311" s="53"/>
      <c r="VB311" s="53"/>
      <c r="VC311" s="53"/>
      <c r="VD311" s="53"/>
      <c r="VE311" s="53"/>
      <c r="VF311" s="53"/>
      <c r="VG311" s="53"/>
      <c r="VH311" s="53"/>
      <c r="VI311" s="53"/>
      <c r="VJ311" s="53"/>
      <c r="VK311" s="53"/>
      <c r="VL311" s="53"/>
    </row>
    <row r="312" spans="1:584" s="47" customFormat="1" ht="18.75" customHeight="1" x14ac:dyDescent="0.25">
      <c r="A312" s="45"/>
      <c r="B312" s="91"/>
      <c r="C312" s="91"/>
      <c r="D312" s="46" t="s">
        <v>342</v>
      </c>
      <c r="E312" s="115">
        <v>0</v>
      </c>
      <c r="F312" s="115"/>
      <c r="G312" s="115"/>
      <c r="H312" s="115"/>
      <c r="I312" s="115"/>
      <c r="J312" s="115"/>
      <c r="K312" s="135"/>
      <c r="L312" s="115">
        <f t="shared" si="109"/>
        <v>8000000</v>
      </c>
      <c r="M312" s="115"/>
      <c r="N312" s="115">
        <v>8000000</v>
      </c>
      <c r="O312" s="115"/>
      <c r="P312" s="115"/>
      <c r="Q312" s="115"/>
      <c r="R312" s="115">
        <f t="shared" si="110"/>
        <v>7943425.6399999997</v>
      </c>
      <c r="S312" s="115"/>
      <c r="T312" s="115">
        <v>7943425.6399999997</v>
      </c>
      <c r="U312" s="115"/>
      <c r="V312" s="115"/>
      <c r="W312" s="115"/>
      <c r="X312" s="166">
        <f t="shared" si="84"/>
        <v>99.292820500000005</v>
      </c>
      <c r="Y312" s="115">
        <f t="shared" si="108"/>
        <v>7943425.6399999997</v>
      </c>
      <c r="Z312" s="188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53"/>
      <c r="CS312" s="53"/>
      <c r="CT312" s="53"/>
      <c r="CU312" s="53"/>
      <c r="CV312" s="53"/>
      <c r="CW312" s="53"/>
      <c r="CX312" s="53"/>
      <c r="CY312" s="53"/>
      <c r="CZ312" s="53"/>
      <c r="DA312" s="53"/>
      <c r="DB312" s="53"/>
      <c r="DC312" s="53"/>
      <c r="DD312" s="53"/>
      <c r="DE312" s="53"/>
      <c r="DF312" s="53"/>
      <c r="DG312" s="53"/>
      <c r="DH312" s="53"/>
      <c r="DI312" s="53"/>
      <c r="DJ312" s="53"/>
      <c r="DK312" s="53"/>
      <c r="DL312" s="53"/>
      <c r="DM312" s="53"/>
      <c r="DN312" s="53"/>
      <c r="DO312" s="53"/>
      <c r="DP312" s="53"/>
      <c r="DQ312" s="53"/>
      <c r="DR312" s="53"/>
      <c r="DS312" s="53"/>
      <c r="DT312" s="53"/>
      <c r="DU312" s="53"/>
      <c r="DV312" s="53"/>
      <c r="DW312" s="53"/>
      <c r="DX312" s="53"/>
      <c r="DY312" s="53"/>
      <c r="DZ312" s="53"/>
      <c r="EA312" s="53"/>
      <c r="EB312" s="53"/>
      <c r="EC312" s="53"/>
      <c r="ED312" s="53"/>
      <c r="EE312" s="53"/>
      <c r="EF312" s="53"/>
      <c r="EG312" s="53"/>
      <c r="EH312" s="53"/>
      <c r="EI312" s="53"/>
      <c r="EJ312" s="53"/>
      <c r="EK312" s="53"/>
      <c r="EL312" s="53"/>
      <c r="EM312" s="53"/>
      <c r="EN312" s="53"/>
      <c r="EO312" s="53"/>
      <c r="EP312" s="53"/>
      <c r="EQ312" s="53"/>
      <c r="ER312" s="53"/>
      <c r="ES312" s="53"/>
      <c r="ET312" s="53"/>
      <c r="EU312" s="53"/>
      <c r="EV312" s="53"/>
      <c r="EW312" s="53"/>
      <c r="EX312" s="53"/>
      <c r="EY312" s="53"/>
      <c r="EZ312" s="53"/>
      <c r="FA312" s="53"/>
      <c r="FB312" s="53"/>
      <c r="FC312" s="53"/>
      <c r="FD312" s="53"/>
      <c r="FE312" s="53"/>
      <c r="FF312" s="53"/>
      <c r="FG312" s="53"/>
      <c r="FH312" s="53"/>
      <c r="FI312" s="53"/>
      <c r="FJ312" s="53"/>
      <c r="FK312" s="53"/>
      <c r="FL312" s="53"/>
      <c r="FM312" s="53"/>
      <c r="FN312" s="53"/>
      <c r="FO312" s="53"/>
      <c r="FP312" s="53"/>
      <c r="FQ312" s="53"/>
      <c r="FR312" s="53"/>
      <c r="FS312" s="53"/>
      <c r="FT312" s="53"/>
      <c r="FU312" s="53"/>
      <c r="FV312" s="53"/>
      <c r="FW312" s="53"/>
      <c r="FX312" s="53"/>
      <c r="FY312" s="53"/>
      <c r="FZ312" s="53"/>
      <c r="GA312" s="53"/>
      <c r="GB312" s="53"/>
      <c r="GC312" s="53"/>
      <c r="GD312" s="53"/>
      <c r="GE312" s="53"/>
      <c r="GF312" s="53"/>
      <c r="GG312" s="53"/>
      <c r="GH312" s="53"/>
      <c r="GI312" s="53"/>
      <c r="GJ312" s="53"/>
      <c r="GK312" s="53"/>
      <c r="GL312" s="53"/>
      <c r="GM312" s="53"/>
      <c r="GN312" s="53"/>
      <c r="GO312" s="53"/>
      <c r="GP312" s="53"/>
      <c r="GQ312" s="53"/>
      <c r="GR312" s="53"/>
      <c r="GS312" s="53"/>
      <c r="GT312" s="53"/>
      <c r="GU312" s="53"/>
      <c r="GV312" s="53"/>
      <c r="GW312" s="53"/>
      <c r="GX312" s="53"/>
      <c r="GY312" s="53"/>
      <c r="GZ312" s="53"/>
      <c r="HA312" s="53"/>
      <c r="HB312" s="53"/>
      <c r="HC312" s="53"/>
      <c r="HD312" s="53"/>
      <c r="HE312" s="53"/>
      <c r="HF312" s="53"/>
      <c r="HG312" s="53"/>
      <c r="HH312" s="53"/>
      <c r="HI312" s="53"/>
      <c r="HJ312" s="53"/>
      <c r="HK312" s="53"/>
      <c r="HL312" s="53"/>
      <c r="HM312" s="53"/>
      <c r="HN312" s="53"/>
      <c r="HO312" s="53"/>
      <c r="HP312" s="53"/>
      <c r="HQ312" s="53"/>
      <c r="HR312" s="53"/>
      <c r="HS312" s="53"/>
      <c r="HT312" s="53"/>
      <c r="HU312" s="53"/>
      <c r="HV312" s="53"/>
      <c r="HW312" s="53"/>
      <c r="HX312" s="53"/>
      <c r="HY312" s="53"/>
      <c r="HZ312" s="53"/>
      <c r="IA312" s="53"/>
      <c r="IB312" s="53"/>
      <c r="IC312" s="53"/>
      <c r="ID312" s="53"/>
      <c r="IE312" s="53"/>
      <c r="IF312" s="53"/>
      <c r="IG312" s="53"/>
      <c r="IH312" s="53"/>
      <c r="II312" s="53"/>
      <c r="IJ312" s="53"/>
      <c r="IK312" s="53"/>
      <c r="IL312" s="53"/>
      <c r="IM312" s="53"/>
      <c r="IN312" s="53"/>
      <c r="IO312" s="53"/>
      <c r="IP312" s="53"/>
      <c r="IQ312" s="53"/>
      <c r="IR312" s="53"/>
      <c r="IS312" s="53"/>
      <c r="IT312" s="53"/>
      <c r="IU312" s="53"/>
      <c r="IV312" s="53"/>
      <c r="IW312" s="53"/>
      <c r="IX312" s="53"/>
      <c r="IY312" s="53"/>
      <c r="IZ312" s="53"/>
      <c r="JA312" s="53"/>
      <c r="JB312" s="53"/>
      <c r="JC312" s="53"/>
      <c r="JD312" s="53"/>
      <c r="JE312" s="53"/>
      <c r="JF312" s="53"/>
      <c r="JG312" s="53"/>
      <c r="JH312" s="53"/>
      <c r="JI312" s="53"/>
      <c r="JJ312" s="53"/>
      <c r="JK312" s="53"/>
      <c r="JL312" s="53"/>
      <c r="JM312" s="53"/>
      <c r="JN312" s="53"/>
      <c r="JO312" s="53"/>
      <c r="JP312" s="53"/>
      <c r="JQ312" s="53"/>
      <c r="JR312" s="53"/>
      <c r="JS312" s="53"/>
      <c r="JT312" s="53"/>
      <c r="JU312" s="53"/>
      <c r="JV312" s="53"/>
      <c r="JW312" s="53"/>
      <c r="JX312" s="53"/>
      <c r="JY312" s="53"/>
      <c r="JZ312" s="53"/>
      <c r="KA312" s="53"/>
      <c r="KB312" s="53"/>
      <c r="KC312" s="53"/>
      <c r="KD312" s="53"/>
      <c r="KE312" s="53"/>
      <c r="KF312" s="53"/>
      <c r="KG312" s="53"/>
      <c r="KH312" s="53"/>
      <c r="KI312" s="53"/>
      <c r="KJ312" s="53"/>
      <c r="KK312" s="53"/>
      <c r="KL312" s="53"/>
      <c r="KM312" s="53"/>
      <c r="KN312" s="53"/>
      <c r="KO312" s="53"/>
      <c r="KP312" s="53"/>
      <c r="KQ312" s="53"/>
      <c r="KR312" s="53"/>
      <c r="KS312" s="53"/>
      <c r="KT312" s="53"/>
      <c r="KU312" s="53"/>
      <c r="KV312" s="53"/>
      <c r="KW312" s="53"/>
      <c r="KX312" s="53"/>
      <c r="KY312" s="53"/>
      <c r="KZ312" s="53"/>
      <c r="LA312" s="53"/>
      <c r="LB312" s="53"/>
      <c r="LC312" s="53"/>
      <c r="LD312" s="53"/>
      <c r="LE312" s="53"/>
      <c r="LF312" s="53"/>
      <c r="LG312" s="53"/>
      <c r="LH312" s="53"/>
      <c r="LI312" s="53"/>
      <c r="LJ312" s="53"/>
      <c r="LK312" s="53"/>
      <c r="LL312" s="53"/>
      <c r="LM312" s="53"/>
      <c r="LN312" s="53"/>
      <c r="LO312" s="53"/>
      <c r="LP312" s="53"/>
      <c r="LQ312" s="53"/>
      <c r="LR312" s="53"/>
      <c r="LS312" s="53"/>
      <c r="LT312" s="53"/>
      <c r="LU312" s="53"/>
      <c r="LV312" s="53"/>
      <c r="LW312" s="53"/>
      <c r="LX312" s="53"/>
      <c r="LY312" s="53"/>
      <c r="LZ312" s="53"/>
      <c r="MA312" s="53"/>
      <c r="MB312" s="53"/>
      <c r="MC312" s="53"/>
      <c r="MD312" s="53"/>
      <c r="ME312" s="53"/>
      <c r="MF312" s="53"/>
      <c r="MG312" s="53"/>
      <c r="MH312" s="53"/>
      <c r="MI312" s="53"/>
      <c r="MJ312" s="53"/>
      <c r="MK312" s="53"/>
      <c r="ML312" s="53"/>
      <c r="MM312" s="53"/>
      <c r="MN312" s="53"/>
      <c r="MO312" s="53"/>
      <c r="MP312" s="53"/>
      <c r="MQ312" s="53"/>
      <c r="MR312" s="53"/>
      <c r="MS312" s="53"/>
      <c r="MT312" s="53"/>
      <c r="MU312" s="53"/>
      <c r="MV312" s="53"/>
      <c r="MW312" s="53"/>
      <c r="MX312" s="53"/>
      <c r="MY312" s="53"/>
      <c r="MZ312" s="53"/>
      <c r="NA312" s="53"/>
      <c r="NB312" s="53"/>
      <c r="NC312" s="53"/>
      <c r="ND312" s="53"/>
      <c r="NE312" s="53"/>
      <c r="NF312" s="53"/>
      <c r="NG312" s="53"/>
      <c r="NH312" s="53"/>
      <c r="NI312" s="53"/>
      <c r="NJ312" s="53"/>
      <c r="NK312" s="53"/>
      <c r="NL312" s="53"/>
      <c r="NM312" s="53"/>
      <c r="NN312" s="53"/>
      <c r="NO312" s="53"/>
      <c r="NP312" s="53"/>
      <c r="NQ312" s="53"/>
      <c r="NR312" s="53"/>
      <c r="NS312" s="53"/>
      <c r="NT312" s="53"/>
      <c r="NU312" s="53"/>
      <c r="NV312" s="53"/>
      <c r="NW312" s="53"/>
      <c r="NX312" s="53"/>
      <c r="NY312" s="53"/>
      <c r="NZ312" s="53"/>
      <c r="OA312" s="53"/>
      <c r="OB312" s="53"/>
      <c r="OC312" s="53"/>
      <c r="OD312" s="53"/>
      <c r="OE312" s="53"/>
      <c r="OF312" s="53"/>
      <c r="OG312" s="53"/>
      <c r="OH312" s="53"/>
      <c r="OI312" s="53"/>
      <c r="OJ312" s="53"/>
      <c r="OK312" s="53"/>
      <c r="OL312" s="53"/>
      <c r="OM312" s="53"/>
      <c r="ON312" s="53"/>
      <c r="OO312" s="53"/>
      <c r="OP312" s="53"/>
      <c r="OQ312" s="53"/>
      <c r="OR312" s="53"/>
      <c r="OS312" s="53"/>
      <c r="OT312" s="53"/>
      <c r="OU312" s="53"/>
      <c r="OV312" s="53"/>
      <c r="OW312" s="53"/>
      <c r="OX312" s="53"/>
      <c r="OY312" s="53"/>
      <c r="OZ312" s="53"/>
      <c r="PA312" s="53"/>
      <c r="PB312" s="53"/>
      <c r="PC312" s="53"/>
      <c r="PD312" s="53"/>
      <c r="PE312" s="53"/>
      <c r="PF312" s="53"/>
      <c r="PG312" s="53"/>
      <c r="PH312" s="53"/>
      <c r="PI312" s="53"/>
      <c r="PJ312" s="53"/>
      <c r="PK312" s="53"/>
      <c r="PL312" s="53"/>
      <c r="PM312" s="53"/>
      <c r="PN312" s="53"/>
      <c r="PO312" s="53"/>
      <c r="PP312" s="53"/>
      <c r="PQ312" s="53"/>
      <c r="PR312" s="53"/>
      <c r="PS312" s="53"/>
      <c r="PT312" s="53"/>
      <c r="PU312" s="53"/>
      <c r="PV312" s="53"/>
      <c r="PW312" s="53"/>
      <c r="PX312" s="53"/>
      <c r="PY312" s="53"/>
      <c r="PZ312" s="53"/>
      <c r="QA312" s="53"/>
      <c r="QB312" s="53"/>
      <c r="QC312" s="53"/>
      <c r="QD312" s="53"/>
      <c r="QE312" s="53"/>
      <c r="QF312" s="53"/>
      <c r="QG312" s="53"/>
      <c r="QH312" s="53"/>
      <c r="QI312" s="53"/>
      <c r="QJ312" s="53"/>
      <c r="QK312" s="53"/>
      <c r="QL312" s="53"/>
      <c r="QM312" s="53"/>
      <c r="QN312" s="53"/>
      <c r="QO312" s="53"/>
      <c r="QP312" s="53"/>
      <c r="QQ312" s="53"/>
      <c r="QR312" s="53"/>
      <c r="QS312" s="53"/>
      <c r="QT312" s="53"/>
      <c r="QU312" s="53"/>
      <c r="QV312" s="53"/>
      <c r="QW312" s="53"/>
      <c r="QX312" s="53"/>
      <c r="QY312" s="53"/>
      <c r="QZ312" s="53"/>
      <c r="RA312" s="53"/>
      <c r="RB312" s="53"/>
      <c r="RC312" s="53"/>
      <c r="RD312" s="53"/>
      <c r="RE312" s="53"/>
      <c r="RF312" s="53"/>
      <c r="RG312" s="53"/>
      <c r="RH312" s="53"/>
      <c r="RI312" s="53"/>
      <c r="RJ312" s="53"/>
      <c r="RK312" s="53"/>
      <c r="RL312" s="53"/>
      <c r="RM312" s="53"/>
      <c r="RN312" s="53"/>
      <c r="RO312" s="53"/>
      <c r="RP312" s="53"/>
      <c r="RQ312" s="53"/>
      <c r="RR312" s="53"/>
      <c r="RS312" s="53"/>
      <c r="RT312" s="53"/>
      <c r="RU312" s="53"/>
      <c r="RV312" s="53"/>
      <c r="RW312" s="53"/>
      <c r="RX312" s="53"/>
      <c r="RY312" s="53"/>
      <c r="RZ312" s="53"/>
      <c r="SA312" s="53"/>
      <c r="SB312" s="53"/>
      <c r="SC312" s="53"/>
      <c r="SD312" s="53"/>
      <c r="SE312" s="53"/>
      <c r="SF312" s="53"/>
      <c r="SG312" s="53"/>
      <c r="SH312" s="53"/>
      <c r="SI312" s="53"/>
      <c r="SJ312" s="53"/>
      <c r="SK312" s="53"/>
      <c r="SL312" s="53"/>
      <c r="SM312" s="53"/>
      <c r="SN312" s="53"/>
      <c r="SO312" s="53"/>
      <c r="SP312" s="53"/>
      <c r="SQ312" s="53"/>
      <c r="SR312" s="53"/>
      <c r="SS312" s="53"/>
      <c r="ST312" s="53"/>
      <c r="SU312" s="53"/>
      <c r="SV312" s="53"/>
      <c r="SW312" s="53"/>
      <c r="SX312" s="53"/>
      <c r="SY312" s="53"/>
      <c r="SZ312" s="53"/>
      <c r="TA312" s="53"/>
      <c r="TB312" s="53"/>
      <c r="TC312" s="53"/>
      <c r="TD312" s="53"/>
      <c r="TE312" s="53"/>
      <c r="TF312" s="53"/>
      <c r="TG312" s="53"/>
      <c r="TH312" s="53"/>
      <c r="TI312" s="53"/>
      <c r="TJ312" s="53"/>
      <c r="TK312" s="53"/>
      <c r="TL312" s="53"/>
      <c r="TM312" s="53"/>
      <c r="TN312" s="53"/>
      <c r="TO312" s="53"/>
      <c r="TP312" s="53"/>
      <c r="TQ312" s="53"/>
      <c r="TR312" s="53"/>
      <c r="TS312" s="53"/>
      <c r="TT312" s="53"/>
      <c r="TU312" s="53"/>
      <c r="TV312" s="53"/>
      <c r="TW312" s="53"/>
      <c r="TX312" s="53"/>
      <c r="TY312" s="53"/>
      <c r="TZ312" s="53"/>
      <c r="UA312" s="53"/>
      <c r="UB312" s="53"/>
      <c r="UC312" s="53"/>
      <c r="UD312" s="53"/>
      <c r="UE312" s="53"/>
      <c r="UF312" s="53"/>
      <c r="UG312" s="53"/>
      <c r="UH312" s="53"/>
      <c r="UI312" s="53"/>
      <c r="UJ312" s="53"/>
      <c r="UK312" s="53"/>
      <c r="UL312" s="53"/>
      <c r="UM312" s="53"/>
      <c r="UN312" s="53"/>
      <c r="UO312" s="53"/>
      <c r="UP312" s="53"/>
      <c r="UQ312" s="53"/>
      <c r="UR312" s="53"/>
      <c r="US312" s="53"/>
      <c r="UT312" s="53"/>
      <c r="UU312" s="53"/>
      <c r="UV312" s="53"/>
      <c r="UW312" s="53"/>
      <c r="UX312" s="53"/>
      <c r="UY312" s="53"/>
      <c r="UZ312" s="53"/>
      <c r="VA312" s="53"/>
      <c r="VB312" s="53"/>
      <c r="VC312" s="53"/>
      <c r="VD312" s="53"/>
      <c r="VE312" s="53"/>
      <c r="VF312" s="53"/>
      <c r="VG312" s="53"/>
      <c r="VH312" s="53"/>
      <c r="VI312" s="53"/>
      <c r="VJ312" s="53"/>
      <c r="VK312" s="53"/>
      <c r="VL312" s="53"/>
    </row>
    <row r="313" spans="1:584" s="47" customFormat="1" ht="26.25" customHeight="1" x14ac:dyDescent="0.25">
      <c r="A313" s="45" t="s">
        <v>414</v>
      </c>
      <c r="B313" s="91" t="str">
        <f>'дод 3'!A227</f>
        <v>9770</v>
      </c>
      <c r="C313" s="91" t="str">
        <f>'дод 3'!B227</f>
        <v>0180</v>
      </c>
      <c r="D313" s="48" t="str">
        <f>'дод 3'!C227</f>
        <v xml:space="preserve">Інші субвенції з місцевого бюджету </v>
      </c>
      <c r="E313" s="115">
        <v>0</v>
      </c>
      <c r="F313" s="115"/>
      <c r="G313" s="115"/>
      <c r="H313" s="115"/>
      <c r="I313" s="115"/>
      <c r="J313" s="115"/>
      <c r="K313" s="135"/>
      <c r="L313" s="115">
        <f t="shared" si="109"/>
        <v>500000</v>
      </c>
      <c r="M313" s="115">
        <v>500000</v>
      </c>
      <c r="N313" s="115"/>
      <c r="O313" s="115"/>
      <c r="P313" s="115"/>
      <c r="Q313" s="115">
        <v>500000</v>
      </c>
      <c r="R313" s="115">
        <f t="shared" si="110"/>
        <v>500000</v>
      </c>
      <c r="S313" s="115">
        <v>500000</v>
      </c>
      <c r="T313" s="115"/>
      <c r="U313" s="115"/>
      <c r="V313" s="115"/>
      <c r="W313" s="115">
        <v>500000</v>
      </c>
      <c r="X313" s="166">
        <f t="shared" si="84"/>
        <v>100</v>
      </c>
      <c r="Y313" s="115">
        <f t="shared" si="108"/>
        <v>500000</v>
      </c>
      <c r="Z313" s="188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  <c r="DG313" s="53"/>
      <c r="DH313" s="53"/>
      <c r="DI313" s="53"/>
      <c r="DJ313" s="53"/>
      <c r="DK313" s="53"/>
      <c r="DL313" s="53"/>
      <c r="DM313" s="53"/>
      <c r="DN313" s="53"/>
      <c r="DO313" s="53"/>
      <c r="DP313" s="53"/>
      <c r="DQ313" s="53"/>
      <c r="DR313" s="53"/>
      <c r="DS313" s="53"/>
      <c r="DT313" s="53"/>
      <c r="DU313" s="53"/>
      <c r="DV313" s="53"/>
      <c r="DW313" s="53"/>
      <c r="DX313" s="53"/>
      <c r="DY313" s="53"/>
      <c r="DZ313" s="53"/>
      <c r="EA313" s="53"/>
      <c r="EB313" s="53"/>
      <c r="EC313" s="53"/>
      <c r="ED313" s="53"/>
      <c r="EE313" s="53"/>
      <c r="EF313" s="53"/>
      <c r="EG313" s="53"/>
      <c r="EH313" s="53"/>
      <c r="EI313" s="53"/>
      <c r="EJ313" s="53"/>
      <c r="EK313" s="53"/>
      <c r="EL313" s="53"/>
      <c r="EM313" s="53"/>
      <c r="EN313" s="53"/>
      <c r="EO313" s="53"/>
      <c r="EP313" s="53"/>
      <c r="EQ313" s="53"/>
      <c r="ER313" s="53"/>
      <c r="ES313" s="53"/>
      <c r="ET313" s="53"/>
      <c r="EU313" s="53"/>
      <c r="EV313" s="53"/>
      <c r="EW313" s="53"/>
      <c r="EX313" s="53"/>
      <c r="EY313" s="53"/>
      <c r="EZ313" s="53"/>
      <c r="FA313" s="53"/>
      <c r="FB313" s="53"/>
      <c r="FC313" s="53"/>
      <c r="FD313" s="53"/>
      <c r="FE313" s="53"/>
      <c r="FF313" s="53"/>
      <c r="FG313" s="53"/>
      <c r="FH313" s="53"/>
      <c r="FI313" s="53"/>
      <c r="FJ313" s="53"/>
      <c r="FK313" s="53"/>
      <c r="FL313" s="53"/>
      <c r="FM313" s="53"/>
      <c r="FN313" s="53"/>
      <c r="FO313" s="53"/>
      <c r="FP313" s="53"/>
      <c r="FQ313" s="53"/>
      <c r="FR313" s="53"/>
      <c r="FS313" s="53"/>
      <c r="FT313" s="53"/>
      <c r="FU313" s="53"/>
      <c r="FV313" s="53"/>
      <c r="FW313" s="53"/>
      <c r="FX313" s="53"/>
      <c r="FY313" s="53"/>
      <c r="FZ313" s="53"/>
      <c r="GA313" s="53"/>
      <c r="GB313" s="53"/>
      <c r="GC313" s="53"/>
      <c r="GD313" s="53"/>
      <c r="GE313" s="53"/>
      <c r="GF313" s="53"/>
      <c r="GG313" s="53"/>
      <c r="GH313" s="53"/>
      <c r="GI313" s="53"/>
      <c r="GJ313" s="53"/>
      <c r="GK313" s="53"/>
      <c r="GL313" s="53"/>
      <c r="GM313" s="53"/>
      <c r="GN313" s="53"/>
      <c r="GO313" s="53"/>
      <c r="GP313" s="53"/>
      <c r="GQ313" s="53"/>
      <c r="GR313" s="53"/>
      <c r="GS313" s="53"/>
      <c r="GT313" s="53"/>
      <c r="GU313" s="53"/>
      <c r="GV313" s="53"/>
      <c r="GW313" s="53"/>
      <c r="GX313" s="53"/>
      <c r="GY313" s="53"/>
      <c r="GZ313" s="53"/>
      <c r="HA313" s="53"/>
      <c r="HB313" s="53"/>
      <c r="HC313" s="53"/>
      <c r="HD313" s="53"/>
      <c r="HE313" s="53"/>
      <c r="HF313" s="53"/>
      <c r="HG313" s="53"/>
      <c r="HH313" s="53"/>
      <c r="HI313" s="53"/>
      <c r="HJ313" s="53"/>
      <c r="HK313" s="53"/>
      <c r="HL313" s="53"/>
      <c r="HM313" s="53"/>
      <c r="HN313" s="53"/>
      <c r="HO313" s="53"/>
      <c r="HP313" s="53"/>
      <c r="HQ313" s="53"/>
      <c r="HR313" s="53"/>
      <c r="HS313" s="53"/>
      <c r="HT313" s="53"/>
      <c r="HU313" s="53"/>
      <c r="HV313" s="53"/>
      <c r="HW313" s="53"/>
      <c r="HX313" s="53"/>
      <c r="HY313" s="53"/>
      <c r="HZ313" s="53"/>
      <c r="IA313" s="53"/>
      <c r="IB313" s="53"/>
      <c r="IC313" s="53"/>
      <c r="ID313" s="53"/>
      <c r="IE313" s="53"/>
      <c r="IF313" s="53"/>
      <c r="IG313" s="53"/>
      <c r="IH313" s="53"/>
      <c r="II313" s="53"/>
      <c r="IJ313" s="53"/>
      <c r="IK313" s="53"/>
      <c r="IL313" s="53"/>
      <c r="IM313" s="53"/>
      <c r="IN313" s="53"/>
      <c r="IO313" s="53"/>
      <c r="IP313" s="53"/>
      <c r="IQ313" s="53"/>
      <c r="IR313" s="53"/>
      <c r="IS313" s="53"/>
      <c r="IT313" s="53"/>
      <c r="IU313" s="53"/>
      <c r="IV313" s="53"/>
      <c r="IW313" s="53"/>
      <c r="IX313" s="53"/>
      <c r="IY313" s="53"/>
      <c r="IZ313" s="53"/>
      <c r="JA313" s="53"/>
      <c r="JB313" s="53"/>
      <c r="JC313" s="53"/>
      <c r="JD313" s="53"/>
      <c r="JE313" s="53"/>
      <c r="JF313" s="53"/>
      <c r="JG313" s="53"/>
      <c r="JH313" s="53"/>
      <c r="JI313" s="53"/>
      <c r="JJ313" s="53"/>
      <c r="JK313" s="53"/>
      <c r="JL313" s="53"/>
      <c r="JM313" s="53"/>
      <c r="JN313" s="53"/>
      <c r="JO313" s="53"/>
      <c r="JP313" s="53"/>
      <c r="JQ313" s="53"/>
      <c r="JR313" s="53"/>
      <c r="JS313" s="53"/>
      <c r="JT313" s="53"/>
      <c r="JU313" s="53"/>
      <c r="JV313" s="53"/>
      <c r="JW313" s="53"/>
      <c r="JX313" s="53"/>
      <c r="JY313" s="53"/>
      <c r="JZ313" s="53"/>
      <c r="KA313" s="53"/>
      <c r="KB313" s="53"/>
      <c r="KC313" s="53"/>
      <c r="KD313" s="53"/>
      <c r="KE313" s="53"/>
      <c r="KF313" s="53"/>
      <c r="KG313" s="53"/>
      <c r="KH313" s="53"/>
      <c r="KI313" s="53"/>
      <c r="KJ313" s="53"/>
      <c r="KK313" s="53"/>
      <c r="KL313" s="53"/>
      <c r="KM313" s="53"/>
      <c r="KN313" s="53"/>
      <c r="KO313" s="53"/>
      <c r="KP313" s="53"/>
      <c r="KQ313" s="53"/>
      <c r="KR313" s="53"/>
      <c r="KS313" s="53"/>
      <c r="KT313" s="53"/>
      <c r="KU313" s="53"/>
      <c r="KV313" s="53"/>
      <c r="KW313" s="53"/>
      <c r="KX313" s="53"/>
      <c r="KY313" s="53"/>
      <c r="KZ313" s="53"/>
      <c r="LA313" s="53"/>
      <c r="LB313" s="53"/>
      <c r="LC313" s="53"/>
      <c r="LD313" s="53"/>
      <c r="LE313" s="53"/>
      <c r="LF313" s="53"/>
      <c r="LG313" s="53"/>
      <c r="LH313" s="53"/>
      <c r="LI313" s="53"/>
      <c r="LJ313" s="53"/>
      <c r="LK313" s="53"/>
      <c r="LL313" s="53"/>
      <c r="LM313" s="53"/>
      <c r="LN313" s="53"/>
      <c r="LO313" s="53"/>
      <c r="LP313" s="53"/>
      <c r="LQ313" s="53"/>
      <c r="LR313" s="53"/>
      <c r="LS313" s="53"/>
      <c r="LT313" s="53"/>
      <c r="LU313" s="53"/>
      <c r="LV313" s="53"/>
      <c r="LW313" s="53"/>
      <c r="LX313" s="53"/>
      <c r="LY313" s="53"/>
      <c r="LZ313" s="53"/>
      <c r="MA313" s="53"/>
      <c r="MB313" s="53"/>
      <c r="MC313" s="53"/>
      <c r="MD313" s="53"/>
      <c r="ME313" s="53"/>
      <c r="MF313" s="53"/>
      <c r="MG313" s="53"/>
      <c r="MH313" s="53"/>
      <c r="MI313" s="53"/>
      <c r="MJ313" s="53"/>
      <c r="MK313" s="53"/>
      <c r="ML313" s="53"/>
      <c r="MM313" s="53"/>
      <c r="MN313" s="53"/>
      <c r="MO313" s="53"/>
      <c r="MP313" s="53"/>
      <c r="MQ313" s="53"/>
      <c r="MR313" s="53"/>
      <c r="MS313" s="53"/>
      <c r="MT313" s="53"/>
      <c r="MU313" s="53"/>
      <c r="MV313" s="53"/>
      <c r="MW313" s="53"/>
      <c r="MX313" s="53"/>
      <c r="MY313" s="53"/>
      <c r="MZ313" s="53"/>
      <c r="NA313" s="53"/>
      <c r="NB313" s="53"/>
      <c r="NC313" s="53"/>
      <c r="ND313" s="53"/>
      <c r="NE313" s="53"/>
      <c r="NF313" s="53"/>
      <c r="NG313" s="53"/>
      <c r="NH313" s="53"/>
      <c r="NI313" s="53"/>
      <c r="NJ313" s="53"/>
      <c r="NK313" s="53"/>
      <c r="NL313" s="53"/>
      <c r="NM313" s="53"/>
      <c r="NN313" s="53"/>
      <c r="NO313" s="53"/>
      <c r="NP313" s="53"/>
      <c r="NQ313" s="53"/>
      <c r="NR313" s="53"/>
      <c r="NS313" s="53"/>
      <c r="NT313" s="53"/>
      <c r="NU313" s="53"/>
      <c r="NV313" s="53"/>
      <c r="NW313" s="53"/>
      <c r="NX313" s="53"/>
      <c r="NY313" s="53"/>
      <c r="NZ313" s="53"/>
      <c r="OA313" s="53"/>
      <c r="OB313" s="53"/>
      <c r="OC313" s="53"/>
      <c r="OD313" s="53"/>
      <c r="OE313" s="53"/>
      <c r="OF313" s="53"/>
      <c r="OG313" s="53"/>
      <c r="OH313" s="53"/>
      <c r="OI313" s="53"/>
      <c r="OJ313" s="53"/>
      <c r="OK313" s="53"/>
      <c r="OL313" s="53"/>
      <c r="OM313" s="53"/>
      <c r="ON313" s="53"/>
      <c r="OO313" s="53"/>
      <c r="OP313" s="53"/>
      <c r="OQ313" s="53"/>
      <c r="OR313" s="53"/>
      <c r="OS313" s="53"/>
      <c r="OT313" s="53"/>
      <c r="OU313" s="53"/>
      <c r="OV313" s="53"/>
      <c r="OW313" s="53"/>
      <c r="OX313" s="53"/>
      <c r="OY313" s="53"/>
      <c r="OZ313" s="53"/>
      <c r="PA313" s="53"/>
      <c r="PB313" s="53"/>
      <c r="PC313" s="53"/>
      <c r="PD313" s="53"/>
      <c r="PE313" s="53"/>
      <c r="PF313" s="53"/>
      <c r="PG313" s="53"/>
      <c r="PH313" s="53"/>
      <c r="PI313" s="53"/>
      <c r="PJ313" s="53"/>
      <c r="PK313" s="53"/>
      <c r="PL313" s="53"/>
      <c r="PM313" s="53"/>
      <c r="PN313" s="53"/>
      <c r="PO313" s="53"/>
      <c r="PP313" s="53"/>
      <c r="PQ313" s="53"/>
      <c r="PR313" s="53"/>
      <c r="PS313" s="53"/>
      <c r="PT313" s="53"/>
      <c r="PU313" s="53"/>
      <c r="PV313" s="53"/>
      <c r="PW313" s="53"/>
      <c r="PX313" s="53"/>
      <c r="PY313" s="53"/>
      <c r="PZ313" s="53"/>
      <c r="QA313" s="53"/>
      <c r="QB313" s="53"/>
      <c r="QC313" s="53"/>
      <c r="QD313" s="53"/>
      <c r="QE313" s="53"/>
      <c r="QF313" s="53"/>
      <c r="QG313" s="53"/>
      <c r="QH313" s="53"/>
      <c r="QI313" s="53"/>
      <c r="QJ313" s="53"/>
      <c r="QK313" s="53"/>
      <c r="QL313" s="53"/>
      <c r="QM313" s="53"/>
      <c r="QN313" s="53"/>
      <c r="QO313" s="53"/>
      <c r="QP313" s="53"/>
      <c r="QQ313" s="53"/>
      <c r="QR313" s="53"/>
      <c r="QS313" s="53"/>
      <c r="QT313" s="53"/>
      <c r="QU313" s="53"/>
      <c r="QV313" s="53"/>
      <c r="QW313" s="53"/>
      <c r="QX313" s="53"/>
      <c r="QY313" s="53"/>
      <c r="QZ313" s="53"/>
      <c r="RA313" s="53"/>
      <c r="RB313" s="53"/>
      <c r="RC313" s="53"/>
      <c r="RD313" s="53"/>
      <c r="RE313" s="53"/>
      <c r="RF313" s="53"/>
      <c r="RG313" s="53"/>
      <c r="RH313" s="53"/>
      <c r="RI313" s="53"/>
      <c r="RJ313" s="53"/>
      <c r="RK313" s="53"/>
      <c r="RL313" s="53"/>
      <c r="RM313" s="53"/>
      <c r="RN313" s="53"/>
      <c r="RO313" s="53"/>
      <c r="RP313" s="53"/>
      <c r="RQ313" s="53"/>
      <c r="RR313" s="53"/>
      <c r="RS313" s="53"/>
      <c r="RT313" s="53"/>
      <c r="RU313" s="53"/>
      <c r="RV313" s="53"/>
      <c r="RW313" s="53"/>
      <c r="RX313" s="53"/>
      <c r="RY313" s="53"/>
      <c r="RZ313" s="53"/>
      <c r="SA313" s="53"/>
      <c r="SB313" s="53"/>
      <c r="SC313" s="53"/>
      <c r="SD313" s="53"/>
      <c r="SE313" s="53"/>
      <c r="SF313" s="53"/>
      <c r="SG313" s="53"/>
      <c r="SH313" s="53"/>
      <c r="SI313" s="53"/>
      <c r="SJ313" s="53"/>
      <c r="SK313" s="53"/>
      <c r="SL313" s="53"/>
      <c r="SM313" s="53"/>
      <c r="SN313" s="53"/>
      <c r="SO313" s="53"/>
      <c r="SP313" s="53"/>
      <c r="SQ313" s="53"/>
      <c r="SR313" s="53"/>
      <c r="SS313" s="53"/>
      <c r="ST313" s="53"/>
      <c r="SU313" s="53"/>
      <c r="SV313" s="53"/>
      <c r="SW313" s="53"/>
      <c r="SX313" s="53"/>
      <c r="SY313" s="53"/>
      <c r="SZ313" s="53"/>
      <c r="TA313" s="53"/>
      <c r="TB313" s="53"/>
      <c r="TC313" s="53"/>
      <c r="TD313" s="53"/>
      <c r="TE313" s="53"/>
      <c r="TF313" s="53"/>
      <c r="TG313" s="53"/>
      <c r="TH313" s="53"/>
      <c r="TI313" s="53"/>
      <c r="TJ313" s="53"/>
      <c r="TK313" s="53"/>
      <c r="TL313" s="53"/>
      <c r="TM313" s="53"/>
      <c r="TN313" s="53"/>
      <c r="TO313" s="53"/>
      <c r="TP313" s="53"/>
      <c r="TQ313" s="53"/>
      <c r="TR313" s="53"/>
      <c r="TS313" s="53"/>
      <c r="TT313" s="53"/>
      <c r="TU313" s="53"/>
      <c r="TV313" s="53"/>
      <c r="TW313" s="53"/>
      <c r="TX313" s="53"/>
      <c r="TY313" s="53"/>
      <c r="TZ313" s="53"/>
      <c r="UA313" s="53"/>
      <c r="UB313" s="53"/>
      <c r="UC313" s="53"/>
      <c r="UD313" s="53"/>
      <c r="UE313" s="53"/>
      <c r="UF313" s="53"/>
      <c r="UG313" s="53"/>
      <c r="UH313" s="53"/>
      <c r="UI313" s="53"/>
      <c r="UJ313" s="53"/>
      <c r="UK313" s="53"/>
      <c r="UL313" s="53"/>
      <c r="UM313" s="53"/>
      <c r="UN313" s="53"/>
      <c r="UO313" s="53"/>
      <c r="UP313" s="53"/>
      <c r="UQ313" s="53"/>
      <c r="UR313" s="53"/>
      <c r="US313" s="53"/>
      <c r="UT313" s="53"/>
      <c r="UU313" s="53"/>
      <c r="UV313" s="53"/>
      <c r="UW313" s="53"/>
      <c r="UX313" s="53"/>
      <c r="UY313" s="53"/>
      <c r="UZ313" s="53"/>
      <c r="VA313" s="53"/>
      <c r="VB313" s="53"/>
      <c r="VC313" s="53"/>
      <c r="VD313" s="53"/>
      <c r="VE313" s="53"/>
      <c r="VF313" s="53"/>
      <c r="VG313" s="53"/>
      <c r="VH313" s="53"/>
      <c r="VI313" s="53"/>
      <c r="VJ313" s="53"/>
      <c r="VK313" s="53"/>
      <c r="VL313" s="53"/>
    </row>
    <row r="314" spans="1:584" s="64" customFormat="1" ht="20.25" customHeight="1" x14ac:dyDescent="0.25">
      <c r="A314" s="61"/>
      <c r="B314" s="97"/>
      <c r="C314" s="62"/>
      <c r="D314" s="63" t="s">
        <v>34</v>
      </c>
      <c r="E314" s="116">
        <f>E12+E50+E81+E115+E192+E200+E211+E242+E246+E275+E282+E285+E295+E298</f>
        <v>2574765339.1099997</v>
      </c>
      <c r="F314" s="116">
        <f t="shared" ref="F314:Y314" si="111">F12+F50+F81+F115+F192+F200+F211+F242+F246+F275+F282+F285+F295+F298</f>
        <v>788845466.63</v>
      </c>
      <c r="G314" s="116">
        <f t="shared" si="111"/>
        <v>113631144.59</v>
      </c>
      <c r="H314" s="116">
        <f>H12+H50+H81+H115+H192+H200+H211+H242+H246+H275+H282+H285+H295+H298</f>
        <v>2476794948.1900001</v>
      </c>
      <c r="I314" s="116">
        <f t="shared" ref="I314:J314" si="112">I12+I50+I81+I115+I192+I200+I211+I242+I246+I275+I282+I285+I295+I298</f>
        <v>785150605.01999998</v>
      </c>
      <c r="J314" s="116">
        <f t="shared" si="112"/>
        <v>107301611.56999998</v>
      </c>
      <c r="K314" s="135">
        <f t="shared" si="83"/>
        <v>96.194977871114872</v>
      </c>
      <c r="L314" s="116">
        <f t="shared" si="111"/>
        <v>659331783.6500001</v>
      </c>
      <c r="M314" s="116">
        <f t="shared" si="111"/>
        <v>489395352.43000007</v>
      </c>
      <c r="N314" s="116">
        <f t="shared" si="111"/>
        <v>123071223.23999999</v>
      </c>
      <c r="O314" s="116">
        <f t="shared" si="111"/>
        <v>7954920</v>
      </c>
      <c r="P314" s="116">
        <f t="shared" si="111"/>
        <v>3315444</v>
      </c>
      <c r="Q314" s="116">
        <f t="shared" si="111"/>
        <v>536260560.41000003</v>
      </c>
      <c r="R314" s="116">
        <f t="shared" ref="R314:W314" si="113">R12+R50+R81+R115+R192+R200+R211+R242+R246+R275+R282+R285+R295+R298</f>
        <v>499290189.79000002</v>
      </c>
      <c r="S314" s="116">
        <f t="shared" si="113"/>
        <v>370614482.74000001</v>
      </c>
      <c r="T314" s="116">
        <f t="shared" si="113"/>
        <v>111431838.92</v>
      </c>
      <c r="U314" s="116">
        <f t="shared" si="113"/>
        <v>9827387.5899999999</v>
      </c>
      <c r="V314" s="116">
        <f t="shared" si="113"/>
        <v>2750814.42</v>
      </c>
      <c r="W314" s="116">
        <f t="shared" si="113"/>
        <v>387858350.87</v>
      </c>
      <c r="X314" s="149">
        <f t="shared" si="84"/>
        <v>75.726698177050636</v>
      </c>
      <c r="Y314" s="116">
        <f t="shared" si="111"/>
        <v>2976085137.9800005</v>
      </c>
      <c r="Z314" s="188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  <c r="DU314" s="79"/>
      <c r="DV314" s="79"/>
      <c r="DW314" s="79"/>
      <c r="DX314" s="79"/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/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79"/>
      <c r="EY314" s="79"/>
      <c r="EZ314" s="79"/>
      <c r="FA314" s="79"/>
      <c r="FB314" s="79"/>
      <c r="FC314" s="79"/>
      <c r="FD314" s="79"/>
      <c r="FE314" s="79"/>
      <c r="FF314" s="79"/>
      <c r="FG314" s="79"/>
      <c r="FH314" s="79"/>
      <c r="FI314" s="79"/>
      <c r="FJ314" s="79"/>
      <c r="FK314" s="79"/>
      <c r="FL314" s="79"/>
      <c r="FM314" s="79"/>
      <c r="FN314" s="79"/>
      <c r="FO314" s="79"/>
      <c r="FP314" s="79"/>
      <c r="FQ314" s="79"/>
      <c r="FR314" s="79"/>
      <c r="FS314" s="79"/>
      <c r="FT314" s="79"/>
      <c r="FU314" s="79"/>
      <c r="FV314" s="79"/>
      <c r="FW314" s="79"/>
      <c r="FX314" s="79"/>
      <c r="FY314" s="79"/>
      <c r="FZ314" s="79"/>
      <c r="GA314" s="79"/>
      <c r="GB314" s="79"/>
      <c r="GC314" s="79"/>
      <c r="GD314" s="79"/>
      <c r="GE314" s="79"/>
      <c r="GF314" s="79"/>
      <c r="GG314" s="79"/>
      <c r="GH314" s="79"/>
      <c r="GI314" s="79"/>
      <c r="GJ314" s="79"/>
      <c r="GK314" s="79"/>
      <c r="GL314" s="79"/>
      <c r="GM314" s="79"/>
      <c r="GN314" s="79"/>
      <c r="GO314" s="79"/>
      <c r="GP314" s="79"/>
      <c r="GQ314" s="79"/>
      <c r="GR314" s="79"/>
      <c r="GS314" s="79"/>
      <c r="GT314" s="79"/>
      <c r="GU314" s="79"/>
      <c r="GV314" s="79"/>
      <c r="GW314" s="79"/>
      <c r="GX314" s="79"/>
      <c r="GY314" s="79"/>
      <c r="GZ314" s="79"/>
      <c r="HA314" s="79"/>
      <c r="HB314" s="79"/>
      <c r="HC314" s="79"/>
      <c r="HD314" s="79"/>
      <c r="HE314" s="79"/>
      <c r="HF314" s="79"/>
      <c r="HG314" s="79"/>
      <c r="HH314" s="79"/>
      <c r="HI314" s="79"/>
      <c r="HJ314" s="79"/>
      <c r="HK314" s="79"/>
      <c r="HL314" s="79"/>
      <c r="HM314" s="79"/>
      <c r="HN314" s="79"/>
      <c r="HO314" s="79"/>
      <c r="HP314" s="79"/>
      <c r="HQ314" s="79"/>
      <c r="HR314" s="79"/>
      <c r="HS314" s="79"/>
      <c r="HT314" s="79"/>
      <c r="HU314" s="79"/>
      <c r="HV314" s="79"/>
      <c r="HW314" s="79"/>
      <c r="HX314" s="79"/>
      <c r="HY314" s="79"/>
      <c r="HZ314" s="79"/>
      <c r="IA314" s="79"/>
      <c r="IB314" s="79"/>
      <c r="IC314" s="79"/>
      <c r="ID314" s="79"/>
      <c r="IE314" s="79"/>
      <c r="IF314" s="79"/>
      <c r="IG314" s="79"/>
      <c r="IH314" s="79"/>
      <c r="II314" s="79"/>
      <c r="IJ314" s="79"/>
      <c r="IK314" s="79"/>
      <c r="IL314" s="79"/>
      <c r="IM314" s="79"/>
      <c r="IN314" s="79"/>
      <c r="IO314" s="79"/>
      <c r="IP314" s="79"/>
      <c r="IQ314" s="79"/>
      <c r="IR314" s="79"/>
      <c r="IS314" s="79"/>
      <c r="IT314" s="79"/>
      <c r="IU314" s="79"/>
      <c r="IV314" s="79"/>
      <c r="IW314" s="79"/>
      <c r="IX314" s="79"/>
      <c r="IY314" s="79"/>
      <c r="IZ314" s="79"/>
      <c r="JA314" s="79"/>
      <c r="JB314" s="79"/>
      <c r="JC314" s="79"/>
      <c r="JD314" s="79"/>
      <c r="JE314" s="79"/>
      <c r="JF314" s="79"/>
      <c r="JG314" s="79"/>
      <c r="JH314" s="79"/>
      <c r="JI314" s="79"/>
      <c r="JJ314" s="79"/>
      <c r="JK314" s="79"/>
      <c r="JL314" s="79"/>
      <c r="JM314" s="79"/>
      <c r="JN314" s="79"/>
      <c r="JO314" s="79"/>
      <c r="JP314" s="79"/>
      <c r="JQ314" s="79"/>
      <c r="JR314" s="79"/>
      <c r="JS314" s="79"/>
      <c r="JT314" s="79"/>
      <c r="JU314" s="79"/>
      <c r="JV314" s="79"/>
      <c r="JW314" s="79"/>
      <c r="JX314" s="79"/>
      <c r="JY314" s="79"/>
      <c r="JZ314" s="79"/>
      <c r="KA314" s="79"/>
      <c r="KB314" s="79"/>
      <c r="KC314" s="79"/>
      <c r="KD314" s="79"/>
      <c r="KE314" s="79"/>
      <c r="KF314" s="79"/>
      <c r="KG314" s="79"/>
      <c r="KH314" s="79"/>
      <c r="KI314" s="79"/>
      <c r="KJ314" s="79"/>
      <c r="KK314" s="79"/>
      <c r="KL314" s="79"/>
      <c r="KM314" s="79"/>
      <c r="KN314" s="79"/>
      <c r="KO314" s="79"/>
      <c r="KP314" s="79"/>
      <c r="KQ314" s="79"/>
      <c r="KR314" s="79"/>
      <c r="KS314" s="79"/>
      <c r="KT314" s="79"/>
      <c r="KU314" s="79"/>
      <c r="KV314" s="79"/>
      <c r="KW314" s="79"/>
      <c r="KX314" s="79"/>
      <c r="KY314" s="79"/>
      <c r="KZ314" s="79"/>
      <c r="LA314" s="79"/>
      <c r="LB314" s="79"/>
      <c r="LC314" s="79"/>
      <c r="LD314" s="79"/>
      <c r="LE314" s="79"/>
      <c r="LF314" s="79"/>
      <c r="LG314" s="79"/>
      <c r="LH314" s="79"/>
      <c r="LI314" s="79"/>
      <c r="LJ314" s="79"/>
      <c r="LK314" s="79"/>
      <c r="LL314" s="79"/>
      <c r="LM314" s="79"/>
      <c r="LN314" s="79"/>
      <c r="LO314" s="79"/>
      <c r="LP314" s="79"/>
      <c r="LQ314" s="79"/>
      <c r="LR314" s="79"/>
      <c r="LS314" s="79"/>
      <c r="LT314" s="79"/>
      <c r="LU314" s="79"/>
      <c r="LV314" s="79"/>
      <c r="LW314" s="79"/>
      <c r="LX314" s="79"/>
      <c r="LY314" s="79"/>
      <c r="LZ314" s="79"/>
      <c r="MA314" s="79"/>
      <c r="MB314" s="79"/>
      <c r="MC314" s="79"/>
      <c r="MD314" s="79"/>
      <c r="ME314" s="79"/>
      <c r="MF314" s="79"/>
      <c r="MG314" s="79"/>
      <c r="MH314" s="79"/>
      <c r="MI314" s="79"/>
      <c r="MJ314" s="79"/>
      <c r="MK314" s="79"/>
      <c r="ML314" s="79"/>
      <c r="MM314" s="79"/>
      <c r="MN314" s="79"/>
      <c r="MO314" s="79"/>
      <c r="MP314" s="79"/>
      <c r="MQ314" s="79"/>
      <c r="MR314" s="79"/>
      <c r="MS314" s="79"/>
      <c r="MT314" s="79"/>
      <c r="MU314" s="79"/>
      <c r="MV314" s="79"/>
      <c r="MW314" s="79"/>
      <c r="MX314" s="79"/>
      <c r="MY314" s="79"/>
      <c r="MZ314" s="79"/>
      <c r="NA314" s="79"/>
      <c r="NB314" s="79"/>
      <c r="NC314" s="79"/>
      <c r="ND314" s="79"/>
      <c r="NE314" s="79"/>
      <c r="NF314" s="79"/>
      <c r="NG314" s="79"/>
      <c r="NH314" s="79"/>
      <c r="NI314" s="79"/>
      <c r="NJ314" s="79"/>
      <c r="NK314" s="79"/>
      <c r="NL314" s="79"/>
      <c r="NM314" s="79"/>
      <c r="NN314" s="79"/>
      <c r="NO314" s="79"/>
      <c r="NP314" s="79"/>
      <c r="NQ314" s="79"/>
      <c r="NR314" s="79"/>
      <c r="NS314" s="79"/>
      <c r="NT314" s="79"/>
      <c r="NU314" s="79"/>
      <c r="NV314" s="79"/>
      <c r="NW314" s="79"/>
      <c r="NX314" s="79"/>
      <c r="NY314" s="79"/>
      <c r="NZ314" s="79"/>
      <c r="OA314" s="79"/>
      <c r="OB314" s="79"/>
      <c r="OC314" s="79"/>
      <c r="OD314" s="79"/>
      <c r="OE314" s="79"/>
      <c r="OF314" s="79"/>
      <c r="OG314" s="79"/>
      <c r="OH314" s="79"/>
      <c r="OI314" s="79"/>
      <c r="OJ314" s="79"/>
      <c r="OK314" s="79"/>
      <c r="OL314" s="79"/>
      <c r="OM314" s="79"/>
      <c r="ON314" s="79"/>
      <c r="OO314" s="79"/>
      <c r="OP314" s="79"/>
      <c r="OQ314" s="79"/>
      <c r="OR314" s="79"/>
      <c r="OS314" s="79"/>
      <c r="OT314" s="79"/>
      <c r="OU314" s="79"/>
      <c r="OV314" s="79"/>
      <c r="OW314" s="79"/>
      <c r="OX314" s="79"/>
      <c r="OY314" s="79"/>
      <c r="OZ314" s="79"/>
      <c r="PA314" s="79"/>
      <c r="PB314" s="79"/>
      <c r="PC314" s="79"/>
      <c r="PD314" s="79"/>
      <c r="PE314" s="79"/>
      <c r="PF314" s="79"/>
      <c r="PG314" s="79"/>
      <c r="PH314" s="79"/>
      <c r="PI314" s="79"/>
      <c r="PJ314" s="79"/>
      <c r="PK314" s="79"/>
      <c r="PL314" s="79"/>
      <c r="PM314" s="79"/>
      <c r="PN314" s="79"/>
      <c r="PO314" s="79"/>
      <c r="PP314" s="79"/>
      <c r="PQ314" s="79"/>
      <c r="PR314" s="79"/>
      <c r="PS314" s="79"/>
      <c r="PT314" s="79"/>
      <c r="PU314" s="79"/>
      <c r="PV314" s="79"/>
      <c r="PW314" s="79"/>
      <c r="PX314" s="79"/>
      <c r="PY314" s="79"/>
      <c r="PZ314" s="79"/>
      <c r="QA314" s="79"/>
      <c r="QB314" s="79"/>
      <c r="QC314" s="79"/>
      <c r="QD314" s="79"/>
      <c r="QE314" s="79"/>
      <c r="QF314" s="79"/>
      <c r="QG314" s="79"/>
      <c r="QH314" s="79"/>
      <c r="QI314" s="79"/>
      <c r="QJ314" s="79"/>
      <c r="QK314" s="79"/>
      <c r="QL314" s="79"/>
      <c r="QM314" s="79"/>
      <c r="QN314" s="79"/>
      <c r="QO314" s="79"/>
      <c r="QP314" s="79"/>
      <c r="QQ314" s="79"/>
      <c r="QR314" s="79"/>
      <c r="QS314" s="79"/>
      <c r="QT314" s="79"/>
      <c r="QU314" s="79"/>
      <c r="QV314" s="79"/>
      <c r="QW314" s="79"/>
      <c r="QX314" s="79"/>
      <c r="QY314" s="79"/>
      <c r="QZ314" s="79"/>
      <c r="RA314" s="79"/>
      <c r="RB314" s="79"/>
      <c r="RC314" s="79"/>
      <c r="RD314" s="79"/>
      <c r="RE314" s="79"/>
      <c r="RF314" s="79"/>
      <c r="RG314" s="79"/>
      <c r="RH314" s="79"/>
      <c r="RI314" s="79"/>
      <c r="RJ314" s="79"/>
      <c r="RK314" s="79"/>
      <c r="RL314" s="79"/>
      <c r="RM314" s="79"/>
      <c r="RN314" s="79"/>
      <c r="RO314" s="79"/>
      <c r="RP314" s="79"/>
      <c r="RQ314" s="79"/>
      <c r="RR314" s="79"/>
      <c r="RS314" s="79"/>
      <c r="RT314" s="79"/>
      <c r="RU314" s="79"/>
      <c r="RV314" s="79"/>
      <c r="RW314" s="79"/>
      <c r="RX314" s="79"/>
      <c r="RY314" s="79"/>
      <c r="RZ314" s="79"/>
      <c r="SA314" s="79"/>
      <c r="SB314" s="79"/>
      <c r="SC314" s="79"/>
      <c r="SD314" s="79"/>
      <c r="SE314" s="79"/>
      <c r="SF314" s="79"/>
      <c r="SG314" s="79"/>
      <c r="SH314" s="79"/>
      <c r="SI314" s="79"/>
      <c r="SJ314" s="79"/>
      <c r="SK314" s="79"/>
      <c r="SL314" s="79"/>
      <c r="SM314" s="79"/>
      <c r="SN314" s="79"/>
      <c r="SO314" s="79"/>
      <c r="SP314" s="79"/>
      <c r="SQ314" s="79"/>
      <c r="SR314" s="79"/>
      <c r="SS314" s="79"/>
      <c r="ST314" s="79"/>
      <c r="SU314" s="79"/>
      <c r="SV314" s="79"/>
      <c r="SW314" s="79"/>
      <c r="SX314" s="79"/>
      <c r="SY314" s="79"/>
      <c r="SZ314" s="79"/>
      <c r="TA314" s="79"/>
      <c r="TB314" s="79"/>
      <c r="TC314" s="79"/>
      <c r="TD314" s="79"/>
      <c r="TE314" s="79"/>
      <c r="TF314" s="79"/>
      <c r="TG314" s="79"/>
      <c r="TH314" s="79"/>
      <c r="TI314" s="79"/>
      <c r="TJ314" s="79"/>
      <c r="TK314" s="79"/>
      <c r="TL314" s="79"/>
      <c r="TM314" s="79"/>
      <c r="TN314" s="79"/>
      <c r="TO314" s="79"/>
      <c r="TP314" s="79"/>
      <c r="TQ314" s="79"/>
      <c r="TR314" s="79"/>
      <c r="TS314" s="79"/>
      <c r="TT314" s="79"/>
      <c r="TU314" s="79"/>
      <c r="TV314" s="79"/>
      <c r="TW314" s="79"/>
      <c r="TX314" s="79"/>
      <c r="TY314" s="79"/>
      <c r="TZ314" s="79"/>
      <c r="UA314" s="79"/>
      <c r="UB314" s="79"/>
      <c r="UC314" s="79"/>
      <c r="UD314" s="79"/>
      <c r="UE314" s="79"/>
      <c r="UF314" s="79"/>
      <c r="UG314" s="79"/>
      <c r="UH314" s="79"/>
      <c r="UI314" s="79"/>
      <c r="UJ314" s="79"/>
      <c r="UK314" s="79"/>
      <c r="UL314" s="79"/>
      <c r="UM314" s="79"/>
      <c r="UN314" s="79"/>
      <c r="UO314" s="79"/>
      <c r="UP314" s="79"/>
      <c r="UQ314" s="79"/>
      <c r="UR314" s="79"/>
      <c r="US314" s="79"/>
      <c r="UT314" s="79"/>
      <c r="UU314" s="79"/>
      <c r="UV314" s="79"/>
      <c r="UW314" s="79"/>
      <c r="UX314" s="79"/>
      <c r="UY314" s="79"/>
      <c r="UZ314" s="79"/>
      <c r="VA314" s="79"/>
      <c r="VB314" s="79"/>
      <c r="VC314" s="79"/>
      <c r="VD314" s="79"/>
      <c r="VE314" s="79"/>
      <c r="VF314" s="79"/>
      <c r="VG314" s="79"/>
      <c r="VH314" s="79"/>
      <c r="VI314" s="79"/>
      <c r="VJ314" s="79"/>
      <c r="VK314" s="79"/>
      <c r="VL314" s="79"/>
    </row>
    <row r="315" spans="1:584" s="64" customFormat="1" ht="20.25" customHeight="1" x14ac:dyDescent="0.25">
      <c r="A315" s="61"/>
      <c r="B315" s="97"/>
      <c r="C315" s="62"/>
      <c r="D315" s="63" t="s">
        <v>342</v>
      </c>
      <c r="E315" s="116">
        <f t="shared" ref="E315:Q315" si="114">E52+E83+E117+E194+E202+E213+E248+E300</f>
        <v>1054047784.15</v>
      </c>
      <c r="F315" s="116">
        <f t="shared" si="114"/>
        <v>256716014</v>
      </c>
      <c r="G315" s="116">
        <f t="shared" si="114"/>
        <v>0</v>
      </c>
      <c r="H315" s="116">
        <f t="shared" ref="H315:J315" si="115">H52+H83+H117+H194+H202+H213+H248+H300</f>
        <v>1004185870.5700002</v>
      </c>
      <c r="I315" s="116">
        <f t="shared" si="115"/>
        <v>256138804.27000001</v>
      </c>
      <c r="J315" s="116">
        <f t="shared" si="115"/>
        <v>0</v>
      </c>
      <c r="K315" s="135">
        <f t="shared" si="83"/>
        <v>95.269482624053026</v>
      </c>
      <c r="L315" s="116">
        <f t="shared" si="114"/>
        <v>112832633.83</v>
      </c>
      <c r="M315" s="116">
        <f t="shared" si="114"/>
        <v>62319645.830000006</v>
      </c>
      <c r="N315" s="116">
        <f t="shared" si="114"/>
        <v>49000000</v>
      </c>
      <c r="O315" s="116">
        <f t="shared" si="114"/>
        <v>0</v>
      </c>
      <c r="P315" s="116">
        <f t="shared" si="114"/>
        <v>0</v>
      </c>
      <c r="Q315" s="116">
        <f t="shared" si="114"/>
        <v>63832633.830000006</v>
      </c>
      <c r="R315" s="116">
        <f t="shared" ref="R315:W315" si="116">R52+R83+R117+R194+R202+R213+R248+R300</f>
        <v>110979941.05</v>
      </c>
      <c r="S315" s="116">
        <f t="shared" si="116"/>
        <v>60523568.140000001</v>
      </c>
      <c r="T315" s="116">
        <f t="shared" si="116"/>
        <v>48943385.640000001</v>
      </c>
      <c r="U315" s="116">
        <f t="shared" si="116"/>
        <v>0</v>
      </c>
      <c r="V315" s="116">
        <f t="shared" si="116"/>
        <v>0</v>
      </c>
      <c r="W315" s="116">
        <f t="shared" si="116"/>
        <v>62036555.410000004</v>
      </c>
      <c r="X315" s="149">
        <f t="shared" si="84"/>
        <v>98.358016898912965</v>
      </c>
      <c r="Y315" s="116">
        <f>Y52+Y83+Y117+Y194+Y202+Y213+Y248+Y300</f>
        <v>1115165811.6200001</v>
      </c>
      <c r="Z315" s="188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/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79"/>
      <c r="CQ315" s="79"/>
      <c r="CR315" s="79"/>
      <c r="CS315" s="79"/>
      <c r="CT315" s="79"/>
      <c r="CU315" s="79"/>
      <c r="CV315" s="79"/>
      <c r="CW315" s="79"/>
      <c r="CX315" s="79"/>
      <c r="CY315" s="79"/>
      <c r="CZ315" s="79"/>
      <c r="DA315" s="79"/>
      <c r="DB315" s="79"/>
      <c r="DC315" s="79"/>
      <c r="DD315" s="79"/>
      <c r="DE315" s="79"/>
      <c r="DF315" s="79"/>
      <c r="DG315" s="79"/>
      <c r="DH315" s="79"/>
      <c r="DI315" s="79"/>
      <c r="DJ315" s="79"/>
      <c r="DK315" s="79"/>
      <c r="DL315" s="79"/>
      <c r="DM315" s="79"/>
      <c r="DN315" s="79"/>
      <c r="DO315" s="79"/>
      <c r="DP315" s="79"/>
      <c r="DQ315" s="79"/>
      <c r="DR315" s="79"/>
      <c r="DS315" s="79"/>
      <c r="DT315" s="79"/>
      <c r="DU315" s="79"/>
      <c r="DV315" s="79"/>
      <c r="DW315" s="79"/>
      <c r="DX315" s="79"/>
      <c r="DY315" s="79"/>
      <c r="DZ315" s="79"/>
      <c r="EA315" s="79"/>
      <c r="EB315" s="79"/>
      <c r="EC315" s="79"/>
      <c r="ED315" s="79"/>
      <c r="EE315" s="79"/>
      <c r="EF315" s="79"/>
      <c r="EG315" s="79"/>
      <c r="EH315" s="79"/>
      <c r="EI315" s="79"/>
      <c r="EJ315" s="79"/>
      <c r="EK315" s="79"/>
      <c r="EL315" s="79"/>
      <c r="EM315" s="79"/>
      <c r="EN315" s="79"/>
      <c r="EO315" s="79"/>
      <c r="EP315" s="79"/>
      <c r="EQ315" s="79"/>
      <c r="ER315" s="79"/>
      <c r="ES315" s="79"/>
      <c r="ET315" s="79"/>
      <c r="EU315" s="79"/>
      <c r="EV315" s="79"/>
      <c r="EW315" s="79"/>
      <c r="EX315" s="79"/>
      <c r="EY315" s="79"/>
      <c r="EZ315" s="79"/>
      <c r="FA315" s="79"/>
      <c r="FB315" s="79"/>
      <c r="FC315" s="79"/>
      <c r="FD315" s="79"/>
      <c r="FE315" s="79"/>
      <c r="FF315" s="79"/>
      <c r="FG315" s="79"/>
      <c r="FH315" s="79"/>
      <c r="FI315" s="79"/>
      <c r="FJ315" s="79"/>
      <c r="FK315" s="79"/>
      <c r="FL315" s="79"/>
      <c r="FM315" s="79"/>
      <c r="FN315" s="79"/>
      <c r="FO315" s="79"/>
      <c r="FP315" s="79"/>
      <c r="FQ315" s="79"/>
      <c r="FR315" s="79"/>
      <c r="FS315" s="79"/>
      <c r="FT315" s="79"/>
      <c r="FU315" s="79"/>
      <c r="FV315" s="79"/>
      <c r="FW315" s="79"/>
      <c r="FX315" s="79"/>
      <c r="FY315" s="79"/>
      <c r="FZ315" s="79"/>
      <c r="GA315" s="79"/>
      <c r="GB315" s="79"/>
      <c r="GC315" s="79"/>
      <c r="GD315" s="79"/>
      <c r="GE315" s="79"/>
      <c r="GF315" s="79"/>
      <c r="GG315" s="79"/>
      <c r="GH315" s="79"/>
      <c r="GI315" s="79"/>
      <c r="GJ315" s="79"/>
      <c r="GK315" s="79"/>
      <c r="GL315" s="79"/>
      <c r="GM315" s="79"/>
      <c r="GN315" s="79"/>
      <c r="GO315" s="79"/>
      <c r="GP315" s="79"/>
      <c r="GQ315" s="79"/>
      <c r="GR315" s="79"/>
      <c r="GS315" s="79"/>
      <c r="GT315" s="79"/>
      <c r="GU315" s="79"/>
      <c r="GV315" s="79"/>
      <c r="GW315" s="79"/>
      <c r="GX315" s="79"/>
      <c r="GY315" s="79"/>
      <c r="GZ315" s="79"/>
      <c r="HA315" s="79"/>
      <c r="HB315" s="79"/>
      <c r="HC315" s="79"/>
      <c r="HD315" s="79"/>
      <c r="HE315" s="79"/>
      <c r="HF315" s="79"/>
      <c r="HG315" s="79"/>
      <c r="HH315" s="79"/>
      <c r="HI315" s="79"/>
      <c r="HJ315" s="79"/>
      <c r="HK315" s="79"/>
      <c r="HL315" s="79"/>
      <c r="HM315" s="79"/>
      <c r="HN315" s="79"/>
      <c r="HO315" s="79"/>
      <c r="HP315" s="79"/>
      <c r="HQ315" s="79"/>
      <c r="HR315" s="79"/>
      <c r="HS315" s="79"/>
      <c r="HT315" s="79"/>
      <c r="HU315" s="79"/>
      <c r="HV315" s="79"/>
      <c r="HW315" s="79"/>
      <c r="HX315" s="79"/>
      <c r="HY315" s="79"/>
      <c r="HZ315" s="79"/>
      <c r="IA315" s="79"/>
      <c r="IB315" s="79"/>
      <c r="IC315" s="79"/>
      <c r="ID315" s="79"/>
      <c r="IE315" s="79"/>
      <c r="IF315" s="79"/>
      <c r="IG315" s="79"/>
      <c r="IH315" s="79"/>
      <c r="II315" s="79"/>
      <c r="IJ315" s="79"/>
      <c r="IK315" s="79"/>
      <c r="IL315" s="79"/>
      <c r="IM315" s="79"/>
      <c r="IN315" s="79"/>
      <c r="IO315" s="79"/>
      <c r="IP315" s="79"/>
      <c r="IQ315" s="79"/>
      <c r="IR315" s="79"/>
      <c r="IS315" s="79"/>
      <c r="IT315" s="79"/>
      <c r="IU315" s="79"/>
      <c r="IV315" s="79"/>
      <c r="IW315" s="79"/>
      <c r="IX315" s="79"/>
      <c r="IY315" s="79"/>
      <c r="IZ315" s="79"/>
      <c r="JA315" s="79"/>
      <c r="JB315" s="79"/>
      <c r="JC315" s="79"/>
      <c r="JD315" s="79"/>
      <c r="JE315" s="79"/>
      <c r="JF315" s="79"/>
      <c r="JG315" s="79"/>
      <c r="JH315" s="79"/>
      <c r="JI315" s="79"/>
      <c r="JJ315" s="79"/>
      <c r="JK315" s="79"/>
      <c r="JL315" s="79"/>
      <c r="JM315" s="79"/>
      <c r="JN315" s="79"/>
      <c r="JO315" s="79"/>
      <c r="JP315" s="79"/>
      <c r="JQ315" s="79"/>
      <c r="JR315" s="79"/>
      <c r="JS315" s="79"/>
      <c r="JT315" s="79"/>
      <c r="JU315" s="79"/>
      <c r="JV315" s="79"/>
      <c r="JW315" s="79"/>
      <c r="JX315" s="79"/>
      <c r="JY315" s="79"/>
      <c r="JZ315" s="79"/>
      <c r="KA315" s="79"/>
      <c r="KB315" s="79"/>
      <c r="KC315" s="79"/>
      <c r="KD315" s="79"/>
      <c r="KE315" s="79"/>
      <c r="KF315" s="79"/>
      <c r="KG315" s="79"/>
      <c r="KH315" s="79"/>
      <c r="KI315" s="79"/>
      <c r="KJ315" s="79"/>
      <c r="KK315" s="79"/>
      <c r="KL315" s="79"/>
      <c r="KM315" s="79"/>
      <c r="KN315" s="79"/>
      <c r="KO315" s="79"/>
      <c r="KP315" s="79"/>
      <c r="KQ315" s="79"/>
      <c r="KR315" s="79"/>
      <c r="KS315" s="79"/>
      <c r="KT315" s="79"/>
      <c r="KU315" s="79"/>
      <c r="KV315" s="79"/>
      <c r="KW315" s="79"/>
      <c r="KX315" s="79"/>
      <c r="KY315" s="79"/>
      <c r="KZ315" s="79"/>
      <c r="LA315" s="79"/>
      <c r="LB315" s="79"/>
      <c r="LC315" s="79"/>
      <c r="LD315" s="79"/>
      <c r="LE315" s="79"/>
      <c r="LF315" s="79"/>
      <c r="LG315" s="79"/>
      <c r="LH315" s="79"/>
      <c r="LI315" s="79"/>
      <c r="LJ315" s="79"/>
      <c r="LK315" s="79"/>
      <c r="LL315" s="79"/>
      <c r="LM315" s="79"/>
      <c r="LN315" s="79"/>
      <c r="LO315" s="79"/>
      <c r="LP315" s="79"/>
      <c r="LQ315" s="79"/>
      <c r="LR315" s="79"/>
      <c r="LS315" s="79"/>
      <c r="LT315" s="79"/>
      <c r="LU315" s="79"/>
      <c r="LV315" s="79"/>
      <c r="LW315" s="79"/>
      <c r="LX315" s="79"/>
      <c r="LY315" s="79"/>
      <c r="LZ315" s="79"/>
      <c r="MA315" s="79"/>
      <c r="MB315" s="79"/>
      <c r="MC315" s="79"/>
      <c r="MD315" s="79"/>
      <c r="ME315" s="79"/>
      <c r="MF315" s="79"/>
      <c r="MG315" s="79"/>
      <c r="MH315" s="79"/>
      <c r="MI315" s="79"/>
      <c r="MJ315" s="79"/>
      <c r="MK315" s="79"/>
      <c r="ML315" s="79"/>
      <c r="MM315" s="79"/>
      <c r="MN315" s="79"/>
      <c r="MO315" s="79"/>
      <c r="MP315" s="79"/>
      <c r="MQ315" s="79"/>
      <c r="MR315" s="79"/>
      <c r="MS315" s="79"/>
      <c r="MT315" s="79"/>
      <c r="MU315" s="79"/>
      <c r="MV315" s="79"/>
      <c r="MW315" s="79"/>
      <c r="MX315" s="79"/>
      <c r="MY315" s="79"/>
      <c r="MZ315" s="79"/>
      <c r="NA315" s="79"/>
      <c r="NB315" s="79"/>
      <c r="NC315" s="79"/>
      <c r="ND315" s="79"/>
      <c r="NE315" s="79"/>
      <c r="NF315" s="79"/>
      <c r="NG315" s="79"/>
      <c r="NH315" s="79"/>
      <c r="NI315" s="79"/>
      <c r="NJ315" s="79"/>
      <c r="NK315" s="79"/>
      <c r="NL315" s="79"/>
      <c r="NM315" s="79"/>
      <c r="NN315" s="79"/>
      <c r="NO315" s="79"/>
      <c r="NP315" s="79"/>
      <c r="NQ315" s="79"/>
      <c r="NR315" s="79"/>
      <c r="NS315" s="79"/>
      <c r="NT315" s="79"/>
      <c r="NU315" s="79"/>
      <c r="NV315" s="79"/>
      <c r="NW315" s="79"/>
      <c r="NX315" s="79"/>
      <c r="NY315" s="79"/>
      <c r="NZ315" s="79"/>
      <c r="OA315" s="79"/>
      <c r="OB315" s="79"/>
      <c r="OC315" s="79"/>
      <c r="OD315" s="79"/>
      <c r="OE315" s="79"/>
      <c r="OF315" s="79"/>
      <c r="OG315" s="79"/>
      <c r="OH315" s="79"/>
      <c r="OI315" s="79"/>
      <c r="OJ315" s="79"/>
      <c r="OK315" s="79"/>
      <c r="OL315" s="79"/>
      <c r="OM315" s="79"/>
      <c r="ON315" s="79"/>
      <c r="OO315" s="79"/>
      <c r="OP315" s="79"/>
      <c r="OQ315" s="79"/>
      <c r="OR315" s="79"/>
      <c r="OS315" s="79"/>
      <c r="OT315" s="79"/>
      <c r="OU315" s="79"/>
      <c r="OV315" s="79"/>
      <c r="OW315" s="79"/>
      <c r="OX315" s="79"/>
      <c r="OY315" s="79"/>
      <c r="OZ315" s="79"/>
      <c r="PA315" s="79"/>
      <c r="PB315" s="79"/>
      <c r="PC315" s="79"/>
      <c r="PD315" s="79"/>
      <c r="PE315" s="79"/>
      <c r="PF315" s="79"/>
      <c r="PG315" s="79"/>
      <c r="PH315" s="79"/>
      <c r="PI315" s="79"/>
      <c r="PJ315" s="79"/>
      <c r="PK315" s="79"/>
      <c r="PL315" s="79"/>
      <c r="PM315" s="79"/>
      <c r="PN315" s="79"/>
      <c r="PO315" s="79"/>
      <c r="PP315" s="79"/>
      <c r="PQ315" s="79"/>
      <c r="PR315" s="79"/>
      <c r="PS315" s="79"/>
      <c r="PT315" s="79"/>
      <c r="PU315" s="79"/>
      <c r="PV315" s="79"/>
      <c r="PW315" s="79"/>
      <c r="PX315" s="79"/>
      <c r="PY315" s="79"/>
      <c r="PZ315" s="79"/>
      <c r="QA315" s="79"/>
      <c r="QB315" s="79"/>
      <c r="QC315" s="79"/>
      <c r="QD315" s="79"/>
      <c r="QE315" s="79"/>
      <c r="QF315" s="79"/>
      <c r="QG315" s="79"/>
      <c r="QH315" s="79"/>
      <c r="QI315" s="79"/>
      <c r="QJ315" s="79"/>
      <c r="QK315" s="79"/>
      <c r="QL315" s="79"/>
      <c r="QM315" s="79"/>
      <c r="QN315" s="79"/>
      <c r="QO315" s="79"/>
      <c r="QP315" s="79"/>
      <c r="QQ315" s="79"/>
      <c r="QR315" s="79"/>
      <c r="QS315" s="79"/>
      <c r="QT315" s="79"/>
      <c r="QU315" s="79"/>
      <c r="QV315" s="79"/>
      <c r="QW315" s="79"/>
      <c r="QX315" s="79"/>
      <c r="QY315" s="79"/>
      <c r="QZ315" s="79"/>
      <c r="RA315" s="79"/>
      <c r="RB315" s="79"/>
      <c r="RC315" s="79"/>
      <c r="RD315" s="79"/>
      <c r="RE315" s="79"/>
      <c r="RF315" s="79"/>
      <c r="RG315" s="79"/>
      <c r="RH315" s="79"/>
      <c r="RI315" s="79"/>
      <c r="RJ315" s="79"/>
      <c r="RK315" s="79"/>
      <c r="RL315" s="79"/>
      <c r="RM315" s="79"/>
      <c r="RN315" s="79"/>
      <c r="RO315" s="79"/>
      <c r="RP315" s="79"/>
      <c r="RQ315" s="79"/>
      <c r="RR315" s="79"/>
      <c r="RS315" s="79"/>
      <c r="RT315" s="79"/>
      <c r="RU315" s="79"/>
      <c r="RV315" s="79"/>
      <c r="RW315" s="79"/>
      <c r="RX315" s="79"/>
      <c r="RY315" s="79"/>
      <c r="RZ315" s="79"/>
      <c r="SA315" s="79"/>
      <c r="SB315" s="79"/>
      <c r="SC315" s="79"/>
      <c r="SD315" s="79"/>
      <c r="SE315" s="79"/>
      <c r="SF315" s="79"/>
      <c r="SG315" s="79"/>
      <c r="SH315" s="79"/>
      <c r="SI315" s="79"/>
      <c r="SJ315" s="79"/>
      <c r="SK315" s="79"/>
      <c r="SL315" s="79"/>
      <c r="SM315" s="79"/>
      <c r="SN315" s="79"/>
      <c r="SO315" s="79"/>
      <c r="SP315" s="79"/>
      <c r="SQ315" s="79"/>
      <c r="SR315" s="79"/>
      <c r="SS315" s="79"/>
      <c r="ST315" s="79"/>
      <c r="SU315" s="79"/>
      <c r="SV315" s="79"/>
      <c r="SW315" s="79"/>
      <c r="SX315" s="79"/>
      <c r="SY315" s="79"/>
      <c r="SZ315" s="79"/>
      <c r="TA315" s="79"/>
      <c r="TB315" s="79"/>
      <c r="TC315" s="79"/>
      <c r="TD315" s="79"/>
      <c r="TE315" s="79"/>
      <c r="TF315" s="79"/>
      <c r="TG315" s="79"/>
      <c r="TH315" s="79"/>
      <c r="TI315" s="79"/>
      <c r="TJ315" s="79"/>
      <c r="TK315" s="79"/>
      <c r="TL315" s="79"/>
      <c r="TM315" s="79"/>
      <c r="TN315" s="79"/>
      <c r="TO315" s="79"/>
      <c r="TP315" s="79"/>
      <c r="TQ315" s="79"/>
      <c r="TR315" s="79"/>
      <c r="TS315" s="79"/>
      <c r="TT315" s="79"/>
      <c r="TU315" s="79"/>
      <c r="TV315" s="79"/>
      <c r="TW315" s="79"/>
      <c r="TX315" s="79"/>
      <c r="TY315" s="79"/>
      <c r="TZ315" s="79"/>
      <c r="UA315" s="79"/>
      <c r="UB315" s="79"/>
      <c r="UC315" s="79"/>
      <c r="UD315" s="79"/>
      <c r="UE315" s="79"/>
      <c r="UF315" s="79"/>
      <c r="UG315" s="79"/>
      <c r="UH315" s="79"/>
      <c r="UI315" s="79"/>
      <c r="UJ315" s="79"/>
      <c r="UK315" s="79"/>
      <c r="UL315" s="79"/>
      <c r="UM315" s="79"/>
      <c r="UN315" s="79"/>
      <c r="UO315" s="79"/>
      <c r="UP315" s="79"/>
      <c r="UQ315" s="79"/>
      <c r="UR315" s="79"/>
      <c r="US315" s="79"/>
      <c r="UT315" s="79"/>
      <c r="UU315" s="79"/>
      <c r="UV315" s="79"/>
      <c r="UW315" s="79"/>
      <c r="UX315" s="79"/>
      <c r="UY315" s="79"/>
      <c r="UZ315" s="79"/>
      <c r="VA315" s="79"/>
      <c r="VB315" s="79"/>
      <c r="VC315" s="79"/>
      <c r="VD315" s="79"/>
      <c r="VE315" s="79"/>
      <c r="VF315" s="79"/>
      <c r="VG315" s="79"/>
      <c r="VH315" s="79"/>
      <c r="VI315" s="79"/>
      <c r="VJ315" s="79"/>
      <c r="VK315" s="79"/>
      <c r="VL315" s="79"/>
    </row>
    <row r="316" spans="1:584" ht="50.25" customHeight="1" x14ac:dyDescent="0.25">
      <c r="D316" s="7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3"/>
      <c r="Z316" s="188"/>
    </row>
    <row r="317" spans="1:584" s="74" customFormat="1" ht="20.25" customHeight="1" x14ac:dyDescent="0.25">
      <c r="A317" s="85"/>
      <c r="B317" s="85"/>
      <c r="C317" s="85"/>
      <c r="D317" s="86"/>
      <c r="E317" s="132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47"/>
      <c r="S317" s="147"/>
      <c r="T317" s="147"/>
      <c r="U317" s="147"/>
      <c r="V317" s="147"/>
      <c r="W317" s="147"/>
      <c r="X317" s="130"/>
      <c r="Y317" s="131"/>
      <c r="Z317" s="188"/>
    </row>
    <row r="318" spans="1:584" s="74" customFormat="1" ht="20.25" customHeight="1" x14ac:dyDescent="0.25">
      <c r="A318" s="85"/>
      <c r="B318" s="85"/>
      <c r="C318" s="85"/>
      <c r="D318" s="86"/>
      <c r="E318" s="132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47"/>
      <c r="S318" s="147"/>
      <c r="T318" s="147"/>
      <c r="U318" s="147"/>
      <c r="V318" s="147"/>
      <c r="W318" s="147"/>
      <c r="X318" s="130"/>
      <c r="Y318" s="131"/>
      <c r="Z318" s="188"/>
    </row>
    <row r="319" spans="1:584" s="74" customFormat="1" ht="20.25" customHeight="1" x14ac:dyDescent="0.25">
      <c r="A319" s="85"/>
      <c r="B319" s="85"/>
      <c r="C319" s="85"/>
      <c r="D319" s="86"/>
      <c r="E319" s="132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47"/>
      <c r="S319" s="147"/>
      <c r="T319" s="147"/>
      <c r="U319" s="147"/>
      <c r="V319" s="147"/>
      <c r="W319" s="147"/>
      <c r="X319" s="130"/>
      <c r="Y319" s="131"/>
      <c r="Z319" s="188"/>
    </row>
    <row r="320" spans="1:584" s="74" customFormat="1" ht="20.25" customHeight="1" x14ac:dyDescent="0.25">
      <c r="A320" s="85"/>
      <c r="B320" s="85"/>
      <c r="C320" s="85"/>
      <c r="D320" s="86"/>
      <c r="E320" s="132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47"/>
      <c r="S320" s="147"/>
      <c r="T320" s="147"/>
      <c r="U320" s="147"/>
      <c r="V320" s="147"/>
      <c r="W320" s="147"/>
      <c r="X320" s="130"/>
      <c r="Y320" s="131"/>
      <c r="Z320" s="188"/>
    </row>
    <row r="321" spans="1:624" s="74" customFormat="1" ht="20.25" customHeight="1" x14ac:dyDescent="0.25">
      <c r="A321" s="85"/>
      <c r="B321" s="85"/>
      <c r="C321" s="85"/>
      <c r="D321" s="86"/>
      <c r="E321" s="132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47"/>
      <c r="S321" s="147"/>
      <c r="T321" s="147"/>
      <c r="U321" s="147"/>
      <c r="V321" s="147"/>
      <c r="W321" s="147"/>
      <c r="X321" s="130"/>
      <c r="Y321" s="131"/>
      <c r="Z321" s="188"/>
    </row>
    <row r="322" spans="1:624" s="74" customFormat="1" ht="20.25" customHeight="1" x14ac:dyDescent="0.25">
      <c r="A322" s="85"/>
      <c r="B322" s="85"/>
      <c r="C322" s="85"/>
      <c r="D322" s="86"/>
      <c r="E322" s="132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47"/>
      <c r="S322" s="147"/>
      <c r="T322" s="147"/>
      <c r="U322" s="147"/>
      <c r="V322" s="147"/>
      <c r="W322" s="147"/>
      <c r="X322" s="130"/>
      <c r="Y322" s="131"/>
      <c r="Z322" s="188"/>
    </row>
    <row r="323" spans="1:624" s="179" customFormat="1" ht="36" customHeight="1" x14ac:dyDescent="0.55000000000000004">
      <c r="A323" s="205" t="s">
        <v>606</v>
      </c>
      <c r="B323" s="205"/>
      <c r="C323" s="205"/>
      <c r="D323" s="205"/>
      <c r="E323" s="205"/>
      <c r="F323" s="174"/>
      <c r="G323" s="174"/>
      <c r="H323" s="175"/>
      <c r="I323" s="175"/>
      <c r="J323" s="175"/>
      <c r="K323" s="176"/>
      <c r="L323" s="177"/>
      <c r="M323" s="177"/>
      <c r="N323" s="177"/>
      <c r="O323" s="178"/>
      <c r="Q323" s="176"/>
      <c r="R323" s="177"/>
      <c r="S323" s="177"/>
      <c r="T323" s="177"/>
      <c r="U323" s="178"/>
      <c r="V323" s="180" t="s">
        <v>607</v>
      </c>
      <c r="Y323" s="140"/>
      <c r="Z323" s="188"/>
      <c r="AA323" s="181"/>
      <c r="AB323" s="181"/>
      <c r="AC323" s="181"/>
      <c r="AD323" s="181"/>
      <c r="AE323" s="181"/>
      <c r="AF323" s="181"/>
      <c r="AG323" s="181"/>
      <c r="AH323" s="181"/>
      <c r="AI323" s="181"/>
      <c r="AJ323" s="181"/>
      <c r="AK323" s="181"/>
      <c r="AL323" s="181"/>
      <c r="AM323" s="181"/>
      <c r="AN323" s="181"/>
      <c r="AO323" s="181"/>
      <c r="AP323" s="181"/>
      <c r="AQ323" s="181"/>
      <c r="AR323" s="181"/>
      <c r="AS323" s="181"/>
      <c r="AT323" s="181"/>
      <c r="AU323" s="181"/>
      <c r="AV323" s="181"/>
      <c r="AW323" s="181"/>
      <c r="AX323" s="181"/>
      <c r="AY323" s="181"/>
      <c r="AZ323" s="181"/>
      <c r="BA323" s="181"/>
      <c r="BB323" s="181"/>
      <c r="BC323" s="181"/>
      <c r="BD323" s="181"/>
      <c r="BE323" s="181"/>
      <c r="BF323" s="181"/>
      <c r="BG323" s="181"/>
      <c r="BH323" s="181"/>
      <c r="BI323" s="181"/>
      <c r="BJ323" s="181"/>
      <c r="BK323" s="181"/>
      <c r="BL323" s="181"/>
      <c r="BM323" s="181"/>
      <c r="BN323" s="181"/>
      <c r="BO323" s="181"/>
      <c r="BP323" s="181"/>
      <c r="BQ323" s="181"/>
      <c r="BR323" s="181"/>
      <c r="BS323" s="181"/>
      <c r="BT323" s="181"/>
      <c r="BU323" s="181"/>
      <c r="BV323" s="181"/>
      <c r="BW323" s="181"/>
      <c r="BX323" s="181"/>
      <c r="BY323" s="181"/>
      <c r="BZ323" s="181"/>
      <c r="CA323" s="181"/>
      <c r="CB323" s="181"/>
      <c r="CC323" s="181"/>
      <c r="CD323" s="181"/>
      <c r="CE323" s="181"/>
      <c r="CF323" s="181"/>
      <c r="CG323" s="181"/>
      <c r="CH323" s="181"/>
      <c r="CI323" s="181"/>
      <c r="CJ323" s="181"/>
      <c r="CK323" s="181"/>
      <c r="CL323" s="181"/>
      <c r="CM323" s="181"/>
      <c r="CN323" s="181"/>
      <c r="CO323" s="181"/>
      <c r="CP323" s="181"/>
      <c r="CQ323" s="181"/>
      <c r="CR323" s="181"/>
      <c r="CS323" s="181"/>
      <c r="CT323" s="181"/>
      <c r="CU323" s="181"/>
      <c r="CV323" s="181"/>
      <c r="CW323" s="181"/>
      <c r="CX323" s="181"/>
      <c r="CY323" s="181"/>
      <c r="CZ323" s="181"/>
      <c r="DA323" s="181"/>
      <c r="DB323" s="181"/>
      <c r="DC323" s="181"/>
      <c r="DD323" s="181"/>
      <c r="DE323" s="181"/>
      <c r="DF323" s="181"/>
      <c r="DG323" s="181"/>
      <c r="DH323" s="181"/>
      <c r="DI323" s="181"/>
      <c r="DJ323" s="181"/>
      <c r="DK323" s="181"/>
      <c r="DL323" s="181"/>
      <c r="DM323" s="181"/>
      <c r="DN323" s="181"/>
      <c r="DO323" s="181"/>
      <c r="DP323" s="181"/>
      <c r="DQ323" s="181"/>
      <c r="DR323" s="181"/>
      <c r="DS323" s="181"/>
      <c r="DT323" s="181"/>
      <c r="DU323" s="181"/>
      <c r="DV323" s="181"/>
      <c r="DW323" s="181"/>
      <c r="DX323" s="181"/>
      <c r="DY323" s="181"/>
      <c r="DZ323" s="181"/>
      <c r="EA323" s="181"/>
      <c r="EB323" s="181"/>
      <c r="EC323" s="181"/>
      <c r="ED323" s="181"/>
      <c r="EE323" s="181"/>
      <c r="EF323" s="181"/>
      <c r="EG323" s="181"/>
      <c r="EH323" s="181"/>
      <c r="EI323" s="181"/>
      <c r="EJ323" s="181"/>
      <c r="EK323" s="181"/>
      <c r="EL323" s="181"/>
      <c r="EM323" s="181"/>
      <c r="EN323" s="181"/>
      <c r="EO323" s="181"/>
      <c r="EP323" s="181"/>
      <c r="EQ323" s="181"/>
      <c r="ER323" s="181"/>
      <c r="ES323" s="181"/>
      <c r="ET323" s="181"/>
      <c r="EU323" s="181"/>
      <c r="EV323" s="181"/>
      <c r="EW323" s="181"/>
      <c r="EX323" s="181"/>
      <c r="EY323" s="181"/>
      <c r="EZ323" s="181"/>
      <c r="FA323" s="181"/>
      <c r="FB323" s="181"/>
      <c r="FC323" s="181"/>
      <c r="FD323" s="181"/>
      <c r="FE323" s="181"/>
      <c r="FF323" s="181"/>
      <c r="FG323" s="181"/>
      <c r="FH323" s="181"/>
      <c r="FI323" s="181"/>
      <c r="FJ323" s="181"/>
      <c r="FK323" s="181"/>
      <c r="FL323" s="181"/>
      <c r="FM323" s="181"/>
      <c r="FN323" s="181"/>
      <c r="FO323" s="181"/>
      <c r="FP323" s="181"/>
      <c r="FQ323" s="181"/>
      <c r="FR323" s="181"/>
      <c r="FS323" s="181"/>
      <c r="FT323" s="181"/>
      <c r="FU323" s="181"/>
      <c r="FV323" s="181"/>
      <c r="FW323" s="181"/>
      <c r="FX323" s="181"/>
      <c r="FY323" s="181"/>
      <c r="FZ323" s="181"/>
      <c r="GA323" s="181"/>
      <c r="GB323" s="181"/>
      <c r="GC323" s="181"/>
      <c r="GD323" s="181"/>
      <c r="GE323" s="181"/>
      <c r="GF323" s="181"/>
      <c r="GG323" s="181"/>
      <c r="GH323" s="181"/>
      <c r="GI323" s="181"/>
      <c r="GJ323" s="181"/>
      <c r="GK323" s="181"/>
      <c r="GL323" s="181"/>
      <c r="GM323" s="181"/>
      <c r="GN323" s="181"/>
      <c r="GO323" s="181"/>
      <c r="GP323" s="181"/>
      <c r="GQ323" s="181"/>
      <c r="GR323" s="181"/>
      <c r="GS323" s="181"/>
      <c r="GT323" s="181"/>
      <c r="GU323" s="181"/>
      <c r="GV323" s="181"/>
      <c r="GW323" s="181"/>
      <c r="GX323" s="181"/>
      <c r="GY323" s="181"/>
      <c r="GZ323" s="181"/>
      <c r="HA323" s="181"/>
      <c r="HB323" s="181"/>
      <c r="HC323" s="181"/>
      <c r="HD323" s="181"/>
      <c r="HE323" s="181"/>
      <c r="HF323" s="181"/>
      <c r="HG323" s="181"/>
      <c r="HH323" s="181"/>
      <c r="HI323" s="181"/>
      <c r="HJ323" s="181"/>
      <c r="HK323" s="181"/>
      <c r="HL323" s="181"/>
      <c r="HM323" s="181"/>
      <c r="HN323" s="181"/>
      <c r="HO323" s="181"/>
      <c r="HP323" s="181"/>
      <c r="HQ323" s="181"/>
      <c r="HR323" s="181"/>
      <c r="HS323" s="181"/>
      <c r="HT323" s="181"/>
      <c r="HU323" s="181"/>
      <c r="HV323" s="181"/>
      <c r="HW323" s="181"/>
      <c r="HX323" s="181"/>
      <c r="HY323" s="181"/>
      <c r="HZ323" s="181"/>
      <c r="IA323" s="181"/>
      <c r="IB323" s="181"/>
      <c r="IC323" s="181"/>
      <c r="ID323" s="181"/>
      <c r="IE323" s="181"/>
      <c r="IF323" s="181"/>
      <c r="IG323" s="181"/>
      <c r="IH323" s="181"/>
      <c r="II323" s="181"/>
      <c r="IJ323" s="181"/>
      <c r="IK323" s="181"/>
      <c r="IL323" s="181"/>
      <c r="IM323" s="181"/>
      <c r="IN323" s="181"/>
      <c r="IO323" s="181"/>
      <c r="IP323" s="181"/>
      <c r="IQ323" s="181"/>
      <c r="IR323" s="181"/>
      <c r="IS323" s="181"/>
      <c r="IT323" s="181"/>
      <c r="IU323" s="181"/>
      <c r="IV323" s="181"/>
      <c r="IW323" s="181"/>
      <c r="IX323" s="181"/>
      <c r="IY323" s="181"/>
      <c r="IZ323" s="181"/>
      <c r="JA323" s="181"/>
      <c r="JB323" s="181"/>
      <c r="JC323" s="181"/>
      <c r="JD323" s="181"/>
      <c r="JE323" s="181"/>
      <c r="JF323" s="181"/>
      <c r="JG323" s="181"/>
      <c r="JH323" s="181"/>
      <c r="JI323" s="181"/>
      <c r="JJ323" s="181"/>
      <c r="JK323" s="181"/>
      <c r="JL323" s="181"/>
      <c r="JM323" s="181"/>
      <c r="JN323" s="181"/>
      <c r="JO323" s="181"/>
      <c r="JP323" s="181"/>
      <c r="JQ323" s="181"/>
      <c r="JR323" s="181"/>
      <c r="JS323" s="181"/>
      <c r="JT323" s="181"/>
      <c r="JU323" s="181"/>
      <c r="JV323" s="181"/>
      <c r="JW323" s="181"/>
      <c r="JX323" s="181"/>
      <c r="JY323" s="181"/>
      <c r="JZ323" s="181"/>
      <c r="KA323" s="181"/>
      <c r="KB323" s="181"/>
      <c r="KC323" s="181"/>
      <c r="KD323" s="181"/>
      <c r="KE323" s="181"/>
      <c r="KF323" s="181"/>
      <c r="KG323" s="181"/>
      <c r="KH323" s="181"/>
      <c r="KI323" s="181"/>
      <c r="KJ323" s="181"/>
      <c r="KK323" s="181"/>
      <c r="KL323" s="181"/>
      <c r="KM323" s="181"/>
      <c r="KN323" s="181"/>
      <c r="KO323" s="181"/>
      <c r="KP323" s="181"/>
      <c r="KQ323" s="181"/>
      <c r="KR323" s="181"/>
      <c r="KS323" s="181"/>
      <c r="KT323" s="181"/>
      <c r="KU323" s="181"/>
      <c r="KV323" s="181"/>
      <c r="KW323" s="181"/>
      <c r="KX323" s="181"/>
      <c r="KY323" s="181"/>
      <c r="KZ323" s="181"/>
      <c r="LA323" s="181"/>
      <c r="LB323" s="181"/>
      <c r="LC323" s="181"/>
      <c r="LD323" s="181"/>
      <c r="LE323" s="181"/>
      <c r="LF323" s="181"/>
      <c r="LG323" s="181"/>
      <c r="LH323" s="181"/>
      <c r="LI323" s="181"/>
      <c r="LJ323" s="181"/>
      <c r="LK323" s="181"/>
      <c r="LL323" s="181"/>
      <c r="LM323" s="181"/>
      <c r="LN323" s="181"/>
      <c r="LO323" s="181"/>
      <c r="LP323" s="181"/>
      <c r="LQ323" s="181"/>
      <c r="LR323" s="181"/>
      <c r="LS323" s="181"/>
      <c r="LT323" s="181"/>
      <c r="LU323" s="181"/>
      <c r="LV323" s="181"/>
      <c r="LW323" s="181"/>
      <c r="LX323" s="181"/>
      <c r="LY323" s="181"/>
      <c r="LZ323" s="181"/>
      <c r="MA323" s="181"/>
      <c r="MB323" s="181"/>
      <c r="MC323" s="181"/>
      <c r="MD323" s="181"/>
      <c r="ME323" s="181"/>
      <c r="MF323" s="181"/>
      <c r="MG323" s="181"/>
      <c r="MH323" s="181"/>
      <c r="MI323" s="181"/>
      <c r="MJ323" s="181"/>
      <c r="MK323" s="181"/>
      <c r="ML323" s="181"/>
      <c r="MM323" s="181"/>
      <c r="MN323" s="181"/>
      <c r="MO323" s="181"/>
      <c r="MP323" s="181"/>
      <c r="MQ323" s="181"/>
      <c r="MR323" s="181"/>
      <c r="MS323" s="181"/>
      <c r="MT323" s="181"/>
      <c r="MU323" s="181"/>
      <c r="MV323" s="181"/>
      <c r="MW323" s="181"/>
      <c r="MX323" s="181"/>
      <c r="MY323" s="181"/>
      <c r="MZ323" s="181"/>
      <c r="NA323" s="181"/>
      <c r="NB323" s="181"/>
      <c r="NC323" s="181"/>
      <c r="ND323" s="181"/>
      <c r="NE323" s="181"/>
      <c r="NF323" s="181"/>
      <c r="NG323" s="181"/>
      <c r="NH323" s="181"/>
      <c r="NI323" s="181"/>
      <c r="NJ323" s="181"/>
      <c r="NK323" s="181"/>
      <c r="NL323" s="181"/>
      <c r="NM323" s="181"/>
      <c r="NN323" s="181"/>
      <c r="NO323" s="181"/>
      <c r="NP323" s="181"/>
      <c r="NQ323" s="181"/>
      <c r="NR323" s="181"/>
      <c r="NS323" s="181"/>
      <c r="NT323" s="181"/>
      <c r="NU323" s="181"/>
      <c r="NV323" s="181"/>
      <c r="NW323" s="181"/>
      <c r="NX323" s="181"/>
      <c r="NY323" s="181"/>
      <c r="NZ323" s="181"/>
      <c r="OA323" s="181"/>
      <c r="OB323" s="181"/>
      <c r="OC323" s="181"/>
      <c r="OD323" s="181"/>
      <c r="OE323" s="181"/>
      <c r="OF323" s="181"/>
      <c r="OG323" s="181"/>
      <c r="OH323" s="181"/>
      <c r="OI323" s="181"/>
      <c r="OJ323" s="181"/>
      <c r="OK323" s="181"/>
      <c r="OL323" s="181"/>
      <c r="OM323" s="181"/>
      <c r="ON323" s="181"/>
      <c r="OO323" s="181"/>
      <c r="OP323" s="181"/>
      <c r="OQ323" s="181"/>
      <c r="OR323" s="181"/>
      <c r="OS323" s="181"/>
      <c r="OT323" s="181"/>
      <c r="OU323" s="181"/>
      <c r="OV323" s="181"/>
      <c r="OW323" s="181"/>
      <c r="OX323" s="181"/>
      <c r="OY323" s="181"/>
      <c r="OZ323" s="181"/>
      <c r="PA323" s="181"/>
      <c r="PB323" s="181"/>
      <c r="PC323" s="181"/>
      <c r="PD323" s="181"/>
      <c r="PE323" s="181"/>
      <c r="PF323" s="181"/>
      <c r="PG323" s="181"/>
      <c r="PH323" s="181"/>
      <c r="PI323" s="181"/>
      <c r="PJ323" s="181"/>
      <c r="PK323" s="181"/>
      <c r="PL323" s="181"/>
      <c r="PM323" s="181"/>
      <c r="PN323" s="181"/>
      <c r="PO323" s="181"/>
      <c r="PP323" s="181"/>
      <c r="PQ323" s="181"/>
      <c r="PR323" s="181"/>
      <c r="PS323" s="181"/>
      <c r="PT323" s="181"/>
      <c r="PU323" s="181"/>
      <c r="PV323" s="181"/>
      <c r="PW323" s="181"/>
      <c r="PX323" s="181"/>
      <c r="PY323" s="181"/>
      <c r="PZ323" s="181"/>
      <c r="QA323" s="181"/>
      <c r="QB323" s="181"/>
      <c r="QC323" s="181"/>
      <c r="QD323" s="181"/>
      <c r="QE323" s="181"/>
      <c r="QF323" s="181"/>
      <c r="QG323" s="181"/>
      <c r="QH323" s="181"/>
      <c r="QI323" s="181"/>
      <c r="QJ323" s="181"/>
      <c r="QK323" s="181"/>
      <c r="QL323" s="181"/>
      <c r="QM323" s="181"/>
      <c r="QN323" s="181"/>
      <c r="QO323" s="181"/>
      <c r="QP323" s="181"/>
      <c r="QQ323" s="181"/>
      <c r="QR323" s="181"/>
      <c r="QS323" s="181"/>
      <c r="QT323" s="181"/>
      <c r="QU323" s="181"/>
      <c r="QV323" s="181"/>
      <c r="QW323" s="181"/>
      <c r="QX323" s="181"/>
      <c r="QY323" s="181"/>
      <c r="QZ323" s="181"/>
      <c r="RA323" s="181"/>
      <c r="RB323" s="181"/>
      <c r="RC323" s="181"/>
      <c r="RD323" s="181"/>
      <c r="RE323" s="181"/>
      <c r="RF323" s="181"/>
      <c r="RG323" s="181"/>
      <c r="RH323" s="181"/>
      <c r="RI323" s="181"/>
      <c r="RJ323" s="181"/>
      <c r="RK323" s="181"/>
      <c r="RL323" s="181"/>
      <c r="RM323" s="181"/>
      <c r="RN323" s="181"/>
      <c r="RO323" s="181"/>
      <c r="RP323" s="181"/>
      <c r="RQ323" s="181"/>
      <c r="RR323" s="181"/>
      <c r="RS323" s="181"/>
      <c r="RT323" s="181"/>
      <c r="RU323" s="181"/>
      <c r="RV323" s="181"/>
      <c r="RW323" s="181"/>
      <c r="RX323" s="181"/>
      <c r="RY323" s="181"/>
      <c r="RZ323" s="181"/>
      <c r="SA323" s="181"/>
      <c r="SB323" s="181"/>
      <c r="SC323" s="181"/>
      <c r="SD323" s="181"/>
      <c r="SE323" s="181"/>
      <c r="SF323" s="181"/>
      <c r="SG323" s="181"/>
      <c r="SH323" s="181"/>
      <c r="SI323" s="181"/>
      <c r="SJ323" s="181"/>
      <c r="SK323" s="181"/>
      <c r="SL323" s="181"/>
      <c r="SM323" s="181"/>
      <c r="SN323" s="181"/>
      <c r="SO323" s="181"/>
      <c r="SP323" s="181"/>
      <c r="SQ323" s="181"/>
      <c r="SR323" s="181"/>
      <c r="SS323" s="181"/>
      <c r="ST323" s="181"/>
      <c r="SU323" s="181"/>
      <c r="SV323" s="181"/>
      <c r="SW323" s="181"/>
      <c r="SX323" s="181"/>
      <c r="SY323" s="181"/>
      <c r="SZ323" s="181"/>
      <c r="TA323" s="181"/>
      <c r="TB323" s="181"/>
      <c r="TC323" s="181"/>
      <c r="TD323" s="181"/>
      <c r="TE323" s="181"/>
      <c r="TF323" s="181"/>
      <c r="TG323" s="181"/>
      <c r="TH323" s="181"/>
      <c r="TI323" s="181"/>
      <c r="TJ323" s="181"/>
      <c r="TK323" s="181"/>
      <c r="TL323" s="181"/>
      <c r="TM323" s="181"/>
      <c r="TN323" s="181"/>
      <c r="TO323" s="181"/>
      <c r="TP323" s="181"/>
      <c r="TQ323" s="181"/>
      <c r="TR323" s="181"/>
      <c r="TS323" s="181"/>
      <c r="TT323" s="181"/>
      <c r="TU323" s="181"/>
      <c r="TV323" s="181"/>
      <c r="TW323" s="181"/>
      <c r="TX323" s="181"/>
      <c r="TY323" s="181"/>
      <c r="TZ323" s="181"/>
      <c r="UA323" s="181"/>
      <c r="UB323" s="181"/>
      <c r="UC323" s="181"/>
      <c r="UD323" s="181"/>
      <c r="UE323" s="181"/>
      <c r="UF323" s="181"/>
      <c r="UG323" s="181"/>
      <c r="UH323" s="181"/>
      <c r="UI323" s="181"/>
      <c r="UJ323" s="181"/>
      <c r="UK323" s="181"/>
      <c r="UL323" s="181"/>
      <c r="UM323" s="181"/>
      <c r="UN323" s="181"/>
      <c r="UO323" s="181"/>
      <c r="UP323" s="181"/>
      <c r="UQ323" s="181"/>
      <c r="UR323" s="181"/>
      <c r="US323" s="181"/>
      <c r="UT323" s="181"/>
      <c r="UU323" s="181"/>
      <c r="UV323" s="181"/>
      <c r="UW323" s="181"/>
      <c r="UX323" s="181"/>
      <c r="UY323" s="181"/>
      <c r="UZ323" s="181"/>
      <c r="VA323" s="181"/>
      <c r="VB323" s="181"/>
      <c r="VC323" s="181"/>
      <c r="VD323" s="181"/>
      <c r="VE323" s="181"/>
      <c r="VF323" s="181"/>
      <c r="VG323" s="181"/>
      <c r="VH323" s="181"/>
      <c r="VI323" s="181"/>
      <c r="VJ323" s="181"/>
      <c r="VK323" s="181"/>
      <c r="VL323" s="181"/>
      <c r="VM323" s="181"/>
      <c r="VN323" s="181"/>
      <c r="VO323" s="181"/>
      <c r="VP323" s="181"/>
      <c r="VQ323" s="181"/>
      <c r="VR323" s="181"/>
      <c r="VS323" s="181"/>
      <c r="VT323" s="181"/>
      <c r="VU323" s="181"/>
      <c r="VV323" s="181"/>
      <c r="VW323" s="181"/>
      <c r="VX323" s="181"/>
      <c r="VY323" s="181"/>
      <c r="VZ323" s="181"/>
      <c r="WA323" s="181"/>
      <c r="WB323" s="181"/>
      <c r="WC323" s="181"/>
      <c r="WD323" s="181"/>
      <c r="WE323" s="181"/>
      <c r="WF323" s="181"/>
      <c r="WG323" s="181"/>
      <c r="WH323" s="181"/>
      <c r="WI323" s="181"/>
      <c r="WJ323" s="181"/>
      <c r="WK323" s="181"/>
      <c r="WL323" s="181"/>
      <c r="WM323" s="181"/>
      <c r="WN323" s="181"/>
      <c r="WO323" s="181"/>
      <c r="WP323" s="181"/>
      <c r="WQ323" s="181"/>
      <c r="WR323" s="181"/>
      <c r="WS323" s="181"/>
      <c r="WT323" s="181"/>
      <c r="WU323" s="181"/>
      <c r="WV323" s="181"/>
      <c r="WW323" s="181"/>
      <c r="WX323" s="181"/>
      <c r="WY323" s="181"/>
      <c r="WZ323" s="181"/>
    </row>
    <row r="324" spans="1:624" s="179" customFormat="1" ht="38.25" x14ac:dyDescent="0.55000000000000004">
      <c r="A324" s="205" t="s">
        <v>608</v>
      </c>
      <c r="B324" s="205"/>
      <c r="C324" s="205"/>
      <c r="D324" s="205"/>
      <c r="E324" s="182"/>
      <c r="F324" s="182"/>
      <c r="G324" s="182"/>
      <c r="H324" s="183"/>
      <c r="I324" s="183"/>
      <c r="J324" s="183"/>
      <c r="K324" s="176"/>
      <c r="L324" s="177"/>
      <c r="M324" s="177"/>
      <c r="N324" s="177"/>
      <c r="O324" s="184"/>
      <c r="P324" s="184"/>
      <c r="Q324" s="176"/>
      <c r="R324" s="177"/>
      <c r="S324" s="177"/>
      <c r="T324" s="177"/>
      <c r="U324" s="184"/>
      <c r="V324" s="184"/>
      <c r="W324" s="184"/>
      <c r="X324" s="177"/>
      <c r="Y324" s="185"/>
      <c r="Z324" s="188"/>
      <c r="AA324" s="181"/>
      <c r="AB324" s="181"/>
      <c r="AC324" s="181"/>
      <c r="AD324" s="181"/>
      <c r="AE324" s="181"/>
      <c r="AF324" s="181"/>
      <c r="AG324" s="181"/>
      <c r="AH324" s="181"/>
      <c r="AI324" s="181"/>
      <c r="AJ324" s="181"/>
      <c r="AK324" s="181"/>
      <c r="AL324" s="181"/>
      <c r="AM324" s="181"/>
      <c r="AN324" s="181"/>
      <c r="AO324" s="181"/>
      <c r="AP324" s="181"/>
      <c r="AQ324" s="181"/>
      <c r="AR324" s="181"/>
      <c r="AS324" s="181"/>
      <c r="AT324" s="181"/>
      <c r="AU324" s="181"/>
      <c r="AV324" s="181"/>
      <c r="AW324" s="181"/>
      <c r="AX324" s="181"/>
      <c r="AY324" s="181"/>
      <c r="AZ324" s="181"/>
      <c r="BA324" s="181"/>
      <c r="BB324" s="181"/>
      <c r="BC324" s="181"/>
      <c r="BD324" s="181"/>
      <c r="BE324" s="181"/>
      <c r="BF324" s="181"/>
      <c r="BG324" s="181"/>
      <c r="BH324" s="181"/>
      <c r="BI324" s="181"/>
      <c r="BJ324" s="181"/>
      <c r="BK324" s="181"/>
      <c r="BL324" s="181"/>
      <c r="BM324" s="181"/>
      <c r="BN324" s="181"/>
      <c r="BO324" s="181"/>
      <c r="BP324" s="181"/>
      <c r="BQ324" s="181"/>
      <c r="BR324" s="181"/>
      <c r="BS324" s="181"/>
      <c r="BT324" s="181"/>
      <c r="BU324" s="181"/>
      <c r="BV324" s="181"/>
      <c r="BW324" s="181"/>
      <c r="BX324" s="181"/>
      <c r="BY324" s="181"/>
      <c r="BZ324" s="181"/>
      <c r="CA324" s="181"/>
      <c r="CB324" s="181"/>
      <c r="CC324" s="181"/>
      <c r="CD324" s="181"/>
      <c r="CE324" s="181"/>
      <c r="CF324" s="181"/>
      <c r="CG324" s="181"/>
      <c r="CH324" s="181"/>
      <c r="CI324" s="181"/>
      <c r="CJ324" s="181"/>
      <c r="CK324" s="181"/>
      <c r="CL324" s="181"/>
      <c r="CM324" s="181"/>
      <c r="CN324" s="181"/>
      <c r="CO324" s="181"/>
      <c r="CP324" s="181"/>
      <c r="CQ324" s="181"/>
      <c r="CR324" s="181"/>
      <c r="CS324" s="181"/>
      <c r="CT324" s="181"/>
      <c r="CU324" s="181"/>
      <c r="CV324" s="181"/>
      <c r="CW324" s="181"/>
      <c r="CX324" s="181"/>
      <c r="CY324" s="181"/>
      <c r="CZ324" s="181"/>
      <c r="DA324" s="181"/>
      <c r="DB324" s="181"/>
      <c r="DC324" s="181"/>
      <c r="DD324" s="181"/>
      <c r="DE324" s="181"/>
      <c r="DF324" s="181"/>
      <c r="DG324" s="181"/>
      <c r="DH324" s="181"/>
      <c r="DI324" s="181"/>
      <c r="DJ324" s="181"/>
      <c r="DK324" s="181"/>
      <c r="DL324" s="181"/>
      <c r="DM324" s="181"/>
      <c r="DN324" s="181"/>
      <c r="DO324" s="181"/>
      <c r="DP324" s="181"/>
      <c r="DQ324" s="181"/>
      <c r="DR324" s="181"/>
      <c r="DS324" s="181"/>
      <c r="DT324" s="181"/>
      <c r="DU324" s="181"/>
      <c r="DV324" s="181"/>
      <c r="DW324" s="181"/>
      <c r="DX324" s="181"/>
      <c r="DY324" s="181"/>
      <c r="DZ324" s="181"/>
      <c r="EA324" s="181"/>
      <c r="EB324" s="181"/>
      <c r="EC324" s="181"/>
      <c r="ED324" s="181"/>
      <c r="EE324" s="181"/>
      <c r="EF324" s="181"/>
      <c r="EG324" s="181"/>
      <c r="EH324" s="181"/>
      <c r="EI324" s="181"/>
      <c r="EJ324" s="181"/>
      <c r="EK324" s="181"/>
      <c r="EL324" s="181"/>
      <c r="EM324" s="181"/>
      <c r="EN324" s="181"/>
      <c r="EO324" s="181"/>
      <c r="EP324" s="181"/>
      <c r="EQ324" s="181"/>
      <c r="ER324" s="181"/>
      <c r="ES324" s="181"/>
      <c r="ET324" s="181"/>
      <c r="EU324" s="181"/>
      <c r="EV324" s="181"/>
      <c r="EW324" s="181"/>
      <c r="EX324" s="181"/>
      <c r="EY324" s="181"/>
      <c r="EZ324" s="181"/>
      <c r="FA324" s="181"/>
      <c r="FB324" s="181"/>
      <c r="FC324" s="181"/>
      <c r="FD324" s="181"/>
      <c r="FE324" s="181"/>
      <c r="FF324" s="181"/>
      <c r="FG324" s="181"/>
      <c r="FH324" s="181"/>
      <c r="FI324" s="181"/>
      <c r="FJ324" s="181"/>
      <c r="FK324" s="181"/>
      <c r="FL324" s="181"/>
      <c r="FM324" s="181"/>
      <c r="FN324" s="181"/>
      <c r="FO324" s="181"/>
      <c r="FP324" s="181"/>
      <c r="FQ324" s="181"/>
      <c r="FR324" s="181"/>
      <c r="FS324" s="181"/>
      <c r="FT324" s="181"/>
      <c r="FU324" s="181"/>
      <c r="FV324" s="181"/>
      <c r="FW324" s="181"/>
      <c r="FX324" s="181"/>
      <c r="FY324" s="181"/>
      <c r="FZ324" s="181"/>
      <c r="GA324" s="181"/>
      <c r="GB324" s="181"/>
      <c r="GC324" s="181"/>
      <c r="GD324" s="181"/>
      <c r="GE324" s="181"/>
      <c r="GF324" s="181"/>
      <c r="GG324" s="181"/>
      <c r="GH324" s="181"/>
      <c r="GI324" s="181"/>
      <c r="GJ324" s="181"/>
      <c r="GK324" s="181"/>
      <c r="GL324" s="181"/>
      <c r="GM324" s="181"/>
      <c r="GN324" s="181"/>
      <c r="GO324" s="181"/>
      <c r="GP324" s="181"/>
      <c r="GQ324" s="181"/>
      <c r="GR324" s="181"/>
      <c r="GS324" s="181"/>
      <c r="GT324" s="181"/>
      <c r="GU324" s="181"/>
      <c r="GV324" s="181"/>
      <c r="GW324" s="181"/>
      <c r="GX324" s="181"/>
      <c r="GY324" s="181"/>
      <c r="GZ324" s="181"/>
      <c r="HA324" s="181"/>
      <c r="HB324" s="181"/>
      <c r="HC324" s="181"/>
      <c r="HD324" s="181"/>
      <c r="HE324" s="181"/>
      <c r="HF324" s="181"/>
      <c r="HG324" s="181"/>
      <c r="HH324" s="181"/>
      <c r="HI324" s="181"/>
      <c r="HJ324" s="181"/>
      <c r="HK324" s="181"/>
      <c r="HL324" s="181"/>
      <c r="HM324" s="181"/>
      <c r="HN324" s="181"/>
      <c r="HO324" s="181"/>
      <c r="HP324" s="181"/>
      <c r="HQ324" s="181"/>
      <c r="HR324" s="181"/>
      <c r="HS324" s="181"/>
      <c r="HT324" s="181"/>
      <c r="HU324" s="181"/>
      <c r="HV324" s="181"/>
      <c r="HW324" s="181"/>
      <c r="HX324" s="181"/>
      <c r="HY324" s="181"/>
      <c r="HZ324" s="181"/>
      <c r="IA324" s="181"/>
      <c r="IB324" s="181"/>
      <c r="IC324" s="181"/>
      <c r="ID324" s="181"/>
      <c r="IE324" s="181"/>
      <c r="IF324" s="181"/>
      <c r="IG324" s="181"/>
      <c r="IH324" s="181"/>
      <c r="II324" s="181"/>
      <c r="IJ324" s="181"/>
      <c r="IK324" s="181"/>
      <c r="IL324" s="181"/>
      <c r="IM324" s="181"/>
      <c r="IN324" s="181"/>
      <c r="IO324" s="181"/>
      <c r="IP324" s="181"/>
      <c r="IQ324" s="181"/>
      <c r="IR324" s="181"/>
      <c r="IS324" s="181"/>
      <c r="IT324" s="181"/>
      <c r="IU324" s="181"/>
      <c r="IV324" s="181"/>
      <c r="IW324" s="181"/>
      <c r="IX324" s="181"/>
      <c r="IY324" s="181"/>
      <c r="IZ324" s="181"/>
      <c r="JA324" s="181"/>
      <c r="JB324" s="181"/>
      <c r="JC324" s="181"/>
      <c r="JD324" s="181"/>
      <c r="JE324" s="181"/>
      <c r="JF324" s="181"/>
      <c r="JG324" s="181"/>
      <c r="JH324" s="181"/>
      <c r="JI324" s="181"/>
      <c r="JJ324" s="181"/>
      <c r="JK324" s="181"/>
      <c r="JL324" s="181"/>
      <c r="JM324" s="181"/>
      <c r="JN324" s="181"/>
      <c r="JO324" s="181"/>
      <c r="JP324" s="181"/>
      <c r="JQ324" s="181"/>
      <c r="JR324" s="181"/>
      <c r="JS324" s="181"/>
      <c r="JT324" s="181"/>
      <c r="JU324" s="181"/>
      <c r="JV324" s="181"/>
      <c r="JW324" s="181"/>
      <c r="JX324" s="181"/>
      <c r="JY324" s="181"/>
      <c r="JZ324" s="181"/>
      <c r="KA324" s="181"/>
      <c r="KB324" s="181"/>
      <c r="KC324" s="181"/>
      <c r="KD324" s="181"/>
      <c r="KE324" s="181"/>
      <c r="KF324" s="181"/>
      <c r="KG324" s="181"/>
      <c r="KH324" s="181"/>
      <c r="KI324" s="181"/>
      <c r="KJ324" s="181"/>
      <c r="KK324" s="181"/>
      <c r="KL324" s="181"/>
      <c r="KM324" s="181"/>
      <c r="KN324" s="181"/>
      <c r="KO324" s="181"/>
      <c r="KP324" s="181"/>
      <c r="KQ324" s="181"/>
      <c r="KR324" s="181"/>
      <c r="KS324" s="181"/>
      <c r="KT324" s="181"/>
      <c r="KU324" s="181"/>
      <c r="KV324" s="181"/>
      <c r="KW324" s="181"/>
      <c r="KX324" s="181"/>
      <c r="KY324" s="181"/>
      <c r="KZ324" s="181"/>
      <c r="LA324" s="181"/>
      <c r="LB324" s="181"/>
      <c r="LC324" s="181"/>
      <c r="LD324" s="181"/>
      <c r="LE324" s="181"/>
      <c r="LF324" s="181"/>
      <c r="LG324" s="181"/>
      <c r="LH324" s="181"/>
      <c r="LI324" s="181"/>
      <c r="LJ324" s="181"/>
      <c r="LK324" s="181"/>
      <c r="LL324" s="181"/>
      <c r="LM324" s="181"/>
      <c r="LN324" s="181"/>
      <c r="LO324" s="181"/>
      <c r="LP324" s="181"/>
      <c r="LQ324" s="181"/>
      <c r="LR324" s="181"/>
      <c r="LS324" s="181"/>
      <c r="LT324" s="181"/>
      <c r="LU324" s="181"/>
      <c r="LV324" s="181"/>
      <c r="LW324" s="181"/>
      <c r="LX324" s="181"/>
      <c r="LY324" s="181"/>
      <c r="LZ324" s="181"/>
      <c r="MA324" s="181"/>
      <c r="MB324" s="181"/>
      <c r="MC324" s="181"/>
      <c r="MD324" s="181"/>
      <c r="ME324" s="181"/>
      <c r="MF324" s="181"/>
      <c r="MG324" s="181"/>
      <c r="MH324" s="181"/>
      <c r="MI324" s="181"/>
      <c r="MJ324" s="181"/>
      <c r="MK324" s="181"/>
      <c r="ML324" s="181"/>
      <c r="MM324" s="181"/>
      <c r="MN324" s="181"/>
      <c r="MO324" s="181"/>
      <c r="MP324" s="181"/>
      <c r="MQ324" s="181"/>
      <c r="MR324" s="181"/>
      <c r="MS324" s="181"/>
      <c r="MT324" s="181"/>
      <c r="MU324" s="181"/>
      <c r="MV324" s="181"/>
      <c r="MW324" s="181"/>
      <c r="MX324" s="181"/>
      <c r="MY324" s="181"/>
      <c r="MZ324" s="181"/>
      <c r="NA324" s="181"/>
      <c r="NB324" s="181"/>
      <c r="NC324" s="181"/>
      <c r="ND324" s="181"/>
      <c r="NE324" s="181"/>
      <c r="NF324" s="181"/>
      <c r="NG324" s="181"/>
      <c r="NH324" s="181"/>
      <c r="NI324" s="181"/>
      <c r="NJ324" s="181"/>
      <c r="NK324" s="181"/>
      <c r="NL324" s="181"/>
      <c r="NM324" s="181"/>
      <c r="NN324" s="181"/>
      <c r="NO324" s="181"/>
      <c r="NP324" s="181"/>
      <c r="NQ324" s="181"/>
      <c r="NR324" s="181"/>
      <c r="NS324" s="181"/>
      <c r="NT324" s="181"/>
      <c r="NU324" s="181"/>
      <c r="NV324" s="181"/>
      <c r="NW324" s="181"/>
      <c r="NX324" s="181"/>
      <c r="NY324" s="181"/>
      <c r="NZ324" s="181"/>
      <c r="OA324" s="181"/>
      <c r="OB324" s="181"/>
      <c r="OC324" s="181"/>
      <c r="OD324" s="181"/>
      <c r="OE324" s="181"/>
      <c r="OF324" s="181"/>
      <c r="OG324" s="181"/>
      <c r="OH324" s="181"/>
      <c r="OI324" s="181"/>
      <c r="OJ324" s="181"/>
      <c r="OK324" s="181"/>
      <c r="OL324" s="181"/>
      <c r="OM324" s="181"/>
      <c r="ON324" s="181"/>
      <c r="OO324" s="181"/>
      <c r="OP324" s="181"/>
      <c r="OQ324" s="181"/>
      <c r="OR324" s="181"/>
      <c r="OS324" s="181"/>
      <c r="OT324" s="181"/>
      <c r="OU324" s="181"/>
      <c r="OV324" s="181"/>
      <c r="OW324" s="181"/>
      <c r="OX324" s="181"/>
      <c r="OY324" s="181"/>
      <c r="OZ324" s="181"/>
      <c r="PA324" s="181"/>
      <c r="PB324" s="181"/>
      <c r="PC324" s="181"/>
      <c r="PD324" s="181"/>
      <c r="PE324" s="181"/>
      <c r="PF324" s="181"/>
      <c r="PG324" s="181"/>
      <c r="PH324" s="181"/>
      <c r="PI324" s="181"/>
      <c r="PJ324" s="181"/>
      <c r="PK324" s="181"/>
      <c r="PL324" s="181"/>
      <c r="PM324" s="181"/>
      <c r="PN324" s="181"/>
      <c r="PO324" s="181"/>
      <c r="PP324" s="181"/>
      <c r="PQ324" s="181"/>
      <c r="PR324" s="181"/>
      <c r="PS324" s="181"/>
      <c r="PT324" s="181"/>
      <c r="PU324" s="181"/>
      <c r="PV324" s="181"/>
      <c r="PW324" s="181"/>
      <c r="PX324" s="181"/>
      <c r="PY324" s="181"/>
      <c r="PZ324" s="181"/>
      <c r="QA324" s="181"/>
      <c r="QB324" s="181"/>
      <c r="QC324" s="181"/>
      <c r="QD324" s="181"/>
      <c r="QE324" s="181"/>
      <c r="QF324" s="181"/>
      <c r="QG324" s="181"/>
      <c r="QH324" s="181"/>
      <c r="QI324" s="181"/>
      <c r="QJ324" s="181"/>
      <c r="QK324" s="181"/>
      <c r="QL324" s="181"/>
      <c r="QM324" s="181"/>
      <c r="QN324" s="181"/>
      <c r="QO324" s="181"/>
      <c r="QP324" s="181"/>
      <c r="QQ324" s="181"/>
      <c r="QR324" s="181"/>
      <c r="QS324" s="181"/>
      <c r="QT324" s="181"/>
      <c r="QU324" s="181"/>
      <c r="QV324" s="181"/>
      <c r="QW324" s="181"/>
      <c r="QX324" s="181"/>
      <c r="QY324" s="181"/>
      <c r="QZ324" s="181"/>
      <c r="RA324" s="181"/>
      <c r="RB324" s="181"/>
      <c r="RC324" s="181"/>
      <c r="RD324" s="181"/>
      <c r="RE324" s="181"/>
      <c r="RF324" s="181"/>
      <c r="RG324" s="181"/>
      <c r="RH324" s="181"/>
      <c r="RI324" s="181"/>
      <c r="RJ324" s="181"/>
      <c r="RK324" s="181"/>
      <c r="RL324" s="181"/>
      <c r="RM324" s="181"/>
      <c r="RN324" s="181"/>
      <c r="RO324" s="181"/>
      <c r="RP324" s="181"/>
      <c r="RQ324" s="181"/>
      <c r="RR324" s="181"/>
      <c r="RS324" s="181"/>
      <c r="RT324" s="181"/>
      <c r="RU324" s="181"/>
      <c r="RV324" s="181"/>
      <c r="RW324" s="181"/>
      <c r="RX324" s="181"/>
      <c r="RY324" s="181"/>
      <c r="RZ324" s="181"/>
      <c r="SA324" s="181"/>
      <c r="SB324" s="181"/>
      <c r="SC324" s="181"/>
      <c r="SD324" s="181"/>
      <c r="SE324" s="181"/>
      <c r="SF324" s="181"/>
      <c r="SG324" s="181"/>
      <c r="SH324" s="181"/>
      <c r="SI324" s="181"/>
      <c r="SJ324" s="181"/>
      <c r="SK324" s="181"/>
      <c r="SL324" s="181"/>
      <c r="SM324" s="181"/>
      <c r="SN324" s="181"/>
      <c r="SO324" s="181"/>
      <c r="SP324" s="181"/>
      <c r="SQ324" s="181"/>
      <c r="SR324" s="181"/>
      <c r="SS324" s="181"/>
      <c r="ST324" s="181"/>
      <c r="SU324" s="181"/>
      <c r="SV324" s="181"/>
      <c r="SW324" s="181"/>
      <c r="SX324" s="181"/>
      <c r="SY324" s="181"/>
      <c r="SZ324" s="181"/>
      <c r="TA324" s="181"/>
      <c r="TB324" s="181"/>
      <c r="TC324" s="181"/>
      <c r="TD324" s="181"/>
      <c r="TE324" s="181"/>
      <c r="TF324" s="181"/>
      <c r="TG324" s="181"/>
      <c r="TH324" s="181"/>
      <c r="TI324" s="181"/>
      <c r="TJ324" s="181"/>
      <c r="TK324" s="181"/>
      <c r="TL324" s="181"/>
      <c r="TM324" s="181"/>
      <c r="TN324" s="181"/>
      <c r="TO324" s="181"/>
      <c r="TP324" s="181"/>
      <c r="TQ324" s="181"/>
      <c r="TR324" s="181"/>
      <c r="TS324" s="181"/>
      <c r="TT324" s="181"/>
      <c r="TU324" s="181"/>
      <c r="TV324" s="181"/>
      <c r="TW324" s="181"/>
      <c r="TX324" s="181"/>
      <c r="TY324" s="181"/>
      <c r="TZ324" s="181"/>
      <c r="UA324" s="181"/>
      <c r="UB324" s="181"/>
      <c r="UC324" s="181"/>
      <c r="UD324" s="181"/>
      <c r="UE324" s="181"/>
      <c r="UF324" s="181"/>
      <c r="UG324" s="181"/>
      <c r="UH324" s="181"/>
      <c r="UI324" s="181"/>
      <c r="UJ324" s="181"/>
      <c r="UK324" s="181"/>
      <c r="UL324" s="181"/>
      <c r="UM324" s="181"/>
      <c r="UN324" s="181"/>
      <c r="UO324" s="181"/>
      <c r="UP324" s="181"/>
      <c r="UQ324" s="181"/>
      <c r="UR324" s="181"/>
      <c r="US324" s="181"/>
      <c r="UT324" s="181"/>
      <c r="UU324" s="181"/>
      <c r="UV324" s="181"/>
      <c r="UW324" s="181"/>
      <c r="UX324" s="181"/>
      <c r="UY324" s="181"/>
      <c r="UZ324" s="181"/>
      <c r="VA324" s="181"/>
      <c r="VB324" s="181"/>
      <c r="VC324" s="181"/>
      <c r="VD324" s="181"/>
      <c r="VE324" s="181"/>
      <c r="VF324" s="181"/>
      <c r="VG324" s="181"/>
      <c r="VH324" s="181"/>
      <c r="VI324" s="181"/>
      <c r="VJ324" s="181"/>
      <c r="VK324" s="181"/>
      <c r="VL324" s="181"/>
      <c r="VM324" s="181"/>
      <c r="VN324" s="181"/>
      <c r="VO324" s="181"/>
      <c r="VP324" s="181"/>
      <c r="VQ324" s="181"/>
      <c r="VR324" s="181"/>
      <c r="VS324" s="181"/>
      <c r="VT324" s="181"/>
      <c r="VU324" s="181"/>
      <c r="VV324" s="181"/>
      <c r="VW324" s="181"/>
      <c r="VX324" s="181"/>
      <c r="VY324" s="181"/>
      <c r="VZ324" s="181"/>
      <c r="WA324" s="181"/>
      <c r="WB324" s="181"/>
      <c r="WC324" s="181"/>
      <c r="WD324" s="181"/>
      <c r="WE324" s="181"/>
      <c r="WF324" s="181"/>
      <c r="WG324" s="181"/>
      <c r="WH324" s="181"/>
      <c r="WI324" s="181"/>
      <c r="WJ324" s="181"/>
      <c r="WK324" s="181"/>
      <c r="WL324" s="181"/>
      <c r="WM324" s="181"/>
      <c r="WN324" s="181"/>
      <c r="WO324" s="181"/>
      <c r="WP324" s="181"/>
      <c r="WQ324" s="181"/>
      <c r="WR324" s="181"/>
      <c r="WS324" s="181"/>
      <c r="WT324" s="181"/>
      <c r="WU324" s="181"/>
      <c r="WV324" s="181"/>
      <c r="WW324" s="181"/>
      <c r="WX324" s="181"/>
      <c r="WY324" s="181"/>
      <c r="WZ324" s="181"/>
    </row>
    <row r="325" spans="1:624" s="145" customFormat="1" ht="31.5" x14ac:dyDescent="0.45">
      <c r="A325" s="124"/>
      <c r="B325" s="124"/>
      <c r="C325" s="124"/>
      <c r="D325" s="124"/>
      <c r="E325" s="124"/>
      <c r="F325" s="124"/>
      <c r="G325" s="124"/>
      <c r="H325" s="141"/>
      <c r="I325" s="124"/>
      <c r="J325" s="124"/>
      <c r="K325" s="142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42"/>
      <c r="Y325" s="143"/>
      <c r="Z325" s="188"/>
    </row>
    <row r="326" spans="1:624" s="74" customFormat="1" ht="20.25" customHeight="1" x14ac:dyDescent="0.25">
      <c r="A326" s="85"/>
      <c r="B326" s="85"/>
      <c r="C326" s="85"/>
      <c r="D326" s="86"/>
      <c r="E326" s="42"/>
      <c r="F326" s="42"/>
      <c r="G326" s="42"/>
      <c r="H326" s="42"/>
      <c r="I326" s="42"/>
      <c r="J326" s="42"/>
      <c r="K326" s="146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146"/>
      <c r="Y326" s="42"/>
      <c r="Z326" s="188"/>
    </row>
    <row r="327" spans="1:624" s="74" customFormat="1" ht="27.75" customHeight="1" x14ac:dyDescent="0.25">
      <c r="A327" s="85"/>
      <c r="B327" s="85"/>
      <c r="C327" s="85"/>
      <c r="D327" s="86"/>
      <c r="E327" s="42"/>
      <c r="F327" s="42"/>
      <c r="G327" s="42"/>
      <c r="H327" s="42"/>
      <c r="I327" s="42"/>
      <c r="J327" s="42"/>
      <c r="K327" s="146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146"/>
      <c r="Y327" s="42"/>
      <c r="Z327" s="188"/>
    </row>
    <row r="328" spans="1:624" s="74" customFormat="1" x14ac:dyDescent="0.25">
      <c r="A328" s="85"/>
      <c r="B328" s="85"/>
      <c r="C328" s="85"/>
      <c r="D328" s="86"/>
      <c r="E328" s="42"/>
      <c r="F328" s="42"/>
      <c r="G328" s="42"/>
      <c r="H328" s="42"/>
      <c r="I328" s="42"/>
      <c r="J328" s="42"/>
      <c r="K328" s="146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146"/>
      <c r="Y328" s="42"/>
      <c r="Z328" s="168"/>
    </row>
    <row r="329" spans="1:624" s="74" customFormat="1" x14ac:dyDescent="0.25">
      <c r="A329" s="85"/>
      <c r="B329" s="85"/>
      <c r="C329" s="85"/>
      <c r="D329" s="86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1"/>
      <c r="Z329" s="169"/>
    </row>
    <row r="330" spans="1:624" s="74" customFormat="1" x14ac:dyDescent="0.25">
      <c r="A330" s="85"/>
      <c r="B330" s="85"/>
      <c r="C330" s="85"/>
      <c r="D330" s="86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1"/>
      <c r="Z330" s="169"/>
    </row>
    <row r="331" spans="1:624" s="74" customFormat="1" x14ac:dyDescent="0.25">
      <c r="A331" s="85"/>
      <c r="B331" s="85"/>
      <c r="C331" s="85"/>
      <c r="D331" s="86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83"/>
      <c r="Z331" s="168"/>
    </row>
    <row r="332" spans="1:624" s="74" customFormat="1" x14ac:dyDescent="0.25">
      <c r="A332" s="85"/>
      <c r="B332" s="85"/>
      <c r="C332" s="85"/>
      <c r="D332" s="86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83"/>
      <c r="Z332" s="168"/>
    </row>
    <row r="333" spans="1:624" s="74" customFormat="1" x14ac:dyDescent="0.25">
      <c r="A333" s="85"/>
      <c r="B333" s="85"/>
      <c r="C333" s="85"/>
      <c r="D333" s="86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83"/>
      <c r="Z333" s="168"/>
    </row>
    <row r="334" spans="1:624" s="74" customFormat="1" x14ac:dyDescent="0.25">
      <c r="A334" s="85"/>
      <c r="B334" s="85"/>
      <c r="C334" s="85"/>
      <c r="D334" s="86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83"/>
      <c r="Z334" s="168"/>
    </row>
    <row r="335" spans="1:624" s="74" customFormat="1" x14ac:dyDescent="0.25">
      <c r="A335" s="85"/>
      <c r="B335" s="85"/>
      <c r="C335" s="85"/>
      <c r="D335" s="86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83"/>
      <c r="Z335" s="168"/>
    </row>
    <row r="336" spans="1:624" s="74" customFormat="1" x14ac:dyDescent="0.25">
      <c r="A336" s="85"/>
      <c r="B336" s="85"/>
      <c r="C336" s="85"/>
      <c r="D336" s="86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83"/>
      <c r="Z336" s="168"/>
    </row>
    <row r="337" spans="1:26" s="74" customFormat="1" x14ac:dyDescent="0.25">
      <c r="A337" s="85"/>
      <c r="B337" s="85"/>
      <c r="C337" s="85"/>
      <c r="D337" s="86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83"/>
      <c r="Z337" s="168"/>
    </row>
    <row r="338" spans="1:26" s="74" customFormat="1" x14ac:dyDescent="0.25">
      <c r="A338" s="85"/>
      <c r="B338" s="85"/>
      <c r="C338" s="85"/>
      <c r="D338" s="86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83"/>
      <c r="Z338" s="168"/>
    </row>
    <row r="339" spans="1:26" s="74" customFormat="1" x14ac:dyDescent="0.25">
      <c r="A339" s="85"/>
      <c r="B339" s="85"/>
      <c r="C339" s="85"/>
      <c r="D339" s="86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83"/>
      <c r="Z339" s="168"/>
    </row>
    <row r="340" spans="1:26" s="74" customFormat="1" x14ac:dyDescent="0.25">
      <c r="A340" s="85"/>
      <c r="B340" s="85"/>
      <c r="C340" s="85"/>
      <c r="D340" s="86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83"/>
      <c r="Z340" s="168"/>
    </row>
    <row r="341" spans="1:26" s="74" customFormat="1" x14ac:dyDescent="0.25">
      <c r="A341" s="85"/>
      <c r="B341" s="85"/>
      <c r="C341" s="85"/>
      <c r="D341" s="86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83"/>
      <c r="Z341" s="168"/>
    </row>
    <row r="342" spans="1:26" s="74" customFormat="1" x14ac:dyDescent="0.25">
      <c r="A342" s="85"/>
      <c r="B342" s="85"/>
      <c r="C342" s="85"/>
      <c r="D342" s="86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83"/>
      <c r="Z342" s="168"/>
    </row>
    <row r="343" spans="1:26" s="74" customFormat="1" x14ac:dyDescent="0.25">
      <c r="A343" s="85"/>
      <c r="B343" s="85"/>
      <c r="C343" s="85"/>
      <c r="D343" s="86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83"/>
      <c r="Z343" s="168"/>
    </row>
    <row r="344" spans="1:26" s="74" customFormat="1" x14ac:dyDescent="0.25">
      <c r="A344" s="85"/>
      <c r="B344" s="85"/>
      <c r="C344" s="85"/>
      <c r="D344" s="86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83"/>
      <c r="Z344" s="168"/>
    </row>
    <row r="345" spans="1:26" s="74" customFormat="1" x14ac:dyDescent="0.25">
      <c r="A345" s="85"/>
      <c r="B345" s="85"/>
      <c r="C345" s="85"/>
      <c r="D345" s="86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83"/>
      <c r="Z345" s="168"/>
    </row>
    <row r="346" spans="1:26" s="74" customFormat="1" x14ac:dyDescent="0.25">
      <c r="A346" s="85"/>
      <c r="B346" s="85"/>
      <c r="C346" s="85"/>
      <c r="D346" s="86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83"/>
      <c r="Z346" s="168"/>
    </row>
    <row r="347" spans="1:26" s="74" customFormat="1" x14ac:dyDescent="0.25">
      <c r="A347" s="85"/>
      <c r="B347" s="85"/>
      <c r="C347" s="85"/>
      <c r="D347" s="86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83"/>
      <c r="Z347" s="168"/>
    </row>
    <row r="348" spans="1:26" s="74" customFormat="1" x14ac:dyDescent="0.25">
      <c r="A348" s="85"/>
      <c r="B348" s="85"/>
      <c r="C348" s="85"/>
      <c r="D348" s="86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83"/>
      <c r="Z348" s="168"/>
    </row>
    <row r="349" spans="1:26" s="74" customFormat="1" x14ac:dyDescent="0.25">
      <c r="A349" s="85"/>
      <c r="B349" s="85"/>
      <c r="C349" s="85"/>
      <c r="D349" s="86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83"/>
      <c r="Z349" s="168"/>
    </row>
    <row r="350" spans="1:26" s="74" customFormat="1" x14ac:dyDescent="0.25">
      <c r="A350" s="85"/>
      <c r="B350" s="85"/>
      <c r="C350" s="85"/>
      <c r="D350" s="86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83"/>
      <c r="Z350" s="168"/>
    </row>
    <row r="351" spans="1:26" s="74" customFormat="1" x14ac:dyDescent="0.25">
      <c r="A351" s="85"/>
      <c r="B351" s="85"/>
      <c r="C351" s="85"/>
      <c r="D351" s="86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83"/>
      <c r="Z351" s="168"/>
    </row>
    <row r="352" spans="1:26" s="74" customFormat="1" x14ac:dyDescent="0.25">
      <c r="A352" s="85"/>
      <c r="B352" s="85"/>
      <c r="C352" s="85"/>
      <c r="D352" s="86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83"/>
      <c r="Z352" s="168"/>
    </row>
    <row r="353" spans="1:26" s="74" customFormat="1" x14ac:dyDescent="0.25">
      <c r="A353" s="85"/>
      <c r="B353" s="85"/>
      <c r="C353" s="85"/>
      <c r="D353" s="86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83"/>
      <c r="Z353" s="168"/>
    </row>
    <row r="354" spans="1:26" s="74" customFormat="1" x14ac:dyDescent="0.25">
      <c r="A354" s="85"/>
      <c r="B354" s="85"/>
      <c r="C354" s="85"/>
      <c r="D354" s="86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83"/>
      <c r="Z354" s="168"/>
    </row>
    <row r="355" spans="1:26" s="74" customFormat="1" x14ac:dyDescent="0.25">
      <c r="A355" s="85"/>
      <c r="B355" s="85"/>
      <c r="C355" s="85"/>
      <c r="D355" s="86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83"/>
      <c r="Z355" s="168"/>
    </row>
    <row r="356" spans="1:26" s="74" customFormat="1" x14ac:dyDescent="0.25">
      <c r="A356" s="85"/>
      <c r="B356" s="85"/>
      <c r="C356" s="85"/>
      <c r="D356" s="86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83"/>
      <c r="Z356" s="168"/>
    </row>
    <row r="357" spans="1:26" s="74" customFormat="1" x14ac:dyDescent="0.25">
      <c r="A357" s="85"/>
      <c r="B357" s="85"/>
      <c r="C357" s="85"/>
      <c r="D357" s="86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83"/>
      <c r="Z357" s="168"/>
    </row>
    <row r="358" spans="1:26" s="74" customFormat="1" x14ac:dyDescent="0.25">
      <c r="A358" s="85"/>
      <c r="B358" s="85"/>
      <c r="C358" s="85"/>
      <c r="D358" s="86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83"/>
      <c r="Z358" s="168"/>
    </row>
    <row r="359" spans="1:26" s="74" customFormat="1" x14ac:dyDescent="0.25">
      <c r="A359" s="85"/>
      <c r="B359" s="85"/>
      <c r="C359" s="85"/>
      <c r="D359" s="86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83"/>
      <c r="Z359" s="168"/>
    </row>
    <row r="360" spans="1:26" s="74" customFormat="1" x14ac:dyDescent="0.25">
      <c r="A360" s="85"/>
      <c r="B360" s="85"/>
      <c r="C360" s="85"/>
      <c r="D360" s="86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83"/>
      <c r="Z360" s="168"/>
    </row>
    <row r="361" spans="1:26" s="74" customFormat="1" x14ac:dyDescent="0.25">
      <c r="A361" s="85"/>
      <c r="B361" s="85"/>
      <c r="C361" s="85"/>
      <c r="D361" s="86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83"/>
      <c r="Z361" s="168"/>
    </row>
    <row r="362" spans="1:26" s="74" customFormat="1" x14ac:dyDescent="0.25">
      <c r="A362" s="85"/>
      <c r="B362" s="85"/>
      <c r="C362" s="85"/>
      <c r="D362" s="86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83"/>
      <c r="Z362" s="168"/>
    </row>
    <row r="363" spans="1:26" s="74" customFormat="1" x14ac:dyDescent="0.25">
      <c r="A363" s="85"/>
      <c r="B363" s="85"/>
      <c r="C363" s="85"/>
      <c r="D363" s="86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83"/>
      <c r="Z363" s="168"/>
    </row>
    <row r="364" spans="1:26" s="74" customFormat="1" x14ac:dyDescent="0.25">
      <c r="A364" s="85"/>
      <c r="B364" s="85"/>
      <c r="C364" s="85"/>
      <c r="D364" s="86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83"/>
      <c r="Z364" s="168"/>
    </row>
    <row r="365" spans="1:26" s="74" customFormat="1" x14ac:dyDescent="0.25">
      <c r="A365" s="85"/>
      <c r="B365" s="85"/>
      <c r="C365" s="85"/>
      <c r="D365" s="86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83"/>
      <c r="Z365" s="168"/>
    </row>
    <row r="366" spans="1:26" s="74" customFormat="1" x14ac:dyDescent="0.25">
      <c r="A366" s="85"/>
      <c r="B366" s="85"/>
      <c r="C366" s="85"/>
      <c r="D366" s="86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83"/>
      <c r="Z366" s="168"/>
    </row>
    <row r="367" spans="1:26" s="74" customFormat="1" x14ac:dyDescent="0.25">
      <c r="A367" s="85"/>
      <c r="B367" s="85"/>
      <c r="C367" s="85"/>
      <c r="D367" s="86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83"/>
      <c r="Z367" s="168"/>
    </row>
    <row r="368" spans="1:26" s="74" customFormat="1" x14ac:dyDescent="0.25">
      <c r="A368" s="85"/>
      <c r="B368" s="85"/>
      <c r="C368" s="85"/>
      <c r="D368" s="86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83"/>
      <c r="Z368" s="168"/>
    </row>
    <row r="369" spans="1:26" s="74" customFormat="1" x14ac:dyDescent="0.25">
      <c r="A369" s="85"/>
      <c r="B369" s="85"/>
      <c r="C369" s="85"/>
      <c r="D369" s="86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83"/>
      <c r="Z369" s="168"/>
    </row>
    <row r="370" spans="1:26" s="74" customFormat="1" x14ac:dyDescent="0.25">
      <c r="A370" s="85"/>
      <c r="B370" s="85"/>
      <c r="C370" s="85"/>
      <c r="D370" s="86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83"/>
      <c r="Z370" s="168"/>
    </row>
    <row r="371" spans="1:26" s="74" customFormat="1" x14ac:dyDescent="0.25">
      <c r="A371" s="85"/>
      <c r="B371" s="85"/>
      <c r="C371" s="85"/>
      <c r="D371" s="86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83"/>
      <c r="Z371" s="168"/>
    </row>
    <row r="372" spans="1:26" s="74" customFormat="1" x14ac:dyDescent="0.25">
      <c r="A372" s="85"/>
      <c r="B372" s="85"/>
      <c r="C372" s="85"/>
      <c r="D372" s="86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83"/>
      <c r="Z372" s="168"/>
    </row>
    <row r="373" spans="1:26" s="74" customFormat="1" x14ac:dyDescent="0.25">
      <c r="A373" s="85"/>
      <c r="B373" s="85"/>
      <c r="C373" s="85"/>
      <c r="D373" s="86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83"/>
      <c r="Z373" s="168"/>
    </row>
    <row r="374" spans="1:26" s="74" customFormat="1" x14ac:dyDescent="0.25">
      <c r="A374" s="85"/>
      <c r="B374" s="85"/>
      <c r="C374" s="85"/>
      <c r="D374" s="86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83"/>
      <c r="Z374" s="168"/>
    </row>
    <row r="375" spans="1:26" s="74" customFormat="1" x14ac:dyDescent="0.25">
      <c r="A375" s="85"/>
      <c r="B375" s="85"/>
      <c r="C375" s="85"/>
      <c r="D375" s="86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83"/>
      <c r="Z375" s="168"/>
    </row>
    <row r="376" spans="1:26" s="74" customFormat="1" x14ac:dyDescent="0.25">
      <c r="A376" s="85"/>
      <c r="B376" s="85"/>
      <c r="C376" s="85"/>
      <c r="D376" s="86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83"/>
      <c r="Z376" s="168"/>
    </row>
    <row r="377" spans="1:26" s="74" customFormat="1" x14ac:dyDescent="0.25">
      <c r="A377" s="85"/>
      <c r="B377" s="85"/>
      <c r="C377" s="85"/>
      <c r="D377" s="86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83"/>
      <c r="Z377" s="168"/>
    </row>
    <row r="378" spans="1:26" s="74" customFormat="1" x14ac:dyDescent="0.25">
      <c r="A378" s="85"/>
      <c r="B378" s="85"/>
      <c r="C378" s="85"/>
      <c r="D378" s="86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83"/>
      <c r="Z378" s="168"/>
    </row>
    <row r="379" spans="1:26" s="74" customFormat="1" x14ac:dyDescent="0.25">
      <c r="A379" s="85"/>
      <c r="B379" s="85"/>
      <c r="C379" s="85"/>
      <c r="D379" s="86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83"/>
      <c r="Z379" s="168"/>
    </row>
    <row r="380" spans="1:26" s="74" customFormat="1" x14ac:dyDescent="0.25">
      <c r="A380" s="85"/>
      <c r="B380" s="85"/>
      <c r="C380" s="85"/>
      <c r="D380" s="86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83"/>
      <c r="Z380" s="168"/>
    </row>
    <row r="381" spans="1:26" s="74" customFormat="1" x14ac:dyDescent="0.25">
      <c r="A381" s="85"/>
      <c r="B381" s="85"/>
      <c r="C381" s="85"/>
      <c r="D381" s="86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83"/>
      <c r="Z381" s="168"/>
    </row>
    <row r="382" spans="1:26" s="74" customFormat="1" x14ac:dyDescent="0.25">
      <c r="A382" s="85"/>
      <c r="B382" s="85"/>
      <c r="C382" s="85"/>
      <c r="D382" s="86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83"/>
      <c r="Z382" s="168"/>
    </row>
    <row r="383" spans="1:26" s="74" customFormat="1" x14ac:dyDescent="0.25">
      <c r="A383" s="85"/>
      <c r="B383" s="85"/>
      <c r="C383" s="85"/>
      <c r="D383" s="86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83"/>
      <c r="Z383" s="168"/>
    </row>
    <row r="384" spans="1:26" s="74" customFormat="1" x14ac:dyDescent="0.25">
      <c r="A384" s="85"/>
      <c r="B384" s="85"/>
      <c r="C384" s="85"/>
      <c r="D384" s="86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83"/>
      <c r="Z384" s="168"/>
    </row>
    <row r="385" spans="1:26" s="74" customFormat="1" x14ac:dyDescent="0.25">
      <c r="A385" s="85"/>
      <c r="B385" s="85"/>
      <c r="C385" s="85"/>
      <c r="D385" s="86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83"/>
      <c r="Z385" s="168"/>
    </row>
    <row r="386" spans="1:26" s="74" customFormat="1" x14ac:dyDescent="0.25">
      <c r="A386" s="85"/>
      <c r="B386" s="85"/>
      <c r="C386" s="85"/>
      <c r="D386" s="86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83"/>
      <c r="Z386" s="168"/>
    </row>
    <row r="387" spans="1:26" s="74" customFormat="1" x14ac:dyDescent="0.25">
      <c r="A387" s="85"/>
      <c r="B387" s="85"/>
      <c r="C387" s="85"/>
      <c r="D387" s="86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83"/>
      <c r="Z387" s="168"/>
    </row>
    <row r="388" spans="1:26" s="74" customFormat="1" x14ac:dyDescent="0.25">
      <c r="A388" s="85"/>
      <c r="B388" s="85"/>
      <c r="C388" s="85"/>
      <c r="D388" s="86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83"/>
      <c r="Z388" s="168"/>
    </row>
    <row r="389" spans="1:26" s="74" customFormat="1" x14ac:dyDescent="0.25">
      <c r="A389" s="85"/>
      <c r="B389" s="85"/>
      <c r="C389" s="85"/>
      <c r="D389" s="86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83"/>
      <c r="Z389" s="168"/>
    </row>
    <row r="390" spans="1:26" s="74" customFormat="1" x14ac:dyDescent="0.25">
      <c r="A390" s="85"/>
      <c r="B390" s="85"/>
      <c r="C390" s="85"/>
      <c r="D390" s="86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83"/>
      <c r="Z390" s="168"/>
    </row>
    <row r="391" spans="1:26" s="74" customFormat="1" x14ac:dyDescent="0.25">
      <c r="A391" s="85"/>
      <c r="B391" s="85"/>
      <c r="C391" s="85"/>
      <c r="D391" s="86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83"/>
      <c r="Z391" s="168"/>
    </row>
    <row r="392" spans="1:26" s="74" customFormat="1" x14ac:dyDescent="0.25">
      <c r="A392" s="85"/>
      <c r="B392" s="85"/>
      <c r="C392" s="85"/>
      <c r="D392" s="86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83"/>
      <c r="Z392" s="168"/>
    </row>
    <row r="393" spans="1:26" s="74" customFormat="1" x14ac:dyDescent="0.25">
      <c r="A393" s="85"/>
      <c r="B393" s="85"/>
      <c r="C393" s="85"/>
      <c r="D393" s="86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83"/>
      <c r="Z393" s="168"/>
    </row>
    <row r="394" spans="1:26" s="74" customFormat="1" x14ac:dyDescent="0.25">
      <c r="A394" s="85"/>
      <c r="B394" s="85"/>
      <c r="C394" s="85"/>
      <c r="D394" s="86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83"/>
      <c r="Z394" s="168"/>
    </row>
    <row r="395" spans="1:26" s="74" customFormat="1" x14ac:dyDescent="0.25">
      <c r="A395" s="85"/>
      <c r="B395" s="85"/>
      <c r="C395" s="85"/>
      <c r="D395" s="86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83"/>
      <c r="Z395" s="168"/>
    </row>
    <row r="396" spans="1:26" s="74" customFormat="1" x14ac:dyDescent="0.25">
      <c r="A396" s="85"/>
      <c r="B396" s="85"/>
      <c r="C396" s="85"/>
      <c r="D396" s="86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83"/>
      <c r="Z396" s="168"/>
    </row>
    <row r="397" spans="1:26" s="74" customFormat="1" x14ac:dyDescent="0.25">
      <c r="A397" s="85"/>
      <c r="B397" s="85"/>
      <c r="C397" s="85"/>
      <c r="D397" s="86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83"/>
      <c r="Z397" s="168"/>
    </row>
    <row r="398" spans="1:26" s="74" customFormat="1" x14ac:dyDescent="0.25">
      <c r="A398" s="85"/>
      <c r="B398" s="85"/>
      <c r="C398" s="85"/>
      <c r="D398" s="86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83"/>
      <c r="Z398" s="168"/>
    </row>
    <row r="399" spans="1:26" s="74" customFormat="1" x14ac:dyDescent="0.25">
      <c r="A399" s="85"/>
      <c r="B399" s="85"/>
      <c r="C399" s="85"/>
      <c r="D399" s="86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83"/>
      <c r="Z399" s="168"/>
    </row>
    <row r="400" spans="1:26" s="74" customFormat="1" x14ac:dyDescent="0.25">
      <c r="A400" s="85"/>
      <c r="B400" s="85"/>
      <c r="C400" s="85"/>
      <c r="D400" s="86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83"/>
      <c r="Z400" s="168"/>
    </row>
    <row r="401" spans="1:26" s="74" customFormat="1" x14ac:dyDescent="0.25">
      <c r="A401" s="85"/>
      <c r="B401" s="85"/>
      <c r="C401" s="85"/>
      <c r="D401" s="86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83"/>
      <c r="Z401" s="168"/>
    </row>
    <row r="402" spans="1:26" s="74" customFormat="1" x14ac:dyDescent="0.25">
      <c r="A402" s="85"/>
      <c r="B402" s="85"/>
      <c r="C402" s="85"/>
      <c r="D402" s="86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83"/>
      <c r="Z402" s="168"/>
    </row>
    <row r="403" spans="1:26" s="74" customFormat="1" x14ac:dyDescent="0.25">
      <c r="A403" s="85"/>
      <c r="B403" s="85"/>
      <c r="C403" s="85"/>
      <c r="D403" s="86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83"/>
      <c r="Z403" s="168"/>
    </row>
    <row r="404" spans="1:26" s="74" customFormat="1" x14ac:dyDescent="0.25">
      <c r="A404" s="85"/>
      <c r="B404" s="85"/>
      <c r="C404" s="85"/>
      <c r="D404" s="86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83"/>
      <c r="Z404" s="168"/>
    </row>
    <row r="405" spans="1:26" s="74" customFormat="1" x14ac:dyDescent="0.25">
      <c r="A405" s="85"/>
      <c r="B405" s="85"/>
      <c r="C405" s="85"/>
      <c r="D405" s="86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83"/>
      <c r="Z405" s="168"/>
    </row>
    <row r="406" spans="1:26" s="74" customFormat="1" x14ac:dyDescent="0.25">
      <c r="A406" s="85"/>
      <c r="B406" s="85"/>
      <c r="C406" s="85"/>
      <c r="D406" s="86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83"/>
      <c r="Z406" s="168"/>
    </row>
    <row r="407" spans="1:26" s="74" customFormat="1" x14ac:dyDescent="0.25">
      <c r="A407" s="85"/>
      <c r="B407" s="85"/>
      <c r="C407" s="85"/>
      <c r="D407" s="86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83"/>
      <c r="Z407" s="168"/>
    </row>
    <row r="408" spans="1:26" s="74" customFormat="1" x14ac:dyDescent="0.25">
      <c r="A408" s="85"/>
      <c r="B408" s="85"/>
      <c r="C408" s="85"/>
      <c r="D408" s="86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83"/>
      <c r="Z408" s="168"/>
    </row>
    <row r="409" spans="1:26" s="74" customFormat="1" x14ac:dyDescent="0.25">
      <c r="A409" s="85"/>
      <c r="B409" s="85"/>
      <c r="C409" s="85"/>
      <c r="D409" s="86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83"/>
      <c r="Z409" s="168"/>
    </row>
    <row r="410" spans="1:26" s="74" customFormat="1" x14ac:dyDescent="0.25">
      <c r="A410" s="85"/>
      <c r="B410" s="85"/>
      <c r="C410" s="85"/>
      <c r="D410" s="86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83"/>
      <c r="Z410" s="168"/>
    </row>
    <row r="411" spans="1:26" s="74" customFormat="1" x14ac:dyDescent="0.25">
      <c r="A411" s="85"/>
      <c r="B411" s="85"/>
      <c r="C411" s="85"/>
      <c r="D411" s="86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83"/>
      <c r="Z411" s="168"/>
    </row>
    <row r="412" spans="1:26" s="74" customFormat="1" x14ac:dyDescent="0.25">
      <c r="A412" s="85"/>
      <c r="B412" s="85"/>
      <c r="C412" s="85"/>
      <c r="D412" s="86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83"/>
      <c r="Z412" s="168"/>
    </row>
    <row r="413" spans="1:26" s="74" customFormat="1" x14ac:dyDescent="0.25">
      <c r="A413" s="85"/>
      <c r="B413" s="85"/>
      <c r="C413" s="85"/>
      <c r="D413" s="86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83"/>
      <c r="Z413" s="168"/>
    </row>
    <row r="414" spans="1:26" s="74" customFormat="1" x14ac:dyDescent="0.25">
      <c r="A414" s="85"/>
      <c r="B414" s="85"/>
      <c r="C414" s="85"/>
      <c r="D414" s="86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83"/>
      <c r="Z414" s="168"/>
    </row>
    <row r="415" spans="1:26" s="74" customFormat="1" x14ac:dyDescent="0.25">
      <c r="A415" s="85"/>
      <c r="B415" s="85"/>
      <c r="C415" s="85"/>
      <c r="D415" s="86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83"/>
      <c r="Z415" s="168"/>
    </row>
    <row r="416" spans="1:26" s="74" customFormat="1" x14ac:dyDescent="0.25">
      <c r="A416" s="85"/>
      <c r="B416" s="85"/>
      <c r="C416" s="85"/>
      <c r="D416" s="86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83"/>
      <c r="Z416" s="168"/>
    </row>
    <row r="417" spans="1:26" s="74" customFormat="1" x14ac:dyDescent="0.25">
      <c r="A417" s="85"/>
      <c r="B417" s="85"/>
      <c r="C417" s="85"/>
      <c r="D417" s="86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83"/>
      <c r="Z417" s="168"/>
    </row>
    <row r="418" spans="1:26" s="74" customFormat="1" x14ac:dyDescent="0.25">
      <c r="A418" s="85"/>
      <c r="B418" s="85"/>
      <c r="C418" s="85"/>
      <c r="D418" s="86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83"/>
      <c r="Z418" s="168"/>
    </row>
    <row r="419" spans="1:26" s="74" customFormat="1" x14ac:dyDescent="0.25">
      <c r="A419" s="85"/>
      <c r="B419" s="85"/>
      <c r="C419" s="85"/>
      <c r="D419" s="86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83"/>
      <c r="Z419" s="168"/>
    </row>
    <row r="420" spans="1:26" s="74" customFormat="1" x14ac:dyDescent="0.25">
      <c r="A420" s="85"/>
      <c r="B420" s="85"/>
      <c r="C420" s="85"/>
      <c r="D420" s="86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83"/>
      <c r="Z420" s="168"/>
    </row>
    <row r="421" spans="1:26" s="74" customFormat="1" x14ac:dyDescent="0.25">
      <c r="A421" s="85"/>
      <c r="B421" s="85"/>
      <c r="C421" s="85"/>
      <c r="D421" s="86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83"/>
      <c r="Z421" s="168"/>
    </row>
    <row r="422" spans="1:26" s="74" customFormat="1" x14ac:dyDescent="0.25">
      <c r="A422" s="85"/>
      <c r="B422" s="85"/>
      <c r="C422" s="85"/>
      <c r="D422" s="86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83"/>
      <c r="Z422" s="168"/>
    </row>
    <row r="423" spans="1:26" s="74" customFormat="1" x14ac:dyDescent="0.25">
      <c r="A423" s="85"/>
      <c r="B423" s="85"/>
      <c r="C423" s="85"/>
      <c r="D423" s="86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83"/>
      <c r="Z423" s="168"/>
    </row>
    <row r="424" spans="1:26" s="74" customFormat="1" x14ac:dyDescent="0.25">
      <c r="A424" s="85"/>
      <c r="B424" s="85"/>
      <c r="C424" s="85"/>
      <c r="D424" s="86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83"/>
      <c r="Z424" s="168"/>
    </row>
    <row r="425" spans="1:26" s="74" customFormat="1" x14ac:dyDescent="0.25">
      <c r="A425" s="85"/>
      <c r="B425" s="85"/>
      <c r="C425" s="85"/>
      <c r="D425" s="86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83"/>
      <c r="Z425" s="168"/>
    </row>
    <row r="426" spans="1:26" s="74" customFormat="1" x14ac:dyDescent="0.25">
      <c r="A426" s="85"/>
      <c r="B426" s="85"/>
      <c r="C426" s="85"/>
      <c r="D426" s="86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83"/>
      <c r="Z426" s="168"/>
    </row>
    <row r="427" spans="1:26" s="74" customFormat="1" x14ac:dyDescent="0.25">
      <c r="A427" s="85"/>
      <c r="B427" s="85"/>
      <c r="C427" s="85"/>
      <c r="D427" s="86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83"/>
      <c r="Z427" s="168"/>
    </row>
    <row r="428" spans="1:26" s="74" customFormat="1" x14ac:dyDescent="0.25">
      <c r="A428" s="85"/>
      <c r="B428" s="85"/>
      <c r="C428" s="85"/>
      <c r="D428" s="86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83"/>
      <c r="Z428" s="168"/>
    </row>
    <row r="429" spans="1:26" s="74" customFormat="1" x14ac:dyDescent="0.25">
      <c r="A429" s="85"/>
      <c r="B429" s="85"/>
      <c r="C429" s="85"/>
      <c r="D429" s="86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83"/>
      <c r="Z429" s="168"/>
    </row>
    <row r="430" spans="1:26" s="74" customFormat="1" x14ac:dyDescent="0.25">
      <c r="A430" s="85"/>
      <c r="B430" s="85"/>
      <c r="C430" s="85"/>
      <c r="D430" s="86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83"/>
      <c r="Z430" s="168"/>
    </row>
    <row r="431" spans="1:26" s="74" customFormat="1" x14ac:dyDescent="0.25">
      <c r="A431" s="85"/>
      <c r="B431" s="85"/>
      <c r="C431" s="85"/>
      <c r="D431" s="86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83"/>
      <c r="Z431" s="168"/>
    </row>
    <row r="432" spans="1:26" s="74" customFormat="1" x14ac:dyDescent="0.25">
      <c r="A432" s="85"/>
      <c r="B432" s="85"/>
      <c r="C432" s="85"/>
      <c r="D432" s="86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83"/>
      <c r="Z432" s="168"/>
    </row>
    <row r="433" spans="1:26" s="74" customFormat="1" x14ac:dyDescent="0.25">
      <c r="A433" s="85"/>
      <c r="B433" s="85"/>
      <c r="C433" s="85"/>
      <c r="D433" s="86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83"/>
      <c r="Z433" s="168"/>
    </row>
    <row r="434" spans="1:26" s="74" customFormat="1" x14ac:dyDescent="0.25">
      <c r="A434" s="85"/>
      <c r="B434" s="85"/>
      <c r="C434" s="85"/>
      <c r="D434" s="86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83"/>
      <c r="Z434" s="168"/>
    </row>
    <row r="435" spans="1:26" s="74" customFormat="1" x14ac:dyDescent="0.25">
      <c r="A435" s="85"/>
      <c r="B435" s="85"/>
      <c r="C435" s="85"/>
      <c r="D435" s="86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83"/>
      <c r="Z435" s="168"/>
    </row>
    <row r="436" spans="1:26" s="74" customFormat="1" x14ac:dyDescent="0.25">
      <c r="A436" s="85"/>
      <c r="B436" s="85"/>
      <c r="C436" s="85"/>
      <c r="D436" s="86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83"/>
      <c r="Z436" s="168"/>
    </row>
    <row r="437" spans="1:26" s="74" customFormat="1" x14ac:dyDescent="0.25">
      <c r="A437" s="85"/>
      <c r="B437" s="85"/>
      <c r="C437" s="85"/>
      <c r="D437" s="86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83"/>
      <c r="Z437" s="168"/>
    </row>
    <row r="438" spans="1:26" s="74" customFormat="1" x14ac:dyDescent="0.25">
      <c r="A438" s="85"/>
      <c r="B438" s="85"/>
      <c r="C438" s="85"/>
      <c r="D438" s="86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83"/>
      <c r="Z438" s="168"/>
    </row>
    <row r="439" spans="1:26" s="74" customFormat="1" x14ac:dyDescent="0.25">
      <c r="A439" s="85"/>
      <c r="B439" s="85"/>
      <c r="C439" s="85"/>
      <c r="D439" s="86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83"/>
      <c r="Z439" s="168"/>
    </row>
    <row r="440" spans="1:26" s="74" customFormat="1" x14ac:dyDescent="0.25">
      <c r="A440" s="85"/>
      <c r="B440" s="85"/>
      <c r="C440" s="85"/>
      <c r="D440" s="86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83"/>
      <c r="Z440" s="168"/>
    </row>
    <row r="441" spans="1:26" s="74" customFormat="1" x14ac:dyDescent="0.25">
      <c r="A441" s="85"/>
      <c r="B441" s="85"/>
      <c r="C441" s="85"/>
      <c r="D441" s="86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83"/>
      <c r="Z441" s="168"/>
    </row>
    <row r="442" spans="1:26" s="74" customFormat="1" x14ac:dyDescent="0.25">
      <c r="A442" s="85"/>
      <c r="B442" s="85"/>
      <c r="C442" s="85"/>
      <c r="D442" s="86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83"/>
      <c r="Z442" s="168"/>
    </row>
    <row r="443" spans="1:26" s="74" customFormat="1" x14ac:dyDescent="0.25">
      <c r="A443" s="85"/>
      <c r="B443" s="85"/>
      <c r="C443" s="85"/>
      <c r="D443" s="86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83"/>
      <c r="Z443" s="168"/>
    </row>
    <row r="444" spans="1:26" s="74" customFormat="1" x14ac:dyDescent="0.25">
      <c r="A444" s="85"/>
      <c r="B444" s="85"/>
      <c r="C444" s="85"/>
      <c r="D444" s="86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83"/>
      <c r="Z444" s="168"/>
    </row>
    <row r="445" spans="1:26" s="74" customFormat="1" x14ac:dyDescent="0.25">
      <c r="A445" s="85"/>
      <c r="B445" s="85"/>
      <c r="C445" s="85"/>
      <c r="D445" s="86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83"/>
      <c r="Z445" s="168"/>
    </row>
    <row r="446" spans="1:26" s="74" customFormat="1" x14ac:dyDescent="0.25">
      <c r="A446" s="85"/>
      <c r="B446" s="85"/>
      <c r="C446" s="85"/>
      <c r="D446" s="86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83"/>
      <c r="Z446" s="168"/>
    </row>
    <row r="447" spans="1:26" s="74" customFormat="1" x14ac:dyDescent="0.25">
      <c r="A447" s="85"/>
      <c r="B447" s="85"/>
      <c r="C447" s="85"/>
      <c r="D447" s="86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83"/>
      <c r="Z447" s="168"/>
    </row>
    <row r="448" spans="1:26" s="74" customFormat="1" x14ac:dyDescent="0.25">
      <c r="A448" s="85"/>
      <c r="B448" s="85"/>
      <c r="C448" s="85"/>
      <c r="D448" s="86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83"/>
      <c r="Z448" s="168"/>
    </row>
    <row r="449" spans="1:26" s="74" customFormat="1" x14ac:dyDescent="0.25">
      <c r="A449" s="85"/>
      <c r="B449" s="85"/>
      <c r="C449" s="85"/>
      <c r="D449" s="86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83"/>
      <c r="Z449" s="168"/>
    </row>
    <row r="450" spans="1:26" s="74" customFormat="1" x14ac:dyDescent="0.25">
      <c r="A450" s="85"/>
      <c r="B450" s="85"/>
      <c r="C450" s="85"/>
      <c r="D450" s="86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83"/>
      <c r="Z450" s="168"/>
    </row>
    <row r="451" spans="1:26" s="74" customFormat="1" x14ac:dyDescent="0.25">
      <c r="A451" s="85"/>
      <c r="B451" s="85"/>
      <c r="C451" s="85"/>
      <c r="D451" s="86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83"/>
      <c r="Z451" s="168"/>
    </row>
    <row r="452" spans="1:26" s="74" customFormat="1" x14ac:dyDescent="0.25">
      <c r="A452" s="85"/>
      <c r="B452" s="85"/>
      <c r="C452" s="85"/>
      <c r="D452" s="86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83"/>
      <c r="Z452" s="168"/>
    </row>
    <row r="453" spans="1:26" s="74" customFormat="1" x14ac:dyDescent="0.25">
      <c r="A453" s="85"/>
      <c r="B453" s="85"/>
      <c r="C453" s="85"/>
      <c r="D453" s="86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83"/>
      <c r="Z453" s="168"/>
    </row>
    <row r="454" spans="1:26" s="74" customFormat="1" x14ac:dyDescent="0.25">
      <c r="A454" s="85"/>
      <c r="B454" s="85"/>
      <c r="C454" s="85"/>
      <c r="D454" s="86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83"/>
      <c r="Z454" s="168"/>
    </row>
    <row r="455" spans="1:26" s="74" customFormat="1" x14ac:dyDescent="0.25">
      <c r="A455" s="85"/>
      <c r="B455" s="85"/>
      <c r="C455" s="85"/>
      <c r="D455" s="86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83"/>
      <c r="Z455" s="168"/>
    </row>
    <row r="456" spans="1:26" s="74" customFormat="1" x14ac:dyDescent="0.25">
      <c r="A456" s="85"/>
      <c r="B456" s="85"/>
      <c r="C456" s="85"/>
      <c r="D456" s="86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83"/>
      <c r="Z456" s="168"/>
    </row>
    <row r="457" spans="1:26" s="74" customFormat="1" x14ac:dyDescent="0.25">
      <c r="A457" s="85"/>
      <c r="B457" s="85"/>
      <c r="C457" s="85"/>
      <c r="D457" s="86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83"/>
      <c r="Z457" s="168"/>
    </row>
    <row r="458" spans="1:26" s="74" customFormat="1" x14ac:dyDescent="0.25">
      <c r="A458" s="85"/>
      <c r="B458" s="85"/>
      <c r="C458" s="85"/>
      <c r="D458" s="86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83"/>
      <c r="Z458" s="168"/>
    </row>
    <row r="459" spans="1:26" s="74" customFormat="1" x14ac:dyDescent="0.25">
      <c r="A459" s="85"/>
      <c r="B459" s="85"/>
      <c r="C459" s="85"/>
      <c r="D459" s="86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83"/>
      <c r="Z459" s="168"/>
    </row>
    <row r="460" spans="1:26" s="74" customFormat="1" x14ac:dyDescent="0.25">
      <c r="A460" s="85"/>
      <c r="B460" s="85"/>
      <c r="C460" s="85"/>
      <c r="D460" s="86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83"/>
      <c r="Z460" s="168"/>
    </row>
    <row r="461" spans="1:26" s="74" customFormat="1" x14ac:dyDescent="0.25">
      <c r="A461" s="85"/>
      <c r="B461" s="85"/>
      <c r="C461" s="85"/>
      <c r="D461" s="86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83"/>
      <c r="Z461" s="168"/>
    </row>
    <row r="462" spans="1:26" s="74" customFormat="1" x14ac:dyDescent="0.25">
      <c r="A462" s="85"/>
      <c r="B462" s="85"/>
      <c r="C462" s="85"/>
      <c r="D462" s="86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83"/>
      <c r="Z462" s="168"/>
    </row>
    <row r="463" spans="1:26" s="74" customFormat="1" x14ac:dyDescent="0.25">
      <c r="A463" s="85"/>
      <c r="B463" s="85"/>
      <c r="C463" s="85"/>
      <c r="D463" s="86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83"/>
      <c r="Z463" s="168"/>
    </row>
    <row r="464" spans="1:26" s="74" customFormat="1" x14ac:dyDescent="0.25">
      <c r="A464" s="85"/>
      <c r="B464" s="85"/>
      <c r="C464" s="85"/>
      <c r="D464" s="86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83"/>
      <c r="Z464" s="168"/>
    </row>
    <row r="465" spans="1:26" s="74" customFormat="1" x14ac:dyDescent="0.25">
      <c r="A465" s="85"/>
      <c r="B465" s="85"/>
      <c r="C465" s="85"/>
      <c r="D465" s="86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83"/>
      <c r="Z465" s="168"/>
    </row>
    <row r="466" spans="1:26" s="74" customFormat="1" x14ac:dyDescent="0.25">
      <c r="A466" s="85"/>
      <c r="B466" s="85"/>
      <c r="C466" s="85"/>
      <c r="D466" s="86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83"/>
      <c r="Z466" s="168"/>
    </row>
    <row r="467" spans="1:26" s="74" customFormat="1" x14ac:dyDescent="0.25">
      <c r="A467" s="85"/>
      <c r="B467" s="85"/>
      <c r="C467" s="85"/>
      <c r="D467" s="86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83"/>
      <c r="Z467" s="168"/>
    </row>
    <row r="468" spans="1:26" s="74" customFormat="1" x14ac:dyDescent="0.25">
      <c r="A468" s="85"/>
      <c r="B468" s="85"/>
      <c r="C468" s="85"/>
      <c r="D468" s="86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83"/>
      <c r="Z468" s="168"/>
    </row>
    <row r="469" spans="1:26" s="74" customFormat="1" x14ac:dyDescent="0.25">
      <c r="A469" s="85"/>
      <c r="B469" s="85"/>
      <c r="C469" s="85"/>
      <c r="D469" s="86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83"/>
      <c r="Z469" s="168"/>
    </row>
    <row r="470" spans="1:26" s="74" customFormat="1" x14ac:dyDescent="0.25">
      <c r="A470" s="85"/>
      <c r="B470" s="85"/>
      <c r="C470" s="85"/>
      <c r="D470" s="86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83"/>
      <c r="Z470" s="168"/>
    </row>
    <row r="471" spans="1:26" s="74" customFormat="1" x14ac:dyDescent="0.25">
      <c r="A471" s="85"/>
      <c r="B471" s="85"/>
      <c r="C471" s="85"/>
      <c r="D471" s="86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83"/>
      <c r="Z471" s="168"/>
    </row>
    <row r="472" spans="1:26" s="74" customFormat="1" x14ac:dyDescent="0.25">
      <c r="A472" s="85"/>
      <c r="B472" s="85"/>
      <c r="C472" s="85"/>
      <c r="D472" s="86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83"/>
      <c r="Z472" s="168"/>
    </row>
    <row r="473" spans="1:26" s="74" customFormat="1" x14ac:dyDescent="0.25">
      <c r="A473" s="85"/>
      <c r="B473" s="85"/>
      <c r="C473" s="85"/>
      <c r="D473" s="86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83"/>
      <c r="Z473" s="168"/>
    </row>
    <row r="474" spans="1:26" s="74" customFormat="1" x14ac:dyDescent="0.25">
      <c r="A474" s="85"/>
      <c r="B474" s="85"/>
      <c r="C474" s="85"/>
      <c r="D474" s="86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83"/>
      <c r="Z474" s="168"/>
    </row>
    <row r="475" spans="1:26" s="74" customFormat="1" x14ac:dyDescent="0.25">
      <c r="A475" s="85"/>
      <c r="B475" s="85"/>
      <c r="C475" s="85"/>
      <c r="D475" s="86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83"/>
      <c r="Z475" s="168"/>
    </row>
    <row r="476" spans="1:26" s="74" customFormat="1" x14ac:dyDescent="0.25">
      <c r="A476" s="85"/>
      <c r="B476" s="85"/>
      <c r="C476" s="85"/>
      <c r="D476" s="86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83"/>
      <c r="Z476" s="168"/>
    </row>
    <row r="477" spans="1:26" s="74" customFormat="1" x14ac:dyDescent="0.25">
      <c r="A477" s="85"/>
      <c r="B477" s="85"/>
      <c r="C477" s="85"/>
      <c r="D477" s="86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83"/>
      <c r="Z477" s="168"/>
    </row>
    <row r="478" spans="1:26" s="74" customFormat="1" x14ac:dyDescent="0.25">
      <c r="A478" s="85"/>
      <c r="B478" s="85"/>
      <c r="C478" s="85"/>
      <c r="D478" s="86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83"/>
      <c r="Z478" s="168"/>
    </row>
    <row r="479" spans="1:26" s="74" customFormat="1" x14ac:dyDescent="0.25">
      <c r="A479" s="85"/>
      <c r="B479" s="85"/>
      <c r="C479" s="85"/>
      <c r="D479" s="86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83"/>
      <c r="Z479" s="168"/>
    </row>
    <row r="480" spans="1:26" s="74" customFormat="1" x14ac:dyDescent="0.25">
      <c r="A480" s="85"/>
      <c r="B480" s="85"/>
      <c r="C480" s="85"/>
      <c r="D480" s="86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83"/>
      <c r="Z480" s="168"/>
    </row>
    <row r="481" spans="1:26" s="74" customFormat="1" x14ac:dyDescent="0.25">
      <c r="A481" s="85"/>
      <c r="B481" s="85"/>
      <c r="C481" s="85"/>
      <c r="D481" s="86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83"/>
      <c r="Z481" s="168"/>
    </row>
    <row r="482" spans="1:26" s="74" customFormat="1" x14ac:dyDescent="0.25">
      <c r="A482" s="85"/>
      <c r="B482" s="85"/>
      <c r="C482" s="85"/>
      <c r="D482" s="86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83"/>
      <c r="Z482" s="168"/>
    </row>
    <row r="483" spans="1:26" s="74" customFormat="1" x14ac:dyDescent="0.25">
      <c r="A483" s="85"/>
      <c r="B483" s="85"/>
      <c r="C483" s="85"/>
      <c r="D483" s="86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83"/>
      <c r="Z483" s="168"/>
    </row>
    <row r="484" spans="1:26" s="74" customFormat="1" x14ac:dyDescent="0.25">
      <c r="A484" s="85"/>
      <c r="B484" s="85"/>
      <c r="C484" s="85"/>
      <c r="D484" s="86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83"/>
      <c r="Z484" s="168"/>
    </row>
    <row r="485" spans="1:26" s="74" customFormat="1" x14ac:dyDescent="0.25">
      <c r="A485" s="85"/>
      <c r="B485" s="85"/>
      <c r="C485" s="85"/>
      <c r="D485" s="86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83"/>
      <c r="Z485" s="168"/>
    </row>
    <row r="486" spans="1:26" s="74" customFormat="1" x14ac:dyDescent="0.25">
      <c r="A486" s="85"/>
      <c r="B486" s="85"/>
      <c r="C486" s="85"/>
      <c r="D486" s="86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83"/>
      <c r="Z486" s="168"/>
    </row>
    <row r="487" spans="1:26" s="74" customFormat="1" x14ac:dyDescent="0.25">
      <c r="A487" s="85"/>
      <c r="B487" s="85"/>
      <c r="C487" s="85"/>
      <c r="D487" s="86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83"/>
      <c r="Z487" s="168"/>
    </row>
    <row r="488" spans="1:26" s="74" customFormat="1" x14ac:dyDescent="0.25">
      <c r="A488" s="85"/>
      <c r="B488" s="85"/>
      <c r="C488" s="85"/>
      <c r="D488" s="86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83"/>
      <c r="Z488" s="168"/>
    </row>
    <row r="489" spans="1:26" s="74" customFormat="1" x14ac:dyDescent="0.25">
      <c r="A489" s="85"/>
      <c r="B489" s="85"/>
      <c r="C489" s="85"/>
      <c r="D489" s="86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83"/>
      <c r="Z489" s="168"/>
    </row>
    <row r="490" spans="1:26" s="74" customFormat="1" x14ac:dyDescent="0.25">
      <c r="A490" s="85"/>
      <c r="B490" s="85"/>
      <c r="C490" s="85"/>
      <c r="D490" s="86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83"/>
      <c r="Z490" s="168"/>
    </row>
    <row r="491" spans="1:26" s="74" customFormat="1" x14ac:dyDescent="0.25">
      <c r="A491" s="85"/>
      <c r="B491" s="85"/>
      <c r="C491" s="85"/>
      <c r="D491" s="86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83"/>
      <c r="Z491" s="168"/>
    </row>
    <row r="492" spans="1:26" s="74" customFormat="1" x14ac:dyDescent="0.25">
      <c r="A492" s="85"/>
      <c r="B492" s="85"/>
      <c r="C492" s="85"/>
      <c r="D492" s="86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83"/>
      <c r="Z492" s="168"/>
    </row>
    <row r="493" spans="1:26" s="74" customFormat="1" x14ac:dyDescent="0.25">
      <c r="A493" s="85"/>
      <c r="B493" s="85"/>
      <c r="C493" s="85"/>
      <c r="D493" s="86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83"/>
      <c r="Z493" s="168"/>
    </row>
    <row r="494" spans="1:26" s="74" customFormat="1" x14ac:dyDescent="0.25">
      <c r="A494" s="85"/>
      <c r="B494" s="85"/>
      <c r="C494" s="85"/>
      <c r="D494" s="86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83"/>
      <c r="Z494" s="168"/>
    </row>
    <row r="495" spans="1:26" s="74" customFormat="1" x14ac:dyDescent="0.25">
      <c r="A495" s="85"/>
      <c r="B495" s="85"/>
      <c r="C495" s="85"/>
      <c r="D495" s="86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83"/>
      <c r="Z495" s="168"/>
    </row>
    <row r="496" spans="1:26" s="74" customFormat="1" x14ac:dyDescent="0.25">
      <c r="A496" s="85"/>
      <c r="B496" s="85"/>
      <c r="C496" s="85"/>
      <c r="D496" s="86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83"/>
      <c r="Z496" s="168"/>
    </row>
    <row r="497" spans="1:26" s="74" customFormat="1" x14ac:dyDescent="0.25">
      <c r="A497" s="85"/>
      <c r="B497" s="85"/>
      <c r="C497" s="85"/>
      <c r="D497" s="86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83"/>
      <c r="Z497" s="168"/>
    </row>
    <row r="498" spans="1:26" s="74" customFormat="1" x14ac:dyDescent="0.25">
      <c r="A498" s="85"/>
      <c r="B498" s="85"/>
      <c r="C498" s="85"/>
      <c r="D498" s="86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83"/>
      <c r="Z498" s="168"/>
    </row>
    <row r="499" spans="1:26" s="74" customFormat="1" x14ac:dyDescent="0.25">
      <c r="A499" s="85"/>
      <c r="B499" s="85"/>
      <c r="C499" s="85"/>
      <c r="D499" s="86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83"/>
      <c r="Z499" s="168"/>
    </row>
    <row r="500" spans="1:26" s="74" customFormat="1" x14ac:dyDescent="0.25">
      <c r="A500" s="85"/>
      <c r="B500" s="85"/>
      <c r="C500" s="85"/>
      <c r="D500" s="86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83"/>
      <c r="Z500" s="168"/>
    </row>
    <row r="501" spans="1:26" s="74" customFormat="1" x14ac:dyDescent="0.25">
      <c r="A501" s="85"/>
      <c r="B501" s="85"/>
      <c r="C501" s="85"/>
      <c r="D501" s="86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83"/>
      <c r="Z501" s="168"/>
    </row>
    <row r="502" spans="1:26" s="74" customFormat="1" x14ac:dyDescent="0.25">
      <c r="A502" s="85"/>
      <c r="B502" s="85"/>
      <c r="C502" s="85"/>
      <c r="D502" s="86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83"/>
      <c r="Z502" s="168"/>
    </row>
    <row r="503" spans="1:26" s="74" customFormat="1" x14ac:dyDescent="0.25">
      <c r="A503" s="85"/>
      <c r="B503" s="85"/>
      <c r="C503" s="85"/>
      <c r="D503" s="86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83"/>
      <c r="Z503" s="168"/>
    </row>
    <row r="504" spans="1:26" s="74" customFormat="1" x14ac:dyDescent="0.25">
      <c r="A504" s="85"/>
      <c r="B504" s="85"/>
      <c r="C504" s="85"/>
      <c r="D504" s="86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83"/>
      <c r="Z504" s="168"/>
    </row>
    <row r="505" spans="1:26" s="74" customFormat="1" x14ac:dyDescent="0.25">
      <c r="A505" s="85"/>
      <c r="B505" s="85"/>
      <c r="C505" s="85"/>
      <c r="D505" s="86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83"/>
      <c r="Z505" s="168"/>
    </row>
    <row r="506" spans="1:26" s="74" customFormat="1" x14ac:dyDescent="0.25">
      <c r="A506" s="85"/>
      <c r="B506" s="85"/>
      <c r="C506" s="85"/>
      <c r="D506" s="86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83"/>
      <c r="Z506" s="168"/>
    </row>
    <row r="507" spans="1:26" s="74" customFormat="1" x14ac:dyDescent="0.25">
      <c r="A507" s="85"/>
      <c r="B507" s="85"/>
      <c r="C507" s="85"/>
      <c r="D507" s="86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83"/>
      <c r="Z507" s="168"/>
    </row>
    <row r="508" spans="1:26" s="74" customFormat="1" x14ac:dyDescent="0.25">
      <c r="A508" s="85"/>
      <c r="B508" s="85"/>
      <c r="C508" s="85"/>
      <c r="D508" s="86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83"/>
      <c r="Z508" s="168"/>
    </row>
    <row r="509" spans="1:26" s="74" customFormat="1" x14ac:dyDescent="0.25">
      <c r="A509" s="85"/>
      <c r="B509" s="85"/>
      <c r="C509" s="85"/>
      <c r="D509" s="86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83"/>
      <c r="Z509" s="168"/>
    </row>
    <row r="510" spans="1:26" s="74" customFormat="1" x14ac:dyDescent="0.25">
      <c r="A510" s="85"/>
      <c r="B510" s="85"/>
      <c r="C510" s="85"/>
      <c r="D510" s="86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83"/>
      <c r="Z510" s="168"/>
    </row>
    <row r="511" spans="1:26" s="74" customFormat="1" x14ac:dyDescent="0.25">
      <c r="A511" s="85"/>
      <c r="B511" s="85"/>
      <c r="C511" s="85"/>
      <c r="D511" s="86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83"/>
      <c r="Z511" s="168"/>
    </row>
    <row r="512" spans="1:26" s="74" customFormat="1" x14ac:dyDescent="0.25">
      <c r="A512" s="85"/>
      <c r="B512" s="85"/>
      <c r="C512" s="85"/>
      <c r="D512" s="86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83"/>
      <c r="Z512" s="168"/>
    </row>
    <row r="513" spans="1:26" s="74" customFormat="1" x14ac:dyDescent="0.25">
      <c r="A513" s="85"/>
      <c r="B513" s="85"/>
      <c r="C513" s="85"/>
      <c r="D513" s="86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83"/>
      <c r="Z513" s="168"/>
    </row>
    <row r="514" spans="1:26" s="74" customFormat="1" x14ac:dyDescent="0.25">
      <c r="A514" s="85"/>
      <c r="B514" s="85"/>
      <c r="C514" s="85"/>
      <c r="D514" s="86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83"/>
      <c r="Z514" s="168"/>
    </row>
    <row r="515" spans="1:26" s="74" customFormat="1" x14ac:dyDescent="0.25">
      <c r="A515" s="85"/>
      <c r="B515" s="85"/>
      <c r="C515" s="85"/>
      <c r="D515" s="86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83"/>
      <c r="Z515" s="168"/>
    </row>
    <row r="516" spans="1:26" s="74" customFormat="1" x14ac:dyDescent="0.25">
      <c r="A516" s="85"/>
      <c r="B516" s="85"/>
      <c r="C516" s="85"/>
      <c r="D516" s="86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83"/>
      <c r="Z516" s="168"/>
    </row>
    <row r="517" spans="1:26" s="74" customFormat="1" x14ac:dyDescent="0.25">
      <c r="A517" s="85"/>
      <c r="B517" s="85"/>
      <c r="C517" s="85"/>
      <c r="D517" s="86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83"/>
      <c r="Z517" s="168"/>
    </row>
    <row r="518" spans="1:26" s="74" customFormat="1" x14ac:dyDescent="0.25">
      <c r="A518" s="85"/>
      <c r="B518" s="85"/>
      <c r="C518" s="85"/>
      <c r="D518" s="86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83"/>
      <c r="Z518" s="168"/>
    </row>
    <row r="519" spans="1:26" s="74" customFormat="1" x14ac:dyDescent="0.25">
      <c r="A519" s="85"/>
      <c r="B519" s="85"/>
      <c r="C519" s="85"/>
      <c r="D519" s="86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83"/>
      <c r="Z519" s="168"/>
    </row>
    <row r="520" spans="1:26" s="74" customFormat="1" x14ac:dyDescent="0.25">
      <c r="A520" s="85"/>
      <c r="B520" s="85"/>
      <c r="C520" s="85"/>
      <c r="D520" s="86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83"/>
      <c r="Z520" s="168"/>
    </row>
    <row r="521" spans="1:26" s="74" customFormat="1" x14ac:dyDescent="0.25">
      <c r="A521" s="85"/>
      <c r="B521" s="85"/>
      <c r="C521" s="85"/>
      <c r="D521" s="86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83"/>
      <c r="Z521" s="168"/>
    </row>
    <row r="522" spans="1:26" s="74" customFormat="1" x14ac:dyDescent="0.25">
      <c r="A522" s="85"/>
      <c r="B522" s="85"/>
      <c r="C522" s="85"/>
      <c r="D522" s="86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83"/>
      <c r="Z522" s="168"/>
    </row>
    <row r="523" spans="1:26" s="74" customFormat="1" x14ac:dyDescent="0.25">
      <c r="A523" s="85"/>
      <c r="B523" s="85"/>
      <c r="C523" s="85"/>
      <c r="D523" s="86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83"/>
      <c r="Z523" s="168"/>
    </row>
    <row r="524" spans="1:26" s="74" customFormat="1" x14ac:dyDescent="0.25">
      <c r="A524" s="85"/>
      <c r="B524" s="85"/>
      <c r="C524" s="85"/>
      <c r="D524" s="86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83"/>
      <c r="Z524" s="168"/>
    </row>
    <row r="525" spans="1:26" s="74" customFormat="1" x14ac:dyDescent="0.25">
      <c r="A525" s="85"/>
      <c r="B525" s="85"/>
      <c r="C525" s="85"/>
      <c r="D525" s="86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83"/>
      <c r="Z525" s="168"/>
    </row>
    <row r="526" spans="1:26" s="74" customFormat="1" x14ac:dyDescent="0.25">
      <c r="A526" s="85"/>
      <c r="B526" s="85"/>
      <c r="C526" s="85"/>
      <c r="D526" s="86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83"/>
      <c r="Z526" s="168"/>
    </row>
    <row r="527" spans="1:26" s="74" customFormat="1" x14ac:dyDescent="0.25">
      <c r="A527" s="85"/>
      <c r="B527" s="85"/>
      <c r="C527" s="85"/>
      <c r="D527" s="86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83"/>
      <c r="Z527" s="168"/>
    </row>
    <row r="528" spans="1:26" s="74" customFormat="1" x14ac:dyDescent="0.25">
      <c r="A528" s="85"/>
      <c r="B528" s="85"/>
      <c r="C528" s="85"/>
      <c r="D528" s="86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83"/>
      <c r="Z528" s="168"/>
    </row>
    <row r="529" spans="1:26" s="74" customFormat="1" x14ac:dyDescent="0.25">
      <c r="A529" s="85"/>
      <c r="B529" s="85"/>
      <c r="C529" s="85"/>
      <c r="D529" s="86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83"/>
      <c r="Z529" s="168"/>
    </row>
    <row r="530" spans="1:26" s="74" customFormat="1" x14ac:dyDescent="0.25">
      <c r="A530" s="85"/>
      <c r="B530" s="85"/>
      <c r="C530" s="85"/>
      <c r="D530" s="86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83"/>
      <c r="Z530" s="168"/>
    </row>
    <row r="531" spans="1:26" s="74" customFormat="1" x14ac:dyDescent="0.25">
      <c r="A531" s="85"/>
      <c r="B531" s="85"/>
      <c r="C531" s="85"/>
      <c r="D531" s="86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83"/>
      <c r="Z531" s="168"/>
    </row>
    <row r="532" spans="1:26" s="74" customFormat="1" x14ac:dyDescent="0.25">
      <c r="A532" s="85"/>
      <c r="B532" s="85"/>
      <c r="C532" s="85"/>
      <c r="D532" s="86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83"/>
      <c r="Z532" s="168"/>
    </row>
    <row r="533" spans="1:26" s="74" customFormat="1" x14ac:dyDescent="0.25">
      <c r="A533" s="85"/>
      <c r="B533" s="85"/>
      <c r="C533" s="85"/>
      <c r="D533" s="86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83"/>
      <c r="Z533" s="168"/>
    </row>
    <row r="534" spans="1:26" s="74" customFormat="1" x14ac:dyDescent="0.25">
      <c r="A534" s="85"/>
      <c r="B534" s="85"/>
      <c r="C534" s="85"/>
      <c r="D534" s="86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83"/>
      <c r="Z534" s="168"/>
    </row>
    <row r="535" spans="1:26" s="74" customFormat="1" x14ac:dyDescent="0.25">
      <c r="A535" s="85"/>
      <c r="B535" s="85"/>
      <c r="C535" s="85"/>
      <c r="D535" s="86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83"/>
      <c r="Z535" s="168"/>
    </row>
    <row r="536" spans="1:26" s="74" customFormat="1" x14ac:dyDescent="0.25">
      <c r="A536" s="85"/>
      <c r="B536" s="85"/>
      <c r="C536" s="85"/>
      <c r="D536" s="86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83"/>
      <c r="Z536" s="168"/>
    </row>
    <row r="537" spans="1:26" s="74" customFormat="1" x14ac:dyDescent="0.25">
      <c r="A537" s="85"/>
      <c r="B537" s="85"/>
      <c r="C537" s="85"/>
      <c r="D537" s="86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83"/>
      <c r="Z537" s="168"/>
    </row>
    <row r="538" spans="1:26" s="74" customFormat="1" x14ac:dyDescent="0.25">
      <c r="A538" s="85"/>
      <c r="B538" s="85"/>
      <c r="C538" s="85"/>
      <c r="D538" s="86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83"/>
      <c r="Z538" s="168"/>
    </row>
    <row r="539" spans="1:26" s="74" customFormat="1" x14ac:dyDescent="0.25">
      <c r="A539" s="85"/>
      <c r="B539" s="85"/>
      <c r="C539" s="85"/>
      <c r="D539" s="86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83"/>
      <c r="Z539" s="168"/>
    </row>
    <row r="540" spans="1:26" s="74" customFormat="1" x14ac:dyDescent="0.25">
      <c r="A540" s="85"/>
      <c r="B540" s="85"/>
      <c r="C540" s="85"/>
      <c r="D540" s="86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83"/>
      <c r="Z540" s="168"/>
    </row>
    <row r="541" spans="1:26" s="74" customFormat="1" x14ac:dyDescent="0.25">
      <c r="A541" s="85"/>
      <c r="B541" s="85"/>
      <c r="C541" s="85"/>
      <c r="D541" s="86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83"/>
      <c r="Z541" s="168"/>
    </row>
    <row r="542" spans="1:26" s="74" customFormat="1" x14ac:dyDescent="0.25">
      <c r="A542" s="85"/>
      <c r="B542" s="85"/>
      <c r="C542" s="85"/>
      <c r="D542" s="86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83"/>
      <c r="Z542" s="168"/>
    </row>
    <row r="543" spans="1:26" s="74" customFormat="1" x14ac:dyDescent="0.25">
      <c r="A543" s="85"/>
      <c r="B543" s="85"/>
      <c r="C543" s="85"/>
      <c r="D543" s="86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83"/>
      <c r="Z543" s="168"/>
    </row>
    <row r="544" spans="1:26" s="74" customFormat="1" x14ac:dyDescent="0.25">
      <c r="A544" s="85"/>
      <c r="B544" s="85"/>
      <c r="C544" s="85"/>
      <c r="D544" s="86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83"/>
      <c r="Z544" s="168"/>
    </row>
    <row r="545" spans="1:26" s="74" customFormat="1" x14ac:dyDescent="0.25">
      <c r="A545" s="85"/>
      <c r="B545" s="85"/>
      <c r="C545" s="85"/>
      <c r="D545" s="86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83"/>
      <c r="Z545" s="168"/>
    </row>
    <row r="546" spans="1:26" s="74" customFormat="1" x14ac:dyDescent="0.25">
      <c r="A546" s="85"/>
      <c r="B546" s="85"/>
      <c r="C546" s="85"/>
      <c r="D546" s="86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83"/>
      <c r="Z546" s="168"/>
    </row>
    <row r="547" spans="1:26" s="74" customFormat="1" x14ac:dyDescent="0.25">
      <c r="A547" s="85"/>
      <c r="B547" s="85"/>
      <c r="C547" s="85"/>
      <c r="D547" s="86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83"/>
      <c r="Z547" s="168"/>
    </row>
    <row r="548" spans="1:26" s="74" customFormat="1" x14ac:dyDescent="0.25">
      <c r="A548" s="85"/>
      <c r="B548" s="85"/>
      <c r="C548" s="85"/>
      <c r="D548" s="86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83"/>
      <c r="Z548" s="168"/>
    </row>
    <row r="549" spans="1:26" s="74" customFormat="1" x14ac:dyDescent="0.25">
      <c r="A549" s="85"/>
      <c r="B549" s="85"/>
      <c r="C549" s="85"/>
      <c r="D549" s="86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83"/>
      <c r="Z549" s="168"/>
    </row>
    <row r="550" spans="1:26" s="74" customFormat="1" x14ac:dyDescent="0.25">
      <c r="A550" s="85"/>
      <c r="B550" s="85"/>
      <c r="C550" s="85"/>
      <c r="D550" s="86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83"/>
      <c r="Z550" s="168"/>
    </row>
    <row r="551" spans="1:26" s="74" customFormat="1" x14ac:dyDescent="0.25">
      <c r="A551" s="85"/>
      <c r="B551" s="85"/>
      <c r="C551" s="85"/>
      <c r="D551" s="86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83"/>
      <c r="Z551" s="168"/>
    </row>
    <row r="552" spans="1:26" s="74" customFormat="1" x14ac:dyDescent="0.25">
      <c r="A552" s="85"/>
      <c r="B552" s="85"/>
      <c r="C552" s="85"/>
      <c r="D552" s="86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83"/>
      <c r="Z552" s="168"/>
    </row>
    <row r="553" spans="1:26" s="74" customFormat="1" x14ac:dyDescent="0.25">
      <c r="A553" s="85"/>
      <c r="B553" s="85"/>
      <c r="C553" s="85"/>
      <c r="D553" s="86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83"/>
      <c r="Z553" s="168"/>
    </row>
    <row r="554" spans="1:26" s="74" customFormat="1" x14ac:dyDescent="0.25">
      <c r="A554" s="85"/>
      <c r="B554" s="85"/>
      <c r="C554" s="85"/>
      <c r="D554" s="86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83"/>
      <c r="Z554" s="168"/>
    </row>
    <row r="555" spans="1:26" s="74" customFormat="1" x14ac:dyDescent="0.25">
      <c r="A555" s="85"/>
      <c r="B555" s="85"/>
      <c r="C555" s="85"/>
      <c r="D555" s="86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83"/>
      <c r="Z555" s="168"/>
    </row>
    <row r="556" spans="1:26" s="74" customFormat="1" x14ac:dyDescent="0.25">
      <c r="A556" s="85"/>
      <c r="B556" s="85"/>
      <c r="C556" s="85"/>
      <c r="D556" s="86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83"/>
      <c r="Z556" s="168"/>
    </row>
    <row r="557" spans="1:26" s="74" customFormat="1" x14ac:dyDescent="0.25">
      <c r="A557" s="85"/>
      <c r="B557" s="85"/>
      <c r="C557" s="85"/>
      <c r="D557" s="86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83"/>
      <c r="Z557" s="168"/>
    </row>
    <row r="558" spans="1:26" s="74" customFormat="1" x14ac:dyDescent="0.25">
      <c r="A558" s="85"/>
      <c r="B558" s="85"/>
      <c r="C558" s="85"/>
      <c r="D558" s="86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83"/>
      <c r="Z558" s="168"/>
    </row>
    <row r="559" spans="1:26" s="74" customFormat="1" x14ac:dyDescent="0.25">
      <c r="A559" s="85"/>
      <c r="B559" s="85"/>
      <c r="C559" s="85"/>
      <c r="D559" s="86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83"/>
      <c r="Z559" s="168"/>
    </row>
    <row r="560" spans="1:26" s="74" customFormat="1" x14ac:dyDescent="0.25">
      <c r="A560" s="85"/>
      <c r="B560" s="85"/>
      <c r="C560" s="85"/>
      <c r="D560" s="86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83"/>
      <c r="Z560" s="168"/>
    </row>
    <row r="561" spans="1:26" s="74" customFormat="1" x14ac:dyDescent="0.25">
      <c r="A561" s="85"/>
      <c r="B561" s="85"/>
      <c r="C561" s="85"/>
      <c r="D561" s="86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83"/>
      <c r="Z561" s="168"/>
    </row>
    <row r="562" spans="1:26" s="74" customFormat="1" x14ac:dyDescent="0.25">
      <c r="A562" s="85"/>
      <c r="B562" s="85"/>
      <c r="C562" s="85"/>
      <c r="D562" s="86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83"/>
      <c r="Z562" s="168"/>
    </row>
    <row r="563" spans="1:26" s="74" customFormat="1" x14ac:dyDescent="0.25">
      <c r="A563" s="85"/>
      <c r="B563" s="85"/>
      <c r="C563" s="85"/>
      <c r="D563" s="86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83"/>
      <c r="Z563" s="168"/>
    </row>
    <row r="564" spans="1:26" s="74" customFormat="1" x14ac:dyDescent="0.25">
      <c r="A564" s="85"/>
      <c r="B564" s="85"/>
      <c r="C564" s="85"/>
      <c r="D564" s="86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83"/>
      <c r="Z564" s="168"/>
    </row>
    <row r="565" spans="1:26" s="74" customFormat="1" x14ac:dyDescent="0.25">
      <c r="A565" s="85"/>
      <c r="B565" s="85"/>
      <c r="C565" s="85"/>
      <c r="D565" s="86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83"/>
      <c r="Z565" s="168"/>
    </row>
    <row r="566" spans="1:26" s="74" customFormat="1" x14ac:dyDescent="0.25">
      <c r="A566" s="85"/>
      <c r="B566" s="85"/>
      <c r="C566" s="85"/>
      <c r="D566" s="86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83"/>
      <c r="Z566" s="168"/>
    </row>
    <row r="567" spans="1:26" s="74" customFormat="1" x14ac:dyDescent="0.25">
      <c r="A567" s="85"/>
      <c r="B567" s="85"/>
      <c r="C567" s="85"/>
      <c r="D567" s="86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83"/>
      <c r="Z567" s="168"/>
    </row>
    <row r="568" spans="1:26" s="74" customFormat="1" x14ac:dyDescent="0.25">
      <c r="A568" s="85"/>
      <c r="B568" s="85"/>
      <c r="C568" s="85"/>
      <c r="D568" s="86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83"/>
      <c r="Z568" s="168"/>
    </row>
    <row r="569" spans="1:26" s="74" customFormat="1" x14ac:dyDescent="0.25">
      <c r="A569" s="85"/>
      <c r="B569" s="85"/>
      <c r="C569" s="85"/>
      <c r="D569" s="86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83"/>
      <c r="Z569" s="168"/>
    </row>
    <row r="570" spans="1:26" s="74" customFormat="1" x14ac:dyDescent="0.25">
      <c r="A570" s="85"/>
      <c r="B570" s="85"/>
      <c r="C570" s="85"/>
      <c r="D570" s="86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83"/>
      <c r="Z570" s="168"/>
    </row>
    <row r="571" spans="1:26" s="74" customFormat="1" x14ac:dyDescent="0.25">
      <c r="A571" s="85"/>
      <c r="B571" s="85"/>
      <c r="C571" s="85"/>
      <c r="D571" s="86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83"/>
      <c r="Z571" s="168"/>
    </row>
    <row r="572" spans="1:26" s="74" customFormat="1" x14ac:dyDescent="0.25">
      <c r="A572" s="85"/>
      <c r="B572" s="85"/>
      <c r="C572" s="85"/>
      <c r="D572" s="86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83"/>
      <c r="Z572" s="168"/>
    </row>
    <row r="573" spans="1:26" s="74" customFormat="1" x14ac:dyDescent="0.25">
      <c r="A573" s="85"/>
      <c r="B573" s="85"/>
      <c r="C573" s="85"/>
      <c r="D573" s="86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83"/>
      <c r="Z573" s="168"/>
    </row>
    <row r="574" spans="1:26" s="74" customFormat="1" x14ac:dyDescent="0.25">
      <c r="A574" s="85"/>
      <c r="B574" s="85"/>
      <c r="C574" s="85"/>
      <c r="D574" s="86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83"/>
      <c r="Z574" s="168"/>
    </row>
    <row r="575" spans="1:26" s="74" customFormat="1" x14ac:dyDescent="0.25">
      <c r="A575" s="85"/>
      <c r="B575" s="85"/>
      <c r="C575" s="85"/>
      <c r="D575" s="86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83"/>
      <c r="Z575" s="168"/>
    </row>
    <row r="576" spans="1:26" s="74" customFormat="1" x14ac:dyDescent="0.25">
      <c r="A576" s="85"/>
      <c r="B576" s="85"/>
      <c r="C576" s="85"/>
      <c r="D576" s="86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83"/>
      <c r="Z576" s="168"/>
    </row>
    <row r="577" spans="1:26" s="74" customFormat="1" x14ac:dyDescent="0.25">
      <c r="A577" s="85"/>
      <c r="B577" s="85"/>
      <c r="C577" s="85"/>
      <c r="D577" s="86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83"/>
      <c r="Z577" s="168"/>
    </row>
    <row r="578" spans="1:26" s="74" customFormat="1" x14ac:dyDescent="0.25">
      <c r="A578" s="85"/>
      <c r="B578" s="85"/>
      <c r="C578" s="85"/>
      <c r="D578" s="86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83"/>
      <c r="Z578" s="168"/>
    </row>
    <row r="579" spans="1:26" s="74" customFormat="1" x14ac:dyDescent="0.25">
      <c r="A579" s="85"/>
      <c r="B579" s="85"/>
      <c r="C579" s="85"/>
      <c r="D579" s="86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83"/>
      <c r="Z579" s="168"/>
    </row>
    <row r="580" spans="1:26" s="74" customFormat="1" x14ac:dyDescent="0.25">
      <c r="A580" s="85"/>
      <c r="B580" s="85"/>
      <c r="C580" s="85"/>
      <c r="D580" s="86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83"/>
      <c r="Z580" s="168"/>
    </row>
    <row r="581" spans="1:26" s="74" customFormat="1" x14ac:dyDescent="0.25">
      <c r="A581" s="85"/>
      <c r="B581" s="85"/>
      <c r="C581" s="85"/>
      <c r="D581" s="86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83"/>
      <c r="Z581" s="168"/>
    </row>
    <row r="582" spans="1:26" s="74" customFormat="1" x14ac:dyDescent="0.25">
      <c r="A582" s="85"/>
      <c r="B582" s="85"/>
      <c r="C582" s="85"/>
      <c r="D582" s="86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83"/>
      <c r="Z582" s="168"/>
    </row>
    <row r="583" spans="1:26" s="74" customFormat="1" x14ac:dyDescent="0.25">
      <c r="A583" s="85"/>
      <c r="B583" s="85"/>
      <c r="C583" s="85"/>
      <c r="D583" s="86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83"/>
      <c r="Z583" s="168"/>
    </row>
    <row r="584" spans="1:26" s="74" customFormat="1" x14ac:dyDescent="0.25">
      <c r="A584" s="85"/>
      <c r="B584" s="85"/>
      <c r="C584" s="85"/>
      <c r="D584" s="86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83"/>
      <c r="Z584" s="168"/>
    </row>
    <row r="585" spans="1:26" s="74" customFormat="1" x14ac:dyDescent="0.25">
      <c r="A585" s="85"/>
      <c r="B585" s="85"/>
      <c r="C585" s="85"/>
      <c r="D585" s="86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83"/>
      <c r="Z585" s="168"/>
    </row>
    <row r="586" spans="1:26" s="74" customFormat="1" x14ac:dyDescent="0.25">
      <c r="A586" s="85"/>
      <c r="B586" s="85"/>
      <c r="C586" s="85"/>
      <c r="D586" s="86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83"/>
      <c r="Z586" s="168"/>
    </row>
    <row r="587" spans="1:26" s="74" customFormat="1" x14ac:dyDescent="0.25">
      <c r="A587" s="85"/>
      <c r="B587" s="85"/>
      <c r="C587" s="85"/>
      <c r="D587" s="86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83"/>
      <c r="Z587" s="168"/>
    </row>
    <row r="588" spans="1:26" s="74" customFormat="1" x14ac:dyDescent="0.25">
      <c r="A588" s="85"/>
      <c r="B588" s="85"/>
      <c r="C588" s="85"/>
      <c r="D588" s="86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83"/>
      <c r="Z588" s="168"/>
    </row>
    <row r="589" spans="1:26" s="74" customFormat="1" x14ac:dyDescent="0.25">
      <c r="A589" s="85"/>
      <c r="B589" s="85"/>
      <c r="C589" s="85"/>
      <c r="D589" s="86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83"/>
      <c r="Z589" s="168"/>
    </row>
    <row r="590" spans="1:26" s="74" customFormat="1" x14ac:dyDescent="0.25">
      <c r="A590" s="85"/>
      <c r="B590" s="85"/>
      <c r="C590" s="85"/>
      <c r="D590" s="86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83"/>
      <c r="Z590" s="168"/>
    </row>
    <row r="591" spans="1:26" s="74" customFormat="1" x14ac:dyDescent="0.25">
      <c r="A591" s="85"/>
      <c r="B591" s="85"/>
      <c r="C591" s="85"/>
      <c r="D591" s="86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83"/>
      <c r="Z591" s="168"/>
    </row>
    <row r="592" spans="1:26" s="74" customFormat="1" x14ac:dyDescent="0.25">
      <c r="A592" s="85"/>
      <c r="B592" s="85"/>
      <c r="C592" s="85"/>
      <c r="D592" s="86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83"/>
      <c r="Z592" s="168"/>
    </row>
    <row r="593" spans="1:26" s="74" customFormat="1" x14ac:dyDescent="0.25">
      <c r="A593" s="85"/>
      <c r="B593" s="85"/>
      <c r="C593" s="85"/>
      <c r="D593" s="86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83"/>
      <c r="Z593" s="168"/>
    </row>
    <row r="594" spans="1:26" s="74" customFormat="1" x14ac:dyDescent="0.25">
      <c r="A594" s="85"/>
      <c r="B594" s="85"/>
      <c r="C594" s="85"/>
      <c r="D594" s="86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83"/>
      <c r="Z594" s="168"/>
    </row>
    <row r="595" spans="1:26" s="74" customFormat="1" x14ac:dyDescent="0.25">
      <c r="A595" s="85"/>
      <c r="B595" s="85"/>
      <c r="C595" s="85"/>
      <c r="D595" s="86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83"/>
      <c r="Z595" s="168"/>
    </row>
    <row r="596" spans="1:26" s="74" customFormat="1" x14ac:dyDescent="0.25">
      <c r="A596" s="85"/>
      <c r="B596" s="85"/>
      <c r="C596" s="85"/>
      <c r="D596" s="86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83"/>
      <c r="Z596" s="168"/>
    </row>
    <row r="597" spans="1:26" s="74" customFormat="1" x14ac:dyDescent="0.25">
      <c r="A597" s="85"/>
      <c r="B597" s="85"/>
      <c r="C597" s="85"/>
      <c r="D597" s="86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83"/>
      <c r="Z597" s="168"/>
    </row>
    <row r="598" spans="1:26" s="74" customFormat="1" x14ac:dyDescent="0.25">
      <c r="A598" s="85"/>
      <c r="B598" s="85"/>
      <c r="C598" s="85"/>
      <c r="D598" s="86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83"/>
      <c r="Z598" s="168"/>
    </row>
    <row r="599" spans="1:26" s="74" customFormat="1" x14ac:dyDescent="0.25">
      <c r="A599" s="85"/>
      <c r="B599" s="85"/>
      <c r="C599" s="85"/>
      <c r="D599" s="86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83"/>
      <c r="Z599" s="168"/>
    </row>
    <row r="600" spans="1:26" s="74" customFormat="1" x14ac:dyDescent="0.25">
      <c r="A600" s="85"/>
      <c r="B600" s="85"/>
      <c r="C600" s="85"/>
      <c r="D600" s="86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83"/>
      <c r="Z600" s="168"/>
    </row>
    <row r="601" spans="1:26" s="74" customFormat="1" x14ac:dyDescent="0.25">
      <c r="A601" s="85"/>
      <c r="B601" s="85"/>
      <c r="C601" s="85"/>
      <c r="D601" s="86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83"/>
      <c r="Z601" s="168"/>
    </row>
    <row r="602" spans="1:26" s="74" customFormat="1" x14ac:dyDescent="0.25">
      <c r="A602" s="85"/>
      <c r="B602" s="85"/>
      <c r="C602" s="85"/>
      <c r="D602" s="86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83"/>
      <c r="Z602" s="168"/>
    </row>
    <row r="603" spans="1:26" s="74" customFormat="1" x14ac:dyDescent="0.25">
      <c r="A603" s="85"/>
      <c r="B603" s="85"/>
      <c r="C603" s="85"/>
      <c r="D603" s="86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83"/>
      <c r="Z603" s="168"/>
    </row>
    <row r="604" spans="1:26" s="74" customFormat="1" x14ac:dyDescent="0.25">
      <c r="A604" s="85"/>
      <c r="B604" s="85"/>
      <c r="C604" s="85"/>
      <c r="D604" s="86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83"/>
      <c r="Z604" s="168"/>
    </row>
    <row r="605" spans="1:26" s="74" customFormat="1" x14ac:dyDescent="0.25">
      <c r="A605" s="85"/>
      <c r="B605" s="85"/>
      <c r="C605" s="85"/>
      <c r="D605" s="86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83"/>
      <c r="Z605" s="168"/>
    </row>
    <row r="606" spans="1:26" s="74" customFormat="1" x14ac:dyDescent="0.25">
      <c r="A606" s="85"/>
      <c r="B606" s="85"/>
      <c r="C606" s="85"/>
      <c r="D606" s="86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83"/>
      <c r="Z606" s="168"/>
    </row>
    <row r="607" spans="1:26" s="74" customFormat="1" x14ac:dyDescent="0.25">
      <c r="A607" s="85"/>
      <c r="B607" s="85"/>
      <c r="C607" s="85"/>
      <c r="D607" s="86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83"/>
      <c r="Z607" s="168"/>
    </row>
    <row r="608" spans="1:26" s="74" customFormat="1" x14ac:dyDescent="0.25">
      <c r="A608" s="85"/>
      <c r="B608" s="85"/>
      <c r="C608" s="85"/>
      <c r="D608" s="86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83"/>
      <c r="Z608" s="168"/>
    </row>
    <row r="609" spans="1:26" s="74" customFormat="1" x14ac:dyDescent="0.25">
      <c r="A609" s="85"/>
      <c r="B609" s="85"/>
      <c r="C609" s="85"/>
      <c r="D609" s="86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83"/>
      <c r="Z609" s="168"/>
    </row>
    <row r="610" spans="1:26" s="74" customFormat="1" x14ac:dyDescent="0.25">
      <c r="A610" s="85"/>
      <c r="B610" s="85"/>
      <c r="C610" s="85"/>
      <c r="D610" s="86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83"/>
      <c r="Z610" s="168"/>
    </row>
    <row r="611" spans="1:26" s="74" customFormat="1" x14ac:dyDescent="0.25">
      <c r="A611" s="85"/>
      <c r="B611" s="85"/>
      <c r="C611" s="85"/>
      <c r="D611" s="86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83"/>
      <c r="Z611" s="168"/>
    </row>
    <row r="612" spans="1:26" s="74" customFormat="1" x14ac:dyDescent="0.25">
      <c r="A612" s="85"/>
      <c r="B612" s="85"/>
      <c r="C612" s="85"/>
      <c r="D612" s="86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83"/>
      <c r="Z612" s="168"/>
    </row>
    <row r="613" spans="1:26" s="74" customFormat="1" x14ac:dyDescent="0.25">
      <c r="A613" s="85"/>
      <c r="B613" s="85"/>
      <c r="C613" s="85"/>
      <c r="D613" s="86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83"/>
      <c r="Z613" s="168"/>
    </row>
    <row r="614" spans="1:26" s="74" customFormat="1" x14ac:dyDescent="0.25">
      <c r="A614" s="85"/>
      <c r="B614" s="85"/>
      <c r="C614" s="85"/>
      <c r="D614" s="86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83"/>
      <c r="Z614" s="168"/>
    </row>
    <row r="615" spans="1:26" s="74" customFormat="1" x14ac:dyDescent="0.25">
      <c r="A615" s="85"/>
      <c r="B615" s="85"/>
      <c r="C615" s="85"/>
      <c r="D615" s="86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83"/>
      <c r="Z615" s="168"/>
    </row>
    <row r="616" spans="1:26" s="74" customFormat="1" x14ac:dyDescent="0.25">
      <c r="A616" s="85"/>
      <c r="B616" s="85"/>
      <c r="C616" s="85"/>
      <c r="D616" s="86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83"/>
      <c r="Z616" s="168"/>
    </row>
    <row r="617" spans="1:26" s="74" customFormat="1" x14ac:dyDescent="0.25">
      <c r="A617" s="85"/>
      <c r="B617" s="85"/>
      <c r="C617" s="85"/>
      <c r="D617" s="86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83"/>
      <c r="Z617" s="168"/>
    </row>
    <row r="618" spans="1:26" s="74" customFormat="1" x14ac:dyDescent="0.25">
      <c r="A618" s="85"/>
      <c r="B618" s="85"/>
      <c r="C618" s="85"/>
      <c r="D618" s="86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83"/>
      <c r="Z618" s="168"/>
    </row>
    <row r="619" spans="1:26" s="74" customFormat="1" x14ac:dyDescent="0.25">
      <c r="A619" s="85"/>
      <c r="B619" s="85"/>
      <c r="C619" s="85"/>
      <c r="D619" s="86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83"/>
      <c r="Z619" s="168"/>
    </row>
    <row r="620" spans="1:26" s="74" customFormat="1" x14ac:dyDescent="0.25">
      <c r="A620" s="85"/>
      <c r="B620" s="85"/>
      <c r="C620" s="85"/>
      <c r="D620" s="86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83"/>
      <c r="Z620" s="168"/>
    </row>
    <row r="621" spans="1:26" s="74" customFormat="1" x14ac:dyDescent="0.25">
      <c r="A621" s="85"/>
      <c r="B621" s="85"/>
      <c r="C621" s="85"/>
      <c r="D621" s="86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83"/>
      <c r="Z621" s="168"/>
    </row>
    <row r="622" spans="1:26" s="74" customFormat="1" x14ac:dyDescent="0.25">
      <c r="A622" s="85"/>
      <c r="B622" s="85"/>
      <c r="C622" s="85"/>
      <c r="D622" s="86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83"/>
      <c r="Z622" s="168"/>
    </row>
    <row r="623" spans="1:26" s="74" customFormat="1" x14ac:dyDescent="0.25">
      <c r="A623" s="85"/>
      <c r="B623" s="85"/>
      <c r="C623" s="85"/>
      <c r="D623" s="86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83"/>
      <c r="Z623" s="168"/>
    </row>
    <row r="624" spans="1:26" s="74" customFormat="1" x14ac:dyDescent="0.25">
      <c r="A624" s="85"/>
      <c r="B624" s="85"/>
      <c r="C624" s="85"/>
      <c r="D624" s="86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83"/>
      <c r="Z624" s="168"/>
    </row>
    <row r="625" spans="1:26" s="74" customFormat="1" x14ac:dyDescent="0.25">
      <c r="A625" s="85"/>
      <c r="B625" s="85"/>
      <c r="C625" s="85"/>
      <c r="D625" s="86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83"/>
      <c r="Z625" s="168"/>
    </row>
    <row r="626" spans="1:26" s="74" customFormat="1" x14ac:dyDescent="0.25">
      <c r="A626" s="85"/>
      <c r="B626" s="85"/>
      <c r="C626" s="85"/>
      <c r="D626" s="86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83"/>
      <c r="Z626" s="168"/>
    </row>
    <row r="627" spans="1:26" s="74" customFormat="1" x14ac:dyDescent="0.25">
      <c r="A627" s="85"/>
      <c r="B627" s="85"/>
      <c r="C627" s="85"/>
      <c r="D627" s="86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83"/>
      <c r="Z627" s="168"/>
    </row>
    <row r="628" spans="1:26" s="74" customFormat="1" x14ac:dyDescent="0.25">
      <c r="A628" s="85"/>
      <c r="B628" s="85"/>
      <c r="C628" s="85"/>
      <c r="D628" s="86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83"/>
      <c r="Z628" s="168"/>
    </row>
    <row r="629" spans="1:26" s="74" customFormat="1" x14ac:dyDescent="0.25">
      <c r="A629" s="85"/>
      <c r="B629" s="85"/>
      <c r="C629" s="85"/>
      <c r="D629" s="86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83"/>
      <c r="Z629" s="168"/>
    </row>
    <row r="630" spans="1:26" s="74" customFormat="1" x14ac:dyDescent="0.25">
      <c r="A630" s="85"/>
      <c r="B630" s="85"/>
      <c r="C630" s="85"/>
      <c r="D630" s="86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83"/>
      <c r="Z630" s="168"/>
    </row>
    <row r="631" spans="1:26" s="74" customFormat="1" x14ac:dyDescent="0.25">
      <c r="A631" s="85"/>
      <c r="B631" s="85"/>
      <c r="C631" s="85"/>
      <c r="D631" s="86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83"/>
      <c r="Z631" s="168"/>
    </row>
    <row r="632" spans="1:26" s="74" customFormat="1" x14ac:dyDescent="0.25">
      <c r="A632" s="85"/>
      <c r="B632" s="85"/>
      <c r="C632" s="85"/>
      <c r="D632" s="86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83"/>
      <c r="Z632" s="168"/>
    </row>
    <row r="633" spans="1:26" s="74" customFormat="1" x14ac:dyDescent="0.25">
      <c r="A633" s="85"/>
      <c r="B633" s="85"/>
      <c r="C633" s="85"/>
      <c r="D633" s="86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83"/>
      <c r="Z633" s="168"/>
    </row>
    <row r="634" spans="1:26" s="74" customFormat="1" x14ac:dyDescent="0.25">
      <c r="A634" s="85"/>
      <c r="B634" s="85"/>
      <c r="C634" s="85"/>
      <c r="D634" s="86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83"/>
      <c r="Z634" s="168"/>
    </row>
    <row r="635" spans="1:26" s="74" customFormat="1" x14ac:dyDescent="0.25">
      <c r="A635" s="85"/>
      <c r="B635" s="85"/>
      <c r="C635" s="85"/>
      <c r="D635" s="86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83"/>
      <c r="Z635" s="168"/>
    </row>
    <row r="636" spans="1:26" s="74" customFormat="1" x14ac:dyDescent="0.25">
      <c r="A636" s="85"/>
      <c r="B636" s="85"/>
      <c r="C636" s="85"/>
      <c r="D636" s="86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83"/>
      <c r="Z636" s="168"/>
    </row>
    <row r="637" spans="1:26" s="74" customFormat="1" x14ac:dyDescent="0.25">
      <c r="A637" s="85"/>
      <c r="B637" s="85"/>
      <c r="C637" s="85"/>
      <c r="D637" s="86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83"/>
      <c r="Z637" s="168"/>
    </row>
    <row r="638" spans="1:26" s="74" customFormat="1" x14ac:dyDescent="0.25">
      <c r="A638" s="85"/>
      <c r="B638" s="85"/>
      <c r="C638" s="85"/>
      <c r="D638" s="86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83"/>
      <c r="Z638" s="168"/>
    </row>
    <row r="639" spans="1:26" s="74" customFormat="1" x14ac:dyDescent="0.25">
      <c r="A639" s="85"/>
      <c r="B639" s="85"/>
      <c r="C639" s="85"/>
      <c r="D639" s="86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83"/>
      <c r="Z639" s="168"/>
    </row>
    <row r="640" spans="1:26" s="74" customFormat="1" x14ac:dyDescent="0.25">
      <c r="A640" s="85"/>
      <c r="B640" s="85"/>
      <c r="C640" s="85"/>
      <c r="D640" s="86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83"/>
      <c r="Z640" s="168"/>
    </row>
    <row r="641" spans="1:26" s="74" customFormat="1" x14ac:dyDescent="0.25">
      <c r="A641" s="85"/>
      <c r="B641" s="85"/>
      <c r="C641" s="85"/>
      <c r="D641" s="86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83"/>
      <c r="Z641" s="168"/>
    </row>
    <row r="642" spans="1:26" s="74" customFormat="1" x14ac:dyDescent="0.25">
      <c r="A642" s="85"/>
      <c r="B642" s="85"/>
      <c r="C642" s="85"/>
      <c r="D642" s="86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83"/>
      <c r="Z642" s="168"/>
    </row>
    <row r="643" spans="1:26" s="74" customFormat="1" x14ac:dyDescent="0.25">
      <c r="A643" s="85"/>
      <c r="B643" s="85"/>
      <c r="C643" s="85"/>
      <c r="D643" s="86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83"/>
      <c r="Z643" s="168"/>
    </row>
    <row r="644" spans="1:26" s="74" customFormat="1" x14ac:dyDescent="0.25">
      <c r="A644" s="85"/>
      <c r="B644" s="85"/>
      <c r="C644" s="85"/>
      <c r="D644" s="86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83"/>
      <c r="Z644" s="168"/>
    </row>
    <row r="645" spans="1:26" s="74" customFormat="1" x14ac:dyDescent="0.25">
      <c r="A645" s="85"/>
      <c r="B645" s="85"/>
      <c r="C645" s="85"/>
      <c r="D645" s="86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83"/>
      <c r="Z645" s="168"/>
    </row>
    <row r="646" spans="1:26" s="74" customFormat="1" x14ac:dyDescent="0.25">
      <c r="A646" s="85"/>
      <c r="B646" s="85"/>
      <c r="C646" s="85"/>
      <c r="D646" s="86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83"/>
      <c r="Z646" s="168"/>
    </row>
    <row r="647" spans="1:26" s="74" customFormat="1" x14ac:dyDescent="0.25">
      <c r="A647" s="85"/>
      <c r="B647" s="85"/>
      <c r="C647" s="85"/>
      <c r="D647" s="86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83"/>
      <c r="Z647" s="168"/>
    </row>
    <row r="648" spans="1:26" s="74" customFormat="1" x14ac:dyDescent="0.25">
      <c r="A648" s="85"/>
      <c r="B648" s="85"/>
      <c r="C648" s="85"/>
      <c r="D648" s="86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83"/>
      <c r="Z648" s="168"/>
    </row>
    <row r="649" spans="1:26" s="74" customFormat="1" x14ac:dyDescent="0.25">
      <c r="A649" s="85"/>
      <c r="B649" s="85"/>
      <c r="C649" s="85"/>
      <c r="D649" s="86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83"/>
      <c r="Z649" s="168"/>
    </row>
    <row r="650" spans="1:26" s="74" customFormat="1" x14ac:dyDescent="0.25">
      <c r="A650" s="85"/>
      <c r="B650" s="85"/>
      <c r="C650" s="85"/>
      <c r="D650" s="86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83"/>
      <c r="Z650" s="168"/>
    </row>
    <row r="651" spans="1:26" s="74" customFormat="1" x14ac:dyDescent="0.25">
      <c r="A651" s="85"/>
      <c r="B651" s="85"/>
      <c r="C651" s="85"/>
      <c r="D651" s="86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83"/>
      <c r="Z651" s="168"/>
    </row>
    <row r="652" spans="1:26" s="74" customFormat="1" x14ac:dyDescent="0.25">
      <c r="A652" s="85"/>
      <c r="B652" s="85"/>
      <c r="C652" s="85"/>
      <c r="D652" s="86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83"/>
      <c r="Z652" s="168"/>
    </row>
    <row r="653" spans="1:26" s="74" customFormat="1" x14ac:dyDescent="0.25">
      <c r="A653" s="85"/>
      <c r="B653" s="85"/>
      <c r="C653" s="85"/>
      <c r="D653" s="86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83"/>
      <c r="Z653" s="168"/>
    </row>
    <row r="654" spans="1:26" s="74" customFormat="1" x14ac:dyDescent="0.25">
      <c r="A654" s="85"/>
      <c r="B654" s="85"/>
      <c r="C654" s="85"/>
      <c r="D654" s="86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83"/>
      <c r="Z654" s="168"/>
    </row>
    <row r="655" spans="1:26" s="74" customFormat="1" x14ac:dyDescent="0.25">
      <c r="A655" s="85"/>
      <c r="B655" s="85"/>
      <c r="C655" s="85"/>
      <c r="D655" s="86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83"/>
      <c r="Z655" s="168"/>
    </row>
    <row r="656" spans="1:26" s="74" customFormat="1" x14ac:dyDescent="0.25">
      <c r="A656" s="85"/>
      <c r="B656" s="85"/>
      <c r="C656" s="85"/>
      <c r="D656" s="86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83"/>
      <c r="Z656" s="168"/>
    </row>
    <row r="657" spans="1:26" s="74" customFormat="1" x14ac:dyDescent="0.25">
      <c r="A657" s="85"/>
      <c r="B657" s="85"/>
      <c r="C657" s="85"/>
      <c r="D657" s="86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83"/>
      <c r="Z657" s="168"/>
    </row>
    <row r="658" spans="1:26" s="74" customFormat="1" x14ac:dyDescent="0.25">
      <c r="A658" s="85"/>
      <c r="B658" s="85"/>
      <c r="C658" s="85"/>
      <c r="D658" s="86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83"/>
      <c r="Z658" s="168"/>
    </row>
    <row r="659" spans="1:26" s="74" customFormat="1" x14ac:dyDescent="0.25">
      <c r="A659" s="85"/>
      <c r="B659" s="85"/>
      <c r="C659" s="85"/>
      <c r="D659" s="86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83"/>
      <c r="Z659" s="168"/>
    </row>
    <row r="660" spans="1:26" s="74" customFormat="1" x14ac:dyDescent="0.25">
      <c r="A660" s="85"/>
      <c r="B660" s="85"/>
      <c r="C660" s="85"/>
      <c r="D660" s="86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83"/>
      <c r="Z660" s="168"/>
    </row>
    <row r="661" spans="1:26" s="74" customFormat="1" x14ac:dyDescent="0.25">
      <c r="A661" s="85"/>
      <c r="B661" s="85"/>
      <c r="C661" s="85"/>
      <c r="D661" s="86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83"/>
      <c r="Z661" s="168"/>
    </row>
    <row r="662" spans="1:26" s="74" customFormat="1" x14ac:dyDescent="0.25">
      <c r="A662" s="85"/>
      <c r="B662" s="85"/>
      <c r="C662" s="85"/>
      <c r="D662" s="86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83"/>
      <c r="Z662" s="168"/>
    </row>
    <row r="663" spans="1:26" s="74" customFormat="1" x14ac:dyDescent="0.25">
      <c r="A663" s="85"/>
      <c r="B663" s="85"/>
      <c r="C663" s="85"/>
      <c r="D663" s="86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83"/>
      <c r="Z663" s="168"/>
    </row>
    <row r="664" spans="1:26" s="74" customFormat="1" x14ac:dyDescent="0.25">
      <c r="A664" s="85"/>
      <c r="B664" s="85"/>
      <c r="C664" s="85"/>
      <c r="D664" s="86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83"/>
      <c r="Z664" s="168"/>
    </row>
    <row r="665" spans="1:26" s="74" customFormat="1" x14ac:dyDescent="0.25">
      <c r="A665" s="85"/>
      <c r="B665" s="85"/>
      <c r="C665" s="85"/>
      <c r="D665" s="86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83"/>
      <c r="Z665" s="168"/>
    </row>
    <row r="666" spans="1:26" s="74" customFormat="1" x14ac:dyDescent="0.25">
      <c r="A666" s="85"/>
      <c r="B666" s="85"/>
      <c r="C666" s="85"/>
      <c r="D666" s="86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83"/>
      <c r="Z666" s="168"/>
    </row>
    <row r="667" spans="1:26" s="74" customFormat="1" x14ac:dyDescent="0.25">
      <c r="A667" s="85"/>
      <c r="B667" s="85"/>
      <c r="C667" s="85"/>
      <c r="D667" s="86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83"/>
      <c r="Z667" s="168"/>
    </row>
    <row r="668" spans="1:26" s="74" customFormat="1" x14ac:dyDescent="0.25">
      <c r="A668" s="85"/>
      <c r="B668" s="85"/>
      <c r="C668" s="85"/>
      <c r="D668" s="86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83"/>
      <c r="Z668" s="168"/>
    </row>
    <row r="669" spans="1:26" s="74" customFormat="1" x14ac:dyDescent="0.25">
      <c r="A669" s="85"/>
      <c r="B669" s="85"/>
      <c r="C669" s="85"/>
      <c r="D669" s="86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83"/>
      <c r="Z669" s="168"/>
    </row>
    <row r="670" spans="1:26" s="74" customFormat="1" x14ac:dyDescent="0.25">
      <c r="A670" s="85"/>
      <c r="B670" s="85"/>
      <c r="C670" s="85"/>
      <c r="D670" s="86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83"/>
      <c r="Z670" s="168"/>
    </row>
    <row r="671" spans="1:26" s="74" customFormat="1" x14ac:dyDescent="0.25">
      <c r="A671" s="85"/>
      <c r="B671" s="85"/>
      <c r="C671" s="85"/>
      <c r="D671" s="86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83"/>
      <c r="Z671" s="168"/>
    </row>
    <row r="672" spans="1:26" s="74" customFormat="1" x14ac:dyDescent="0.25">
      <c r="A672" s="85"/>
      <c r="B672" s="85"/>
      <c r="C672" s="85"/>
      <c r="D672" s="86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83"/>
      <c r="Z672" s="168"/>
    </row>
    <row r="673" spans="1:26" s="74" customFormat="1" x14ac:dyDescent="0.25">
      <c r="A673" s="85"/>
      <c r="B673" s="85"/>
      <c r="C673" s="85"/>
      <c r="D673" s="86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83"/>
      <c r="Z673" s="168"/>
    </row>
    <row r="674" spans="1:26" s="74" customFormat="1" x14ac:dyDescent="0.25">
      <c r="A674" s="85"/>
      <c r="B674" s="85"/>
      <c r="C674" s="85"/>
      <c r="D674" s="86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83"/>
      <c r="Z674" s="168"/>
    </row>
    <row r="675" spans="1:26" s="74" customFormat="1" x14ac:dyDescent="0.25">
      <c r="A675" s="85"/>
      <c r="B675" s="85"/>
      <c r="C675" s="85"/>
      <c r="D675" s="86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83"/>
      <c r="Z675" s="168"/>
    </row>
    <row r="676" spans="1:26" s="74" customFormat="1" x14ac:dyDescent="0.25">
      <c r="A676" s="85"/>
      <c r="B676" s="85"/>
      <c r="C676" s="85"/>
      <c r="D676" s="86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83"/>
      <c r="Z676" s="168"/>
    </row>
    <row r="677" spans="1:26" s="74" customFormat="1" x14ac:dyDescent="0.25">
      <c r="A677" s="85"/>
      <c r="B677" s="85"/>
      <c r="C677" s="85"/>
      <c r="D677" s="86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83"/>
      <c r="Z677" s="168"/>
    </row>
    <row r="678" spans="1:26" s="74" customFormat="1" x14ac:dyDescent="0.25">
      <c r="A678" s="85"/>
      <c r="B678" s="85"/>
      <c r="C678" s="85"/>
      <c r="D678" s="86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83"/>
      <c r="Z678" s="168"/>
    </row>
    <row r="679" spans="1:26" s="74" customFormat="1" x14ac:dyDescent="0.25">
      <c r="A679" s="85"/>
      <c r="B679" s="85"/>
      <c r="C679" s="85"/>
      <c r="D679" s="86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83"/>
      <c r="Z679" s="168"/>
    </row>
    <row r="680" spans="1:26" s="74" customFormat="1" x14ac:dyDescent="0.25">
      <c r="A680" s="85"/>
      <c r="B680" s="85"/>
      <c r="C680" s="85"/>
      <c r="D680" s="86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83"/>
      <c r="Z680" s="168"/>
    </row>
    <row r="681" spans="1:26" s="74" customFormat="1" x14ac:dyDescent="0.25">
      <c r="A681" s="85"/>
      <c r="B681" s="85"/>
      <c r="C681" s="85"/>
      <c r="D681" s="86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83"/>
      <c r="Z681" s="168"/>
    </row>
    <row r="682" spans="1:26" s="74" customFormat="1" x14ac:dyDescent="0.25">
      <c r="A682" s="85"/>
      <c r="B682" s="85"/>
      <c r="C682" s="85"/>
      <c r="D682" s="86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83"/>
      <c r="Z682" s="168"/>
    </row>
    <row r="683" spans="1:26" s="74" customFormat="1" x14ac:dyDescent="0.25">
      <c r="A683" s="85"/>
      <c r="B683" s="85"/>
      <c r="C683" s="85"/>
      <c r="D683" s="86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83"/>
      <c r="Z683" s="168"/>
    </row>
    <row r="684" spans="1:26" s="74" customFormat="1" x14ac:dyDescent="0.25">
      <c r="A684" s="85"/>
      <c r="B684" s="85"/>
      <c r="C684" s="85"/>
      <c r="D684" s="86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83"/>
      <c r="Z684" s="168"/>
    </row>
    <row r="685" spans="1:26" s="74" customFormat="1" x14ac:dyDescent="0.25">
      <c r="A685" s="85"/>
      <c r="B685" s="85"/>
      <c r="C685" s="85"/>
      <c r="D685" s="86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83"/>
      <c r="Z685" s="168"/>
    </row>
    <row r="686" spans="1:26" s="74" customFormat="1" x14ac:dyDescent="0.25">
      <c r="A686" s="85"/>
      <c r="B686" s="85"/>
      <c r="C686" s="85"/>
      <c r="D686" s="86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83"/>
      <c r="Z686" s="168"/>
    </row>
    <row r="687" spans="1:26" s="74" customFormat="1" x14ac:dyDescent="0.25">
      <c r="A687" s="85"/>
      <c r="B687" s="85"/>
      <c r="C687" s="85"/>
      <c r="D687" s="86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83"/>
      <c r="Z687" s="168"/>
    </row>
    <row r="688" spans="1:26" s="74" customFormat="1" x14ac:dyDescent="0.25">
      <c r="A688" s="85"/>
      <c r="B688" s="85"/>
      <c r="C688" s="85"/>
      <c r="D688" s="86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83"/>
      <c r="Z688" s="168"/>
    </row>
    <row r="689" spans="1:26" s="74" customFormat="1" x14ac:dyDescent="0.25">
      <c r="A689" s="85"/>
      <c r="B689" s="85"/>
      <c r="C689" s="85"/>
      <c r="D689" s="86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83"/>
      <c r="Z689" s="168"/>
    </row>
    <row r="690" spans="1:26" s="74" customFormat="1" x14ac:dyDescent="0.25">
      <c r="A690" s="85"/>
      <c r="B690" s="85"/>
      <c r="C690" s="85"/>
      <c r="D690" s="86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83"/>
      <c r="Z690" s="168"/>
    </row>
    <row r="691" spans="1:26" s="74" customFormat="1" x14ac:dyDescent="0.25">
      <c r="A691" s="85"/>
      <c r="B691" s="85"/>
      <c r="C691" s="85"/>
      <c r="D691" s="86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83"/>
      <c r="Z691" s="168"/>
    </row>
    <row r="692" spans="1:26" s="74" customFormat="1" x14ac:dyDescent="0.25">
      <c r="A692" s="85"/>
      <c r="B692" s="85"/>
      <c r="C692" s="85"/>
      <c r="D692" s="86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83"/>
      <c r="Z692" s="168"/>
    </row>
    <row r="693" spans="1:26" s="74" customFormat="1" x14ac:dyDescent="0.25">
      <c r="A693" s="85"/>
      <c r="B693" s="85"/>
      <c r="C693" s="85"/>
      <c r="D693" s="86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83"/>
      <c r="Z693" s="168"/>
    </row>
    <row r="694" spans="1:26" s="74" customFormat="1" x14ac:dyDescent="0.25">
      <c r="A694" s="85"/>
      <c r="B694" s="85"/>
      <c r="C694" s="85"/>
      <c r="D694" s="86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83"/>
      <c r="Z694" s="168"/>
    </row>
    <row r="695" spans="1:26" s="74" customFormat="1" x14ac:dyDescent="0.25">
      <c r="A695" s="85"/>
      <c r="B695" s="85"/>
      <c r="C695" s="85"/>
      <c r="D695" s="86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83"/>
      <c r="Z695" s="168"/>
    </row>
    <row r="696" spans="1:26" s="74" customFormat="1" x14ac:dyDescent="0.25">
      <c r="A696" s="85"/>
      <c r="B696" s="85"/>
      <c r="C696" s="85"/>
      <c r="D696" s="86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83"/>
      <c r="Z696" s="168"/>
    </row>
    <row r="697" spans="1:26" s="74" customFormat="1" x14ac:dyDescent="0.25">
      <c r="A697" s="85"/>
      <c r="B697" s="85"/>
      <c r="C697" s="85"/>
      <c r="D697" s="86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83"/>
      <c r="Z697" s="168"/>
    </row>
    <row r="698" spans="1:26" s="74" customFormat="1" x14ac:dyDescent="0.25">
      <c r="A698" s="85"/>
      <c r="B698" s="85"/>
      <c r="C698" s="85"/>
      <c r="D698" s="86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83"/>
      <c r="Z698" s="168"/>
    </row>
    <row r="699" spans="1:26" s="74" customFormat="1" x14ac:dyDescent="0.25">
      <c r="A699" s="85"/>
      <c r="B699" s="85"/>
      <c r="C699" s="85"/>
      <c r="D699" s="86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83"/>
      <c r="Z699" s="168"/>
    </row>
    <row r="700" spans="1:26" s="74" customFormat="1" x14ac:dyDescent="0.25">
      <c r="A700" s="85"/>
      <c r="B700" s="85"/>
      <c r="C700" s="85"/>
      <c r="D700" s="86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83"/>
      <c r="Z700" s="168"/>
    </row>
    <row r="701" spans="1:26" s="74" customFormat="1" x14ac:dyDescent="0.25">
      <c r="A701" s="85"/>
      <c r="B701" s="85"/>
      <c r="C701" s="85"/>
      <c r="D701" s="86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83"/>
      <c r="Z701" s="168"/>
    </row>
    <row r="702" spans="1:26" s="74" customFormat="1" x14ac:dyDescent="0.25">
      <c r="A702" s="85"/>
      <c r="B702" s="85"/>
      <c r="C702" s="85"/>
      <c r="D702" s="86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83"/>
      <c r="Z702" s="168"/>
    </row>
    <row r="703" spans="1:26" s="74" customFormat="1" x14ac:dyDescent="0.25">
      <c r="A703" s="85"/>
      <c r="B703" s="85"/>
      <c r="C703" s="85"/>
      <c r="D703" s="86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83"/>
      <c r="Z703" s="168"/>
    </row>
    <row r="704" spans="1:26" s="74" customFormat="1" x14ac:dyDescent="0.25">
      <c r="A704" s="85"/>
      <c r="B704" s="85"/>
      <c r="C704" s="85"/>
      <c r="D704" s="86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83"/>
      <c r="Z704" s="168"/>
    </row>
    <row r="705" spans="1:26" s="74" customFormat="1" x14ac:dyDescent="0.25">
      <c r="A705" s="85"/>
      <c r="B705" s="85"/>
      <c r="C705" s="85"/>
      <c r="D705" s="86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83"/>
      <c r="Z705" s="168"/>
    </row>
    <row r="706" spans="1:26" s="74" customFormat="1" x14ac:dyDescent="0.25">
      <c r="A706" s="85"/>
      <c r="B706" s="85"/>
      <c r="C706" s="85"/>
      <c r="D706" s="86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83"/>
      <c r="Z706" s="168"/>
    </row>
    <row r="707" spans="1:26" s="74" customFormat="1" x14ac:dyDescent="0.25">
      <c r="A707" s="85"/>
      <c r="B707" s="85"/>
      <c r="C707" s="85"/>
      <c r="D707" s="86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83"/>
      <c r="Z707" s="168"/>
    </row>
    <row r="708" spans="1:26" s="74" customFormat="1" x14ac:dyDescent="0.25">
      <c r="A708" s="85"/>
      <c r="B708" s="85"/>
      <c r="C708" s="85"/>
      <c r="D708" s="86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83"/>
      <c r="Z708" s="168"/>
    </row>
    <row r="709" spans="1:26" s="74" customFormat="1" x14ac:dyDescent="0.25">
      <c r="A709" s="85"/>
      <c r="B709" s="85"/>
      <c r="C709" s="85"/>
      <c r="D709" s="86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83"/>
      <c r="Z709" s="168"/>
    </row>
    <row r="710" spans="1:26" s="74" customFormat="1" x14ac:dyDescent="0.25">
      <c r="A710" s="85"/>
      <c r="B710" s="85"/>
      <c r="C710" s="85"/>
      <c r="D710" s="86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83"/>
      <c r="Z710" s="168"/>
    </row>
    <row r="711" spans="1:26" s="74" customFormat="1" x14ac:dyDescent="0.25">
      <c r="A711" s="85"/>
      <c r="B711" s="85"/>
      <c r="C711" s="85"/>
      <c r="D711" s="86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83"/>
      <c r="Z711" s="168"/>
    </row>
    <row r="712" spans="1:26" s="74" customFormat="1" x14ac:dyDescent="0.25">
      <c r="A712" s="85"/>
      <c r="B712" s="85"/>
      <c r="C712" s="85"/>
      <c r="D712" s="86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83"/>
      <c r="Z712" s="168"/>
    </row>
    <row r="713" spans="1:26" s="74" customFormat="1" x14ac:dyDescent="0.25">
      <c r="A713" s="85"/>
      <c r="B713" s="85"/>
      <c r="C713" s="85"/>
      <c r="D713" s="86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83"/>
      <c r="Z713" s="168"/>
    </row>
    <row r="714" spans="1:26" s="74" customFormat="1" x14ac:dyDescent="0.25">
      <c r="A714" s="85"/>
      <c r="B714" s="85"/>
      <c r="C714" s="85"/>
      <c r="D714" s="86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83"/>
      <c r="Z714" s="168"/>
    </row>
    <row r="715" spans="1:26" s="74" customFormat="1" x14ac:dyDescent="0.25">
      <c r="A715" s="85"/>
      <c r="B715" s="85"/>
      <c r="C715" s="85"/>
      <c r="D715" s="86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83"/>
      <c r="Z715" s="168"/>
    </row>
    <row r="716" spans="1:26" s="74" customFormat="1" x14ac:dyDescent="0.25">
      <c r="A716" s="85"/>
      <c r="B716" s="85"/>
      <c r="C716" s="85"/>
      <c r="D716" s="86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83"/>
      <c r="Z716" s="168"/>
    </row>
    <row r="717" spans="1:26" s="74" customFormat="1" x14ac:dyDescent="0.25">
      <c r="A717" s="85"/>
      <c r="B717" s="85"/>
      <c r="C717" s="85"/>
      <c r="D717" s="86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83"/>
      <c r="Z717" s="168"/>
    </row>
    <row r="718" spans="1:26" s="74" customFormat="1" x14ac:dyDescent="0.25">
      <c r="A718" s="85"/>
      <c r="B718" s="85"/>
      <c r="C718" s="85"/>
      <c r="D718" s="86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83"/>
      <c r="Z718" s="168"/>
    </row>
    <row r="719" spans="1:26" s="74" customFormat="1" x14ac:dyDescent="0.25">
      <c r="A719" s="85"/>
      <c r="B719" s="85"/>
      <c r="C719" s="85"/>
      <c r="D719" s="86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83"/>
      <c r="Z719" s="168"/>
    </row>
    <row r="720" spans="1:26" s="74" customFormat="1" x14ac:dyDescent="0.25">
      <c r="A720" s="85"/>
      <c r="B720" s="85"/>
      <c r="C720" s="85"/>
      <c r="D720" s="86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83"/>
      <c r="Z720" s="168"/>
    </row>
    <row r="721" spans="1:26" s="74" customFormat="1" x14ac:dyDescent="0.25">
      <c r="A721" s="85"/>
      <c r="B721" s="85"/>
      <c r="C721" s="85"/>
      <c r="D721" s="86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83"/>
      <c r="Z721" s="168"/>
    </row>
    <row r="722" spans="1:26" s="74" customFormat="1" x14ac:dyDescent="0.25">
      <c r="A722" s="85"/>
      <c r="B722" s="85"/>
      <c r="C722" s="85"/>
      <c r="D722" s="86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83"/>
      <c r="Z722" s="168"/>
    </row>
    <row r="723" spans="1:26" s="74" customFormat="1" x14ac:dyDescent="0.25">
      <c r="A723" s="85"/>
      <c r="B723" s="85"/>
      <c r="C723" s="85"/>
      <c r="D723" s="86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83"/>
      <c r="Z723" s="168"/>
    </row>
    <row r="724" spans="1:26" s="74" customFormat="1" x14ac:dyDescent="0.25">
      <c r="A724" s="85"/>
      <c r="B724" s="85"/>
      <c r="C724" s="85"/>
      <c r="D724" s="86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83"/>
      <c r="Z724" s="168"/>
    </row>
    <row r="725" spans="1:26" s="74" customFormat="1" x14ac:dyDescent="0.25">
      <c r="A725" s="85"/>
      <c r="B725" s="85"/>
      <c r="C725" s="85"/>
      <c r="D725" s="86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83"/>
      <c r="Z725" s="168"/>
    </row>
    <row r="726" spans="1:26" s="74" customFormat="1" x14ac:dyDescent="0.25">
      <c r="A726" s="85"/>
      <c r="B726" s="85"/>
      <c r="C726" s="85"/>
      <c r="D726" s="86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83"/>
      <c r="Z726" s="168"/>
    </row>
    <row r="727" spans="1:26" s="74" customFormat="1" x14ac:dyDescent="0.25">
      <c r="A727" s="85"/>
      <c r="B727" s="85"/>
      <c r="C727" s="85"/>
      <c r="D727" s="86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83"/>
      <c r="Z727" s="168"/>
    </row>
    <row r="728" spans="1:26" s="74" customFormat="1" x14ac:dyDescent="0.25">
      <c r="A728" s="85"/>
      <c r="B728" s="85"/>
      <c r="C728" s="85"/>
      <c r="D728" s="86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83"/>
      <c r="Z728" s="168"/>
    </row>
    <row r="729" spans="1:26" s="74" customFormat="1" x14ac:dyDescent="0.25">
      <c r="A729" s="85"/>
      <c r="B729" s="85"/>
      <c r="C729" s="85"/>
      <c r="D729" s="86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83"/>
      <c r="Z729" s="168"/>
    </row>
    <row r="730" spans="1:26" s="74" customFormat="1" x14ac:dyDescent="0.25">
      <c r="A730" s="85"/>
      <c r="B730" s="85"/>
      <c r="C730" s="85"/>
      <c r="D730" s="86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83"/>
      <c r="Z730" s="168"/>
    </row>
    <row r="731" spans="1:26" s="74" customFormat="1" x14ac:dyDescent="0.25">
      <c r="A731" s="85"/>
      <c r="B731" s="85"/>
      <c r="C731" s="85"/>
      <c r="D731" s="86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83"/>
      <c r="Z731" s="168"/>
    </row>
    <row r="732" spans="1:26" s="74" customFormat="1" x14ac:dyDescent="0.25">
      <c r="A732" s="85"/>
      <c r="B732" s="85"/>
      <c r="C732" s="85"/>
      <c r="D732" s="86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83"/>
      <c r="Z732" s="168"/>
    </row>
    <row r="733" spans="1:26" s="74" customFormat="1" x14ac:dyDescent="0.25">
      <c r="A733" s="85"/>
      <c r="B733" s="85"/>
      <c r="C733" s="85"/>
      <c r="D733" s="86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83"/>
      <c r="Z733" s="168"/>
    </row>
    <row r="734" spans="1:26" s="74" customFormat="1" x14ac:dyDescent="0.25">
      <c r="A734" s="85"/>
      <c r="B734" s="85"/>
      <c r="C734" s="85"/>
      <c r="D734" s="86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83"/>
      <c r="Z734" s="168"/>
    </row>
    <row r="735" spans="1:26" s="74" customFormat="1" x14ac:dyDescent="0.25">
      <c r="A735" s="85"/>
      <c r="B735" s="85"/>
      <c r="C735" s="85"/>
      <c r="D735" s="86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83"/>
      <c r="Z735" s="168"/>
    </row>
    <row r="736" spans="1:26" s="74" customFormat="1" x14ac:dyDescent="0.25">
      <c r="A736" s="85"/>
      <c r="B736" s="85"/>
      <c r="C736" s="85"/>
      <c r="D736" s="86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83"/>
      <c r="Z736" s="168"/>
    </row>
    <row r="737" spans="1:26" s="74" customFormat="1" x14ac:dyDescent="0.25">
      <c r="A737" s="85"/>
      <c r="B737" s="85"/>
      <c r="C737" s="85"/>
      <c r="D737" s="86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83"/>
      <c r="Z737" s="168"/>
    </row>
    <row r="738" spans="1:26" s="74" customFormat="1" x14ac:dyDescent="0.25">
      <c r="A738" s="85"/>
      <c r="B738" s="85"/>
      <c r="C738" s="85"/>
      <c r="D738" s="86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83"/>
      <c r="Z738" s="168"/>
    </row>
    <row r="739" spans="1:26" s="74" customFormat="1" x14ac:dyDescent="0.25">
      <c r="A739" s="85"/>
      <c r="B739" s="85"/>
      <c r="C739" s="85"/>
      <c r="D739" s="86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83"/>
      <c r="Z739" s="168"/>
    </row>
    <row r="740" spans="1:26" s="74" customFormat="1" x14ac:dyDescent="0.25">
      <c r="A740" s="85"/>
      <c r="B740" s="85"/>
      <c r="C740" s="85"/>
      <c r="D740" s="86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83"/>
      <c r="Z740" s="168"/>
    </row>
    <row r="741" spans="1:26" s="74" customFormat="1" x14ac:dyDescent="0.25">
      <c r="A741" s="85"/>
      <c r="B741" s="85"/>
      <c r="C741" s="85"/>
      <c r="D741" s="86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83"/>
      <c r="Z741" s="168"/>
    </row>
    <row r="742" spans="1:26" s="74" customFormat="1" x14ac:dyDescent="0.25">
      <c r="A742" s="85"/>
      <c r="B742" s="85"/>
      <c r="C742" s="85"/>
      <c r="D742" s="86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83"/>
      <c r="Z742" s="168"/>
    </row>
    <row r="743" spans="1:26" s="74" customFormat="1" x14ac:dyDescent="0.25">
      <c r="A743" s="85"/>
      <c r="B743" s="85"/>
      <c r="C743" s="85"/>
      <c r="D743" s="86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83"/>
      <c r="Z743" s="168"/>
    </row>
    <row r="744" spans="1:26" s="74" customFormat="1" x14ac:dyDescent="0.25">
      <c r="A744" s="85"/>
      <c r="B744" s="85"/>
      <c r="C744" s="85"/>
      <c r="D744" s="86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83"/>
      <c r="Z744" s="168"/>
    </row>
    <row r="745" spans="1:26" s="74" customFormat="1" x14ac:dyDescent="0.25">
      <c r="A745" s="85"/>
      <c r="B745" s="85"/>
      <c r="C745" s="85"/>
      <c r="D745" s="86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83"/>
      <c r="Z745" s="168"/>
    </row>
    <row r="746" spans="1:26" s="74" customFormat="1" x14ac:dyDescent="0.25">
      <c r="A746" s="85"/>
      <c r="B746" s="85"/>
      <c r="C746" s="85"/>
      <c r="D746" s="86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83"/>
      <c r="Z746" s="168"/>
    </row>
    <row r="747" spans="1:26" s="74" customFormat="1" x14ac:dyDescent="0.25">
      <c r="A747" s="85"/>
      <c r="B747" s="85"/>
      <c r="C747" s="85"/>
      <c r="D747" s="86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83"/>
      <c r="Z747" s="168"/>
    </row>
    <row r="748" spans="1:26" s="74" customFormat="1" x14ac:dyDescent="0.25">
      <c r="A748" s="85"/>
      <c r="B748" s="85"/>
      <c r="C748" s="85"/>
      <c r="D748" s="86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83"/>
      <c r="Z748" s="168"/>
    </row>
    <row r="749" spans="1:26" s="74" customFormat="1" x14ac:dyDescent="0.25">
      <c r="A749" s="85"/>
      <c r="B749" s="85"/>
      <c r="C749" s="85"/>
      <c r="D749" s="86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83"/>
      <c r="Z749" s="168"/>
    </row>
    <row r="750" spans="1:26" s="74" customFormat="1" x14ac:dyDescent="0.25">
      <c r="A750" s="85"/>
      <c r="B750" s="85"/>
      <c r="C750" s="85"/>
      <c r="D750" s="86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83"/>
      <c r="Z750" s="168"/>
    </row>
    <row r="751" spans="1:26" s="74" customFormat="1" x14ac:dyDescent="0.25">
      <c r="A751" s="85"/>
      <c r="B751" s="85"/>
      <c r="C751" s="85"/>
      <c r="D751" s="86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83"/>
      <c r="Z751" s="168"/>
    </row>
    <row r="752" spans="1:26" s="74" customFormat="1" x14ac:dyDescent="0.25">
      <c r="A752" s="85"/>
      <c r="B752" s="85"/>
      <c r="C752" s="85"/>
      <c r="D752" s="86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83"/>
      <c r="Z752" s="168"/>
    </row>
    <row r="753" spans="1:26" s="74" customFormat="1" x14ac:dyDescent="0.25">
      <c r="A753" s="85"/>
      <c r="B753" s="85"/>
      <c r="C753" s="85"/>
      <c r="D753" s="86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83"/>
      <c r="Z753" s="168"/>
    </row>
    <row r="754" spans="1:26" s="74" customFormat="1" x14ac:dyDescent="0.25">
      <c r="A754" s="85"/>
      <c r="B754" s="85"/>
      <c r="C754" s="85"/>
      <c r="D754" s="86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83"/>
      <c r="Z754" s="168"/>
    </row>
    <row r="755" spans="1:26" s="74" customFormat="1" x14ac:dyDescent="0.25">
      <c r="A755" s="85"/>
      <c r="B755" s="85"/>
      <c r="C755" s="85"/>
      <c r="D755" s="86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83"/>
      <c r="Z755" s="168"/>
    </row>
    <row r="756" spans="1:26" s="74" customFormat="1" x14ac:dyDescent="0.25">
      <c r="A756" s="85"/>
      <c r="B756" s="85"/>
      <c r="C756" s="85"/>
      <c r="D756" s="86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83"/>
      <c r="Z756" s="168"/>
    </row>
    <row r="757" spans="1:26" s="74" customFormat="1" x14ac:dyDescent="0.25">
      <c r="A757" s="85"/>
      <c r="B757" s="85"/>
      <c r="C757" s="85"/>
      <c r="D757" s="86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83"/>
      <c r="Z757" s="168"/>
    </row>
    <row r="758" spans="1:26" s="74" customFormat="1" x14ac:dyDescent="0.25">
      <c r="A758" s="85"/>
      <c r="B758" s="85"/>
      <c r="C758" s="85"/>
      <c r="D758" s="86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83"/>
      <c r="Z758" s="168"/>
    </row>
    <row r="759" spans="1:26" s="74" customFormat="1" x14ac:dyDescent="0.25">
      <c r="A759" s="85"/>
      <c r="B759" s="85"/>
      <c r="C759" s="85"/>
      <c r="D759" s="86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83"/>
      <c r="Z759" s="168"/>
    </row>
    <row r="760" spans="1:26" s="74" customFormat="1" x14ac:dyDescent="0.25">
      <c r="A760" s="85"/>
      <c r="B760" s="85"/>
      <c r="C760" s="85"/>
      <c r="D760" s="86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83"/>
      <c r="Z760" s="168"/>
    </row>
    <row r="761" spans="1:26" s="74" customFormat="1" x14ac:dyDescent="0.25">
      <c r="A761" s="85"/>
      <c r="B761" s="85"/>
      <c r="C761" s="85"/>
      <c r="D761" s="86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83"/>
      <c r="Z761" s="168"/>
    </row>
    <row r="762" spans="1:26" s="74" customFormat="1" x14ac:dyDescent="0.25">
      <c r="A762" s="85"/>
      <c r="B762" s="85"/>
      <c r="C762" s="85"/>
      <c r="D762" s="86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83"/>
      <c r="Z762" s="168"/>
    </row>
    <row r="763" spans="1:26" s="74" customFormat="1" x14ac:dyDescent="0.25">
      <c r="A763" s="85"/>
      <c r="B763" s="85"/>
      <c r="C763" s="85"/>
      <c r="D763" s="86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83"/>
      <c r="Z763" s="168"/>
    </row>
    <row r="764" spans="1:26" s="74" customFormat="1" x14ac:dyDescent="0.25">
      <c r="A764" s="85"/>
      <c r="B764" s="85"/>
      <c r="C764" s="85"/>
      <c r="D764" s="86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83"/>
      <c r="Z764" s="168"/>
    </row>
    <row r="765" spans="1:26" s="74" customFormat="1" x14ac:dyDescent="0.25">
      <c r="A765" s="85"/>
      <c r="B765" s="85"/>
      <c r="C765" s="85"/>
      <c r="D765" s="86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83"/>
      <c r="Z765" s="168"/>
    </row>
    <row r="766" spans="1:26" s="74" customFormat="1" x14ac:dyDescent="0.25">
      <c r="A766" s="85"/>
      <c r="B766" s="85"/>
      <c r="C766" s="85"/>
      <c r="D766" s="86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83"/>
      <c r="Z766" s="168"/>
    </row>
    <row r="767" spans="1:26" s="74" customFormat="1" x14ac:dyDescent="0.25">
      <c r="A767" s="85"/>
      <c r="B767" s="85"/>
      <c r="C767" s="85"/>
      <c r="D767" s="86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83"/>
      <c r="Z767" s="168"/>
    </row>
    <row r="768" spans="1:26" s="74" customFormat="1" x14ac:dyDescent="0.25">
      <c r="A768" s="85"/>
      <c r="B768" s="85"/>
      <c r="C768" s="85"/>
      <c r="D768" s="86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83"/>
      <c r="Z768" s="168"/>
    </row>
    <row r="769" spans="1:26" s="74" customFormat="1" x14ac:dyDescent="0.25">
      <c r="A769" s="85"/>
      <c r="B769" s="85"/>
      <c r="C769" s="85"/>
      <c r="D769" s="86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83"/>
      <c r="Z769" s="168"/>
    </row>
    <row r="770" spans="1:26" s="74" customFormat="1" x14ac:dyDescent="0.25">
      <c r="A770" s="85"/>
      <c r="B770" s="85"/>
      <c r="C770" s="85"/>
      <c r="D770" s="86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83"/>
      <c r="Z770" s="168"/>
    </row>
    <row r="771" spans="1:26" s="74" customFormat="1" x14ac:dyDescent="0.25">
      <c r="A771" s="85"/>
      <c r="B771" s="85"/>
      <c r="C771" s="85"/>
      <c r="D771" s="86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83"/>
      <c r="Z771" s="168"/>
    </row>
    <row r="772" spans="1:26" s="74" customFormat="1" x14ac:dyDescent="0.25">
      <c r="A772" s="85"/>
      <c r="B772" s="85"/>
      <c r="C772" s="85"/>
      <c r="D772" s="86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83"/>
      <c r="Z772" s="168"/>
    </row>
    <row r="773" spans="1:26" s="74" customFormat="1" x14ac:dyDescent="0.25">
      <c r="A773" s="85"/>
      <c r="B773" s="85"/>
      <c r="C773" s="85"/>
      <c r="D773" s="86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83"/>
      <c r="Z773" s="168"/>
    </row>
    <row r="774" spans="1:26" s="74" customFormat="1" x14ac:dyDescent="0.25">
      <c r="A774" s="85"/>
      <c r="B774" s="85"/>
      <c r="C774" s="85"/>
      <c r="D774" s="86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83"/>
      <c r="Z774" s="168"/>
    </row>
    <row r="775" spans="1:26" s="74" customFormat="1" x14ac:dyDescent="0.25">
      <c r="A775" s="85"/>
      <c r="B775" s="85"/>
      <c r="C775" s="85"/>
      <c r="D775" s="86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83"/>
      <c r="Z775" s="168"/>
    </row>
    <row r="776" spans="1:26" s="74" customFormat="1" x14ac:dyDescent="0.25">
      <c r="A776" s="85"/>
      <c r="B776" s="85"/>
      <c r="C776" s="85"/>
      <c r="D776" s="86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83"/>
      <c r="Z776" s="168"/>
    </row>
    <row r="777" spans="1:26" s="74" customFormat="1" x14ac:dyDescent="0.25">
      <c r="A777" s="85"/>
      <c r="B777" s="85"/>
      <c r="C777" s="85"/>
      <c r="D777" s="86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83"/>
      <c r="Z777" s="168"/>
    </row>
    <row r="778" spans="1:26" s="74" customFormat="1" x14ac:dyDescent="0.25">
      <c r="A778" s="85"/>
      <c r="B778" s="85"/>
      <c r="C778" s="85"/>
      <c r="D778" s="86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83"/>
      <c r="Z778" s="168"/>
    </row>
    <row r="779" spans="1:26" s="74" customFormat="1" x14ac:dyDescent="0.25">
      <c r="A779" s="85"/>
      <c r="B779" s="85"/>
      <c r="C779" s="85"/>
      <c r="D779" s="86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83"/>
      <c r="Z779" s="168"/>
    </row>
    <row r="780" spans="1:26" s="74" customFormat="1" x14ac:dyDescent="0.25">
      <c r="A780" s="85"/>
      <c r="B780" s="85"/>
      <c r="C780" s="85"/>
      <c r="D780" s="86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83"/>
      <c r="Z780" s="168"/>
    </row>
    <row r="781" spans="1:26" s="74" customFormat="1" x14ac:dyDescent="0.25">
      <c r="A781" s="85"/>
      <c r="B781" s="85"/>
      <c r="C781" s="85"/>
      <c r="D781" s="86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83"/>
      <c r="Z781" s="168"/>
    </row>
    <row r="782" spans="1:26" s="74" customFormat="1" x14ac:dyDescent="0.25">
      <c r="A782" s="85"/>
      <c r="B782" s="85"/>
      <c r="C782" s="85"/>
      <c r="D782" s="86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83"/>
      <c r="Z782" s="168"/>
    </row>
    <row r="783" spans="1:26" s="74" customFormat="1" x14ac:dyDescent="0.25">
      <c r="A783" s="85"/>
      <c r="B783" s="85"/>
      <c r="C783" s="85"/>
      <c r="D783" s="86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83"/>
      <c r="Z783" s="168"/>
    </row>
    <row r="784" spans="1:26" s="74" customFormat="1" x14ac:dyDescent="0.25">
      <c r="A784" s="85"/>
      <c r="B784" s="85"/>
      <c r="C784" s="85"/>
      <c r="D784" s="86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83"/>
      <c r="Z784" s="168"/>
    </row>
    <row r="785" spans="1:26" s="74" customFormat="1" x14ac:dyDescent="0.25">
      <c r="A785" s="85"/>
      <c r="B785" s="85"/>
      <c r="C785" s="85"/>
      <c r="D785" s="86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83"/>
      <c r="Z785" s="168"/>
    </row>
    <row r="786" spans="1:26" s="74" customFormat="1" x14ac:dyDescent="0.25">
      <c r="A786" s="85"/>
      <c r="B786" s="85"/>
      <c r="C786" s="85"/>
      <c r="D786" s="86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83"/>
      <c r="Z786" s="168"/>
    </row>
    <row r="787" spans="1:26" s="74" customFormat="1" x14ac:dyDescent="0.25">
      <c r="A787" s="85"/>
      <c r="B787" s="85"/>
      <c r="C787" s="85"/>
      <c r="D787" s="86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83"/>
      <c r="Z787" s="168"/>
    </row>
    <row r="788" spans="1:26" s="74" customFormat="1" x14ac:dyDescent="0.25">
      <c r="A788" s="85"/>
      <c r="B788" s="85"/>
      <c r="C788" s="85"/>
      <c r="D788" s="86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83"/>
      <c r="Z788" s="168"/>
    </row>
    <row r="789" spans="1:26" s="74" customFormat="1" x14ac:dyDescent="0.25">
      <c r="A789" s="85"/>
      <c r="B789" s="85"/>
      <c r="C789" s="85"/>
      <c r="D789" s="86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83"/>
      <c r="Z789" s="168"/>
    </row>
    <row r="790" spans="1:26" s="74" customFormat="1" x14ac:dyDescent="0.25">
      <c r="A790" s="85"/>
      <c r="B790" s="85"/>
      <c r="C790" s="85"/>
      <c r="D790" s="86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83"/>
      <c r="Z790" s="168"/>
    </row>
    <row r="791" spans="1:26" s="74" customFormat="1" x14ac:dyDescent="0.25">
      <c r="A791" s="85"/>
      <c r="B791" s="85"/>
      <c r="C791" s="85"/>
      <c r="D791" s="86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83"/>
      <c r="Z791" s="168"/>
    </row>
    <row r="792" spans="1:26" s="74" customFormat="1" x14ac:dyDescent="0.25">
      <c r="A792" s="85"/>
      <c r="B792" s="85"/>
      <c r="C792" s="85"/>
      <c r="D792" s="86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83"/>
      <c r="Z792" s="168"/>
    </row>
    <row r="793" spans="1:26" s="74" customFormat="1" x14ac:dyDescent="0.25">
      <c r="A793" s="85"/>
      <c r="B793" s="85"/>
      <c r="C793" s="85"/>
      <c r="D793" s="86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83"/>
      <c r="Z793" s="168"/>
    </row>
    <row r="794" spans="1:26" s="74" customFormat="1" x14ac:dyDescent="0.25">
      <c r="A794" s="85"/>
      <c r="B794" s="85"/>
      <c r="C794" s="85"/>
      <c r="D794" s="86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83"/>
      <c r="Z794" s="168"/>
    </row>
    <row r="795" spans="1:26" s="74" customFormat="1" x14ac:dyDescent="0.25">
      <c r="A795" s="85"/>
      <c r="B795" s="85"/>
      <c r="C795" s="85"/>
      <c r="D795" s="86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83"/>
      <c r="Z795" s="168"/>
    </row>
    <row r="796" spans="1:26" s="74" customFormat="1" x14ac:dyDescent="0.25">
      <c r="A796" s="85"/>
      <c r="B796" s="85"/>
      <c r="C796" s="85"/>
      <c r="D796" s="86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83"/>
      <c r="Z796" s="168"/>
    </row>
    <row r="797" spans="1:26" s="74" customFormat="1" x14ac:dyDescent="0.25">
      <c r="A797" s="85"/>
      <c r="B797" s="85"/>
      <c r="C797" s="85"/>
      <c r="D797" s="86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83"/>
      <c r="Z797" s="168"/>
    </row>
    <row r="798" spans="1:26" s="74" customFormat="1" x14ac:dyDescent="0.25">
      <c r="A798" s="85"/>
      <c r="B798" s="85"/>
      <c r="C798" s="85"/>
      <c r="D798" s="86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83"/>
      <c r="Z798" s="168"/>
    </row>
    <row r="799" spans="1:26" s="74" customFormat="1" x14ac:dyDescent="0.25">
      <c r="A799" s="85"/>
      <c r="B799" s="85"/>
      <c r="C799" s="85"/>
      <c r="D799" s="86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83"/>
      <c r="Z799" s="168"/>
    </row>
    <row r="800" spans="1:26" s="74" customFormat="1" x14ac:dyDescent="0.25">
      <c r="A800" s="85"/>
      <c r="B800" s="85"/>
      <c r="C800" s="85"/>
      <c r="D800" s="86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83"/>
      <c r="Z800" s="168"/>
    </row>
    <row r="801" spans="1:26" s="74" customFormat="1" x14ac:dyDescent="0.25">
      <c r="A801" s="85"/>
      <c r="B801" s="85"/>
      <c r="C801" s="85"/>
      <c r="D801" s="86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83"/>
      <c r="Z801" s="168"/>
    </row>
    <row r="802" spans="1:26" s="74" customFormat="1" x14ac:dyDescent="0.25">
      <c r="A802" s="85"/>
      <c r="B802" s="85"/>
      <c r="C802" s="85"/>
      <c r="D802" s="86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83"/>
      <c r="Z802" s="168"/>
    </row>
    <row r="803" spans="1:26" s="74" customFormat="1" x14ac:dyDescent="0.25">
      <c r="A803" s="85"/>
      <c r="B803" s="85"/>
      <c r="C803" s="85"/>
      <c r="D803" s="86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83"/>
      <c r="Z803" s="168"/>
    </row>
    <row r="804" spans="1:26" s="74" customFormat="1" x14ac:dyDescent="0.25">
      <c r="A804" s="85"/>
      <c r="B804" s="85"/>
      <c r="C804" s="85"/>
      <c r="D804" s="86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83"/>
      <c r="Z804" s="168"/>
    </row>
    <row r="805" spans="1:26" s="74" customFormat="1" x14ac:dyDescent="0.25">
      <c r="A805" s="85"/>
      <c r="B805" s="85"/>
      <c r="C805" s="85"/>
      <c r="D805" s="86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83"/>
      <c r="Z805" s="168"/>
    </row>
    <row r="806" spans="1:26" s="74" customFormat="1" x14ac:dyDescent="0.25">
      <c r="A806" s="85"/>
      <c r="B806" s="85"/>
      <c r="C806" s="85"/>
      <c r="D806" s="86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83"/>
      <c r="Z806" s="168"/>
    </row>
    <row r="807" spans="1:26" s="74" customFormat="1" x14ac:dyDescent="0.25">
      <c r="A807" s="85"/>
      <c r="B807" s="85"/>
      <c r="C807" s="85"/>
      <c r="D807" s="86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83"/>
      <c r="Z807" s="168"/>
    </row>
    <row r="808" spans="1:26" s="74" customFormat="1" x14ac:dyDescent="0.25">
      <c r="A808" s="85"/>
      <c r="B808" s="85"/>
      <c r="C808" s="85"/>
      <c r="D808" s="86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83"/>
      <c r="Z808" s="168"/>
    </row>
    <row r="809" spans="1:26" s="74" customFormat="1" x14ac:dyDescent="0.25">
      <c r="A809" s="85"/>
      <c r="B809" s="85"/>
      <c r="C809" s="85"/>
      <c r="D809" s="86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83"/>
      <c r="Z809" s="168"/>
    </row>
    <row r="810" spans="1:26" s="74" customFormat="1" x14ac:dyDescent="0.25">
      <c r="A810" s="85"/>
      <c r="B810" s="85"/>
      <c r="C810" s="85"/>
      <c r="D810" s="86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83"/>
      <c r="Z810" s="168"/>
    </row>
    <row r="811" spans="1:26" s="74" customFormat="1" x14ac:dyDescent="0.25">
      <c r="A811" s="85"/>
      <c r="B811" s="85"/>
      <c r="C811" s="85"/>
      <c r="D811" s="86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83"/>
      <c r="Z811" s="168"/>
    </row>
    <row r="812" spans="1:26" s="74" customFormat="1" x14ac:dyDescent="0.25">
      <c r="A812" s="85"/>
      <c r="B812" s="85"/>
      <c r="C812" s="85"/>
      <c r="D812" s="86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83"/>
      <c r="Z812" s="168"/>
    </row>
    <row r="813" spans="1:26" s="74" customFormat="1" x14ac:dyDescent="0.25">
      <c r="A813" s="85"/>
      <c r="B813" s="85"/>
      <c r="C813" s="85"/>
      <c r="D813" s="86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83"/>
      <c r="Z813" s="168"/>
    </row>
    <row r="814" spans="1:26" s="74" customFormat="1" x14ac:dyDescent="0.25">
      <c r="A814" s="85"/>
      <c r="B814" s="85"/>
      <c r="C814" s="85"/>
      <c r="D814" s="86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83"/>
      <c r="Z814" s="168"/>
    </row>
    <row r="815" spans="1:26" s="74" customFormat="1" x14ac:dyDescent="0.25">
      <c r="A815" s="85"/>
      <c r="B815" s="85"/>
      <c r="C815" s="85"/>
      <c r="D815" s="86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83"/>
      <c r="Z815" s="168"/>
    </row>
    <row r="816" spans="1:26" s="74" customFormat="1" x14ac:dyDescent="0.25">
      <c r="A816" s="85"/>
      <c r="B816" s="85"/>
      <c r="C816" s="85"/>
      <c r="D816" s="86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83"/>
      <c r="Z816" s="168"/>
    </row>
    <row r="817" spans="1:26" s="74" customFormat="1" x14ac:dyDescent="0.25">
      <c r="A817" s="85"/>
      <c r="B817" s="85"/>
      <c r="C817" s="85"/>
      <c r="D817" s="86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83"/>
      <c r="Z817" s="168"/>
    </row>
    <row r="818" spans="1:26" s="74" customFormat="1" x14ac:dyDescent="0.25">
      <c r="A818" s="85"/>
      <c r="B818" s="85"/>
      <c r="C818" s="85"/>
      <c r="D818" s="86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83"/>
      <c r="Z818" s="168"/>
    </row>
    <row r="819" spans="1:26" s="74" customFormat="1" x14ac:dyDescent="0.25">
      <c r="A819" s="85"/>
      <c r="B819" s="85"/>
      <c r="C819" s="85"/>
      <c r="D819" s="86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83"/>
      <c r="Z819" s="168"/>
    </row>
    <row r="820" spans="1:26" s="74" customFormat="1" x14ac:dyDescent="0.25">
      <c r="A820" s="85"/>
      <c r="B820" s="85"/>
      <c r="C820" s="85"/>
      <c r="D820" s="86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83"/>
      <c r="Z820" s="168"/>
    </row>
    <row r="821" spans="1:26" s="74" customFormat="1" x14ac:dyDescent="0.25">
      <c r="A821" s="85"/>
      <c r="B821" s="85"/>
      <c r="C821" s="85"/>
      <c r="D821" s="86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83"/>
      <c r="Z821" s="168"/>
    </row>
    <row r="822" spans="1:26" s="74" customFormat="1" x14ac:dyDescent="0.25">
      <c r="A822" s="85"/>
      <c r="B822" s="85"/>
      <c r="C822" s="85"/>
      <c r="D822" s="86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83"/>
      <c r="Z822" s="168"/>
    </row>
    <row r="823" spans="1:26" s="74" customFormat="1" x14ac:dyDescent="0.25">
      <c r="A823" s="85"/>
      <c r="B823" s="85"/>
      <c r="C823" s="85"/>
      <c r="D823" s="86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83"/>
      <c r="Z823" s="168"/>
    </row>
    <row r="824" spans="1:26" s="74" customFormat="1" x14ac:dyDescent="0.25">
      <c r="A824" s="85"/>
      <c r="B824" s="85"/>
      <c r="C824" s="85"/>
      <c r="D824" s="86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83"/>
      <c r="Z824" s="168"/>
    </row>
    <row r="825" spans="1:26" s="74" customFormat="1" x14ac:dyDescent="0.25">
      <c r="A825" s="85"/>
      <c r="B825" s="85"/>
      <c r="C825" s="85"/>
      <c r="D825" s="86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83"/>
      <c r="Z825" s="168"/>
    </row>
    <row r="826" spans="1:26" s="74" customFormat="1" x14ac:dyDescent="0.25">
      <c r="A826" s="85"/>
      <c r="B826" s="85"/>
      <c r="C826" s="85"/>
      <c r="D826" s="86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83"/>
      <c r="Z826" s="168"/>
    </row>
    <row r="827" spans="1:26" s="74" customFormat="1" x14ac:dyDescent="0.25">
      <c r="A827" s="85"/>
      <c r="B827" s="85"/>
      <c r="C827" s="85"/>
      <c r="D827" s="86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83"/>
      <c r="Z827" s="168"/>
    </row>
    <row r="828" spans="1:26" s="74" customFormat="1" x14ac:dyDescent="0.25">
      <c r="A828" s="85"/>
      <c r="B828" s="85"/>
      <c r="C828" s="85"/>
      <c r="D828" s="86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83"/>
      <c r="Z828" s="168"/>
    </row>
    <row r="829" spans="1:26" s="74" customFormat="1" x14ac:dyDescent="0.25">
      <c r="A829" s="85"/>
      <c r="B829" s="85"/>
      <c r="C829" s="85"/>
      <c r="D829" s="86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83"/>
      <c r="Z829" s="168"/>
    </row>
    <row r="830" spans="1:26" s="74" customFormat="1" x14ac:dyDescent="0.25">
      <c r="A830" s="85"/>
      <c r="B830" s="85"/>
      <c r="C830" s="85"/>
      <c r="D830" s="86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83"/>
      <c r="Z830" s="168"/>
    </row>
    <row r="831" spans="1:26" s="74" customFormat="1" x14ac:dyDescent="0.25">
      <c r="A831" s="85"/>
      <c r="B831" s="85"/>
      <c r="C831" s="85"/>
      <c r="D831" s="86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83"/>
      <c r="Z831" s="168"/>
    </row>
    <row r="832" spans="1:26" s="74" customFormat="1" x14ac:dyDescent="0.25">
      <c r="A832" s="85"/>
      <c r="B832" s="85"/>
      <c r="C832" s="85"/>
      <c r="D832" s="86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83"/>
      <c r="Z832" s="168"/>
    </row>
    <row r="833" spans="1:26" s="74" customFormat="1" x14ac:dyDescent="0.25">
      <c r="A833" s="85"/>
      <c r="B833" s="85"/>
      <c r="C833" s="85"/>
      <c r="D833" s="86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83"/>
      <c r="Z833" s="168"/>
    </row>
    <row r="834" spans="1:26" s="74" customFormat="1" x14ac:dyDescent="0.25">
      <c r="A834" s="85"/>
      <c r="B834" s="85"/>
      <c r="C834" s="85"/>
      <c r="D834" s="86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83"/>
      <c r="Z834" s="168"/>
    </row>
    <row r="835" spans="1:26" s="74" customFormat="1" x14ac:dyDescent="0.25">
      <c r="A835" s="85"/>
      <c r="B835" s="85"/>
      <c r="C835" s="85"/>
      <c r="D835" s="86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83"/>
      <c r="Z835" s="168"/>
    </row>
    <row r="836" spans="1:26" s="74" customFormat="1" x14ac:dyDescent="0.25">
      <c r="A836" s="85"/>
      <c r="B836" s="85"/>
      <c r="C836" s="85"/>
      <c r="D836" s="86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83"/>
      <c r="Z836" s="168"/>
    </row>
    <row r="837" spans="1:26" s="74" customFormat="1" x14ac:dyDescent="0.25">
      <c r="A837" s="85"/>
      <c r="B837" s="85"/>
      <c r="C837" s="85"/>
      <c r="D837" s="86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83"/>
      <c r="Z837" s="168"/>
    </row>
    <row r="838" spans="1:26" s="74" customFormat="1" x14ac:dyDescent="0.25">
      <c r="A838" s="85"/>
      <c r="B838" s="85"/>
      <c r="C838" s="85"/>
      <c r="D838" s="86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83"/>
      <c r="Z838" s="168"/>
    </row>
    <row r="839" spans="1:26" s="74" customFormat="1" x14ac:dyDescent="0.25">
      <c r="A839" s="85"/>
      <c r="B839" s="85"/>
      <c r="C839" s="85"/>
      <c r="D839" s="86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83"/>
      <c r="Z839" s="168"/>
    </row>
    <row r="840" spans="1:26" s="74" customFormat="1" x14ac:dyDescent="0.25">
      <c r="A840" s="85"/>
      <c r="B840" s="85"/>
      <c r="C840" s="85"/>
      <c r="D840" s="86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83"/>
      <c r="Z840" s="168"/>
    </row>
    <row r="841" spans="1:26" s="74" customFormat="1" x14ac:dyDescent="0.25">
      <c r="A841" s="85"/>
      <c r="B841" s="85"/>
      <c r="C841" s="85"/>
      <c r="D841" s="86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83"/>
      <c r="Z841" s="168"/>
    </row>
    <row r="842" spans="1:26" s="74" customFormat="1" x14ac:dyDescent="0.25">
      <c r="A842" s="85"/>
      <c r="B842" s="85"/>
      <c r="C842" s="85"/>
      <c r="D842" s="86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83"/>
      <c r="Z842" s="168"/>
    </row>
    <row r="843" spans="1:26" s="74" customFormat="1" x14ac:dyDescent="0.25">
      <c r="A843" s="85"/>
      <c r="B843" s="85"/>
      <c r="C843" s="85"/>
      <c r="D843" s="86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83"/>
      <c r="Z843" s="168"/>
    </row>
    <row r="844" spans="1:26" s="74" customFormat="1" x14ac:dyDescent="0.25">
      <c r="A844" s="85"/>
      <c r="B844" s="85"/>
      <c r="C844" s="85"/>
      <c r="D844" s="86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83"/>
      <c r="Z844" s="168"/>
    </row>
    <row r="845" spans="1:26" s="74" customFormat="1" x14ac:dyDescent="0.25">
      <c r="A845" s="85"/>
      <c r="B845" s="85"/>
      <c r="C845" s="85"/>
      <c r="D845" s="86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83"/>
      <c r="Z845" s="168"/>
    </row>
    <row r="846" spans="1:26" s="74" customFormat="1" x14ac:dyDescent="0.25">
      <c r="A846" s="85"/>
      <c r="B846" s="85"/>
      <c r="C846" s="85"/>
      <c r="D846" s="86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83"/>
      <c r="Z846" s="168"/>
    </row>
    <row r="847" spans="1:26" s="74" customFormat="1" x14ac:dyDescent="0.25">
      <c r="A847" s="85"/>
      <c r="B847" s="85"/>
      <c r="C847" s="85"/>
      <c r="D847" s="86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83"/>
      <c r="Z847" s="168"/>
    </row>
    <row r="848" spans="1:26" s="74" customFormat="1" x14ac:dyDescent="0.25">
      <c r="A848" s="85"/>
      <c r="B848" s="85"/>
      <c r="C848" s="85"/>
      <c r="D848" s="86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83"/>
      <c r="Z848" s="168"/>
    </row>
    <row r="849" spans="1:26" s="74" customFormat="1" x14ac:dyDescent="0.25">
      <c r="A849" s="85"/>
      <c r="B849" s="85"/>
      <c r="C849" s="85"/>
      <c r="D849" s="86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83"/>
      <c r="Z849" s="168"/>
    </row>
    <row r="850" spans="1:26" s="74" customFormat="1" x14ac:dyDescent="0.25">
      <c r="A850" s="85"/>
      <c r="B850" s="85"/>
      <c r="C850" s="85"/>
      <c r="D850" s="86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83"/>
      <c r="Z850" s="168"/>
    </row>
    <row r="851" spans="1:26" s="74" customFormat="1" x14ac:dyDescent="0.25">
      <c r="A851" s="85"/>
      <c r="B851" s="85"/>
      <c r="C851" s="85"/>
      <c r="D851" s="86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83"/>
      <c r="Z851" s="168"/>
    </row>
    <row r="852" spans="1:26" s="74" customFormat="1" x14ac:dyDescent="0.25">
      <c r="A852" s="85"/>
      <c r="B852" s="85"/>
      <c r="C852" s="85"/>
      <c r="D852" s="86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83"/>
      <c r="Z852" s="168"/>
    </row>
    <row r="853" spans="1:26" s="74" customFormat="1" x14ac:dyDescent="0.25">
      <c r="A853" s="85"/>
      <c r="B853" s="85"/>
      <c r="C853" s="85"/>
      <c r="D853" s="86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83"/>
      <c r="Z853" s="168"/>
    </row>
    <row r="854" spans="1:26" s="74" customFormat="1" x14ac:dyDescent="0.25">
      <c r="A854" s="85"/>
      <c r="B854" s="85"/>
      <c r="C854" s="85"/>
      <c r="D854" s="86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83"/>
      <c r="Z854" s="168"/>
    </row>
    <row r="855" spans="1:26" s="74" customFormat="1" x14ac:dyDescent="0.25">
      <c r="A855" s="85"/>
      <c r="B855" s="85"/>
      <c r="C855" s="85"/>
      <c r="D855" s="86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83"/>
      <c r="Z855" s="168"/>
    </row>
    <row r="856" spans="1:26" s="74" customFormat="1" x14ac:dyDescent="0.25">
      <c r="A856" s="85"/>
      <c r="B856" s="85"/>
      <c r="C856" s="85"/>
      <c r="D856" s="86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83"/>
      <c r="Z856" s="168"/>
    </row>
    <row r="857" spans="1:26" s="74" customFormat="1" x14ac:dyDescent="0.25">
      <c r="A857" s="85"/>
      <c r="B857" s="85"/>
      <c r="C857" s="85"/>
      <c r="D857" s="86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83"/>
      <c r="Z857" s="168"/>
    </row>
    <row r="858" spans="1:26" s="74" customFormat="1" x14ac:dyDescent="0.25">
      <c r="A858" s="85"/>
      <c r="B858" s="85"/>
      <c r="C858" s="85"/>
      <c r="D858" s="86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83"/>
      <c r="Z858" s="168"/>
    </row>
    <row r="859" spans="1:26" s="74" customFormat="1" x14ac:dyDescent="0.25">
      <c r="A859" s="85"/>
      <c r="B859" s="85"/>
      <c r="C859" s="85"/>
      <c r="D859" s="86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83"/>
      <c r="Z859" s="168"/>
    </row>
    <row r="860" spans="1:26" s="74" customFormat="1" x14ac:dyDescent="0.25">
      <c r="A860" s="85"/>
      <c r="B860" s="85"/>
      <c r="C860" s="85"/>
      <c r="D860" s="86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83"/>
      <c r="Z860" s="168"/>
    </row>
    <row r="861" spans="1:26" s="74" customFormat="1" x14ac:dyDescent="0.25">
      <c r="A861" s="85"/>
      <c r="B861" s="85"/>
      <c r="C861" s="85"/>
      <c r="D861" s="86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83"/>
      <c r="Z861" s="168"/>
    </row>
    <row r="862" spans="1:26" s="74" customFormat="1" x14ac:dyDescent="0.25">
      <c r="A862" s="85"/>
      <c r="B862" s="85"/>
      <c r="C862" s="85"/>
      <c r="D862" s="86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83"/>
      <c r="Z862" s="168"/>
    </row>
    <row r="863" spans="1:26" s="74" customFormat="1" x14ac:dyDescent="0.25">
      <c r="A863" s="85"/>
      <c r="B863" s="85"/>
      <c r="C863" s="85"/>
      <c r="D863" s="86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83"/>
      <c r="Z863" s="168"/>
    </row>
    <row r="864" spans="1:26" s="74" customFormat="1" x14ac:dyDescent="0.25">
      <c r="A864" s="85"/>
      <c r="B864" s="85"/>
      <c r="C864" s="85"/>
      <c r="D864" s="86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83"/>
      <c r="Z864" s="168"/>
    </row>
    <row r="865" spans="1:26" s="74" customFormat="1" x14ac:dyDescent="0.25">
      <c r="A865" s="85"/>
      <c r="B865" s="85"/>
      <c r="C865" s="85"/>
      <c r="D865" s="86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83"/>
      <c r="Z865" s="168"/>
    </row>
  </sheetData>
  <mergeCells count="39">
    <mergeCell ref="E9:G9"/>
    <mergeCell ref="A323:E323"/>
    <mergeCell ref="A324:D324"/>
    <mergeCell ref="H10:H11"/>
    <mergeCell ref="N10:N11"/>
    <mergeCell ref="K8:K11"/>
    <mergeCell ref="H9:J9"/>
    <mergeCell ref="I10:J10"/>
    <mergeCell ref="U10:V10"/>
    <mergeCell ref="W10:W11"/>
    <mergeCell ref="R9:W9"/>
    <mergeCell ref="L8:W8"/>
    <mergeCell ref="R10:R11"/>
    <mergeCell ref="S10:S11"/>
    <mergeCell ref="T10:T11"/>
    <mergeCell ref="M3:Q3"/>
    <mergeCell ref="A6:Y6"/>
    <mergeCell ref="A8:A11"/>
    <mergeCell ref="E10:E11"/>
    <mergeCell ref="O10:P10"/>
    <mergeCell ref="D8:D11"/>
    <mergeCell ref="C8:C11"/>
    <mergeCell ref="B8:B11"/>
    <mergeCell ref="M10:M11"/>
    <mergeCell ref="L10:L11"/>
    <mergeCell ref="F10:G10"/>
    <mergeCell ref="E8:J8"/>
    <mergeCell ref="L9:Q9"/>
    <mergeCell ref="Y8:Y11"/>
    <mergeCell ref="Q10:Q11"/>
    <mergeCell ref="X8:X11"/>
    <mergeCell ref="Z214:Z265"/>
    <mergeCell ref="Z266:Z310"/>
    <mergeCell ref="Z311:Z327"/>
    <mergeCell ref="Z1:Z46"/>
    <mergeCell ref="Z47:Z99"/>
    <mergeCell ref="Z100:Z148"/>
    <mergeCell ref="Z149:Z176"/>
    <mergeCell ref="Z177:Z213"/>
  </mergeCells>
  <phoneticPr fontId="2" type="noConversion"/>
  <printOptions horizontalCentered="1"/>
  <pageMargins left="0.15748031496062992" right="7.874015748031496E-2" top="0.78740157480314965" bottom="0.35433070866141736" header="0.51181102362204722" footer="0.19685039370078741"/>
  <pageSetup paperSize="9" scale="34" fitToHeight="8" orientation="landscape" useFirstPageNumber="1" r:id="rId1"/>
  <headerFooter differentFirst="1" scaleWithDoc="0" alignWithMargins="0">
    <oddHeader>&amp;RПродовження додатку 2</oddHeader>
  </headerFooter>
  <rowBreaks count="1" manualBreakCount="1">
    <brk id="274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567"/>
  <sheetViews>
    <sheetView showGridLines="0" showZeros="0" tabSelected="1" view="pageBreakPreview" topLeftCell="J1" zoomScale="71" zoomScaleNormal="80" zoomScaleSheetLayoutView="71" workbookViewId="0">
      <selection activeCell="R4" sqref="R4"/>
    </sheetView>
  </sheetViews>
  <sheetFormatPr defaultColWidth="9.1640625" defaultRowHeight="23.25" x14ac:dyDescent="0.35"/>
  <cols>
    <col min="1" max="1" width="19.1640625" style="3" customWidth="1"/>
    <col min="2" max="2" width="20.5" style="1" customWidth="1"/>
    <col min="3" max="3" width="65.6640625" style="17" customWidth="1"/>
    <col min="4" max="4" width="21" style="2" customWidth="1"/>
    <col min="5" max="5" width="18.83203125" style="2" customWidth="1"/>
    <col min="6" max="6" width="19" style="2" customWidth="1"/>
    <col min="7" max="7" width="21.1640625" style="2" customWidth="1"/>
    <col min="8" max="8" width="19" style="2" customWidth="1"/>
    <col min="9" max="9" width="18.83203125" style="2" customWidth="1"/>
    <col min="10" max="10" width="11.33203125" style="2" customWidth="1"/>
    <col min="11" max="11" width="20" style="2" customWidth="1"/>
    <col min="12" max="12" width="19.33203125" style="2" customWidth="1"/>
    <col min="13" max="13" width="18.33203125" style="2" customWidth="1"/>
    <col min="14" max="14" width="16.1640625" style="2" customWidth="1"/>
    <col min="15" max="15" width="16" style="2" customWidth="1"/>
    <col min="16" max="16" width="18.1640625" style="2" customWidth="1"/>
    <col min="17" max="17" width="18.83203125" style="2" customWidth="1"/>
    <col min="18" max="18" width="19" style="2" customWidth="1"/>
    <col min="19" max="19" width="18.6640625" style="2" customWidth="1"/>
    <col min="20" max="20" width="15.83203125" style="2" customWidth="1"/>
    <col min="21" max="21" width="16" style="2" customWidth="1"/>
    <col min="22" max="22" width="18.1640625" style="2" customWidth="1"/>
    <col min="23" max="23" width="11.5" style="2" customWidth="1"/>
    <col min="24" max="24" width="21.1640625" style="2" customWidth="1"/>
    <col min="25" max="25" width="5.5" style="171" customWidth="1"/>
    <col min="26" max="26" width="20" style="2" customWidth="1"/>
    <col min="27" max="16384" width="9.1640625" style="2"/>
  </cols>
  <sheetData>
    <row r="1" spans="1:26" ht="26.25" customHeight="1" x14ac:dyDescent="0.25">
      <c r="A1" s="9"/>
      <c r="L1" s="134"/>
      <c r="M1" s="134"/>
      <c r="N1" s="134"/>
      <c r="O1" s="134"/>
      <c r="P1" s="134"/>
      <c r="Q1" s="134"/>
      <c r="R1" s="217" t="s">
        <v>611</v>
      </c>
      <c r="S1" s="217"/>
      <c r="T1" s="217"/>
      <c r="U1" s="136"/>
      <c r="V1" s="136"/>
      <c r="W1" s="136"/>
      <c r="X1" s="156"/>
      <c r="Y1" s="218">
        <v>18</v>
      </c>
    </row>
    <row r="2" spans="1:26" ht="26.25" customHeight="1" x14ac:dyDescent="0.45">
      <c r="A2" s="9"/>
      <c r="L2" s="125"/>
      <c r="M2" s="126"/>
      <c r="N2" s="125"/>
      <c r="O2" s="125"/>
      <c r="P2" s="125"/>
      <c r="Q2" s="125"/>
      <c r="R2" s="137" t="s">
        <v>605</v>
      </c>
      <c r="S2" s="138"/>
      <c r="T2" s="137"/>
      <c r="U2" s="137"/>
      <c r="V2" s="137"/>
      <c r="W2" s="137"/>
      <c r="X2" s="73"/>
      <c r="Y2" s="218"/>
    </row>
    <row r="3" spans="1:26" ht="26.25" customHeight="1" x14ac:dyDescent="0.45">
      <c r="A3" s="9"/>
      <c r="L3" s="190"/>
      <c r="M3" s="190"/>
      <c r="N3" s="190"/>
      <c r="O3" s="190"/>
      <c r="P3" s="190"/>
      <c r="Q3" s="154"/>
      <c r="R3" s="138" t="s">
        <v>616</v>
      </c>
      <c r="S3" s="139"/>
      <c r="T3" s="139"/>
      <c r="U3" s="139"/>
      <c r="V3" s="139"/>
      <c r="W3" s="139"/>
      <c r="X3" s="112"/>
      <c r="Y3" s="218"/>
    </row>
    <row r="4" spans="1:26" ht="26.25" customHeight="1" x14ac:dyDescent="0.4">
      <c r="A4" s="9"/>
      <c r="L4" s="126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56"/>
      <c r="Y4" s="218"/>
    </row>
    <row r="5" spans="1:26" ht="15.75" x14ac:dyDescent="0.25">
      <c r="A5" s="9"/>
      <c r="Y5" s="218"/>
    </row>
    <row r="6" spans="1:26" ht="37.5" x14ac:dyDescent="0.25">
      <c r="A6" s="216" t="s">
        <v>615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8"/>
    </row>
    <row r="7" spans="1:26" s="37" customFormat="1" ht="24" customHeight="1" x14ac:dyDescent="0.4">
      <c r="A7" s="34"/>
      <c r="B7" s="35"/>
      <c r="C7" s="36"/>
      <c r="X7" s="173" t="s">
        <v>301</v>
      </c>
      <c r="Y7" s="218"/>
    </row>
    <row r="8" spans="1:26" s="12" customFormat="1" ht="21.75" customHeight="1" x14ac:dyDescent="0.25">
      <c r="A8" s="206" t="s">
        <v>555</v>
      </c>
      <c r="B8" s="206" t="s">
        <v>556</v>
      </c>
      <c r="C8" s="206" t="s">
        <v>559</v>
      </c>
      <c r="D8" s="213" t="s">
        <v>612</v>
      </c>
      <c r="E8" s="214"/>
      <c r="F8" s="214"/>
      <c r="G8" s="214"/>
      <c r="H8" s="214"/>
      <c r="I8" s="215"/>
      <c r="J8" s="200" t="s">
        <v>609</v>
      </c>
      <c r="K8" s="213" t="s">
        <v>613</v>
      </c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5"/>
      <c r="W8" s="200" t="s">
        <v>609</v>
      </c>
      <c r="X8" s="206" t="s">
        <v>295</v>
      </c>
      <c r="Y8" s="218"/>
    </row>
    <row r="9" spans="1:26" s="12" customFormat="1" ht="55.5" customHeight="1" x14ac:dyDescent="0.25">
      <c r="A9" s="206"/>
      <c r="B9" s="206"/>
      <c r="C9" s="206"/>
      <c r="D9" s="199" t="s">
        <v>603</v>
      </c>
      <c r="E9" s="199"/>
      <c r="F9" s="199"/>
      <c r="G9" s="207" t="s">
        <v>604</v>
      </c>
      <c r="H9" s="203"/>
      <c r="I9" s="204"/>
      <c r="J9" s="201"/>
      <c r="K9" s="199" t="s">
        <v>603</v>
      </c>
      <c r="L9" s="199"/>
      <c r="M9" s="199"/>
      <c r="N9" s="199"/>
      <c r="O9" s="199"/>
      <c r="P9" s="199"/>
      <c r="Q9" s="203" t="s">
        <v>604</v>
      </c>
      <c r="R9" s="203"/>
      <c r="S9" s="203"/>
      <c r="T9" s="203"/>
      <c r="U9" s="203"/>
      <c r="V9" s="204"/>
      <c r="W9" s="201"/>
      <c r="X9" s="206"/>
      <c r="Y9" s="218"/>
    </row>
    <row r="10" spans="1:26" s="12" customFormat="1" ht="29.25" customHeight="1" x14ac:dyDescent="0.25">
      <c r="A10" s="206"/>
      <c r="B10" s="206"/>
      <c r="C10" s="206"/>
      <c r="D10" s="206" t="s">
        <v>557</v>
      </c>
      <c r="E10" s="208" t="s">
        <v>297</v>
      </c>
      <c r="F10" s="209"/>
      <c r="G10" s="206" t="s">
        <v>557</v>
      </c>
      <c r="H10" s="208" t="s">
        <v>297</v>
      </c>
      <c r="I10" s="209"/>
      <c r="J10" s="201"/>
      <c r="K10" s="206" t="s">
        <v>557</v>
      </c>
      <c r="L10" s="200" t="s">
        <v>558</v>
      </c>
      <c r="M10" s="206" t="s">
        <v>296</v>
      </c>
      <c r="N10" s="206" t="s">
        <v>297</v>
      </c>
      <c r="O10" s="206"/>
      <c r="P10" s="206" t="s">
        <v>298</v>
      </c>
      <c r="Q10" s="206" t="s">
        <v>557</v>
      </c>
      <c r="R10" s="200" t="s">
        <v>558</v>
      </c>
      <c r="S10" s="206" t="s">
        <v>296</v>
      </c>
      <c r="T10" s="206" t="s">
        <v>297</v>
      </c>
      <c r="U10" s="206"/>
      <c r="V10" s="206" t="s">
        <v>298</v>
      </c>
      <c r="W10" s="201"/>
      <c r="X10" s="206"/>
      <c r="Y10" s="218"/>
    </row>
    <row r="11" spans="1:26" s="12" customFormat="1" ht="68.25" customHeight="1" x14ac:dyDescent="0.25">
      <c r="A11" s="206"/>
      <c r="B11" s="206"/>
      <c r="C11" s="206"/>
      <c r="D11" s="206"/>
      <c r="E11" s="155" t="s">
        <v>299</v>
      </c>
      <c r="F11" s="155" t="s">
        <v>300</v>
      </c>
      <c r="G11" s="206"/>
      <c r="H11" s="155" t="s">
        <v>299</v>
      </c>
      <c r="I11" s="155" t="s">
        <v>300</v>
      </c>
      <c r="J11" s="202"/>
      <c r="K11" s="206"/>
      <c r="L11" s="202"/>
      <c r="M11" s="206"/>
      <c r="N11" s="155" t="s">
        <v>299</v>
      </c>
      <c r="O11" s="155" t="s">
        <v>300</v>
      </c>
      <c r="P11" s="206"/>
      <c r="Q11" s="206"/>
      <c r="R11" s="202"/>
      <c r="S11" s="206"/>
      <c r="T11" s="155" t="s">
        <v>299</v>
      </c>
      <c r="U11" s="155" t="s">
        <v>300</v>
      </c>
      <c r="V11" s="206"/>
      <c r="W11" s="202"/>
      <c r="X11" s="206"/>
      <c r="Y11" s="218"/>
    </row>
    <row r="12" spans="1:26" s="12" customFormat="1" ht="27.75" customHeight="1" x14ac:dyDescent="0.25">
      <c r="A12" s="13" t="s">
        <v>66</v>
      </c>
      <c r="B12" s="15"/>
      <c r="C12" s="16" t="s">
        <v>67</v>
      </c>
      <c r="D12" s="118">
        <f>D13+D14</f>
        <v>222098789.49000001</v>
      </c>
      <c r="E12" s="118">
        <f t="shared" ref="E12:X12" si="0">E13+E14</f>
        <v>168575000.63</v>
      </c>
      <c r="F12" s="118">
        <f t="shared" si="0"/>
        <v>4476008</v>
      </c>
      <c r="G12" s="118">
        <f>G13+G14</f>
        <v>216747057.25999999</v>
      </c>
      <c r="H12" s="118">
        <f t="shared" si="0"/>
        <v>165686702.5</v>
      </c>
      <c r="I12" s="118">
        <f t="shared" si="0"/>
        <v>3833514.4799999995</v>
      </c>
      <c r="J12" s="135">
        <f>G12/D12*100</f>
        <v>97.590382080744746</v>
      </c>
      <c r="K12" s="118">
        <f t="shared" si="0"/>
        <v>7598858</v>
      </c>
      <c r="L12" s="118">
        <f t="shared" ref="L12" si="1">L13+L14</f>
        <v>4598858</v>
      </c>
      <c r="M12" s="118">
        <f t="shared" si="0"/>
        <v>3000000</v>
      </c>
      <c r="N12" s="118">
        <f t="shared" si="0"/>
        <v>2217000</v>
      </c>
      <c r="O12" s="118">
        <f t="shared" si="0"/>
        <v>90900</v>
      </c>
      <c r="P12" s="118">
        <f t="shared" si="0"/>
        <v>4598858</v>
      </c>
      <c r="Q12" s="118">
        <f t="shared" si="0"/>
        <v>10406839.08</v>
      </c>
      <c r="R12" s="118">
        <f t="shared" si="0"/>
        <v>4135325.82</v>
      </c>
      <c r="S12" s="118">
        <f t="shared" si="0"/>
        <v>6271513.2599999998</v>
      </c>
      <c r="T12" s="118">
        <f t="shared" si="0"/>
        <v>4935682.1099999994</v>
      </c>
      <c r="U12" s="118">
        <f t="shared" si="0"/>
        <v>73359.59</v>
      </c>
      <c r="V12" s="118">
        <f t="shared" si="0"/>
        <v>4135325.82</v>
      </c>
      <c r="W12" s="135">
        <f>Q12/K12*100</f>
        <v>136.95267209888644</v>
      </c>
      <c r="X12" s="118">
        <f t="shared" si="0"/>
        <v>227153896.34000006</v>
      </c>
      <c r="Y12" s="218"/>
      <c r="Z12" s="167"/>
    </row>
    <row r="13" spans="1:26" ht="57.75" customHeight="1" x14ac:dyDescent="0.25">
      <c r="A13" s="99" t="s">
        <v>152</v>
      </c>
      <c r="B13" s="99" t="s">
        <v>69</v>
      </c>
      <c r="C13" s="10" t="s">
        <v>153</v>
      </c>
      <c r="D13" s="119">
        <f>'дод 2'!E14+'дод 2'!E53+'дод 2'!E84+'дод 2'!E118+'дод 2'!E195+'дод 2'!E203+'дод 2'!E214+'дод 2'!E244+'дод 2'!E249+'дод 2'!E277+'дод 2'!E284+'дод 2'!E287+'дод 2'!E301+'дод 2'!E297</f>
        <v>221795489.49000001</v>
      </c>
      <c r="E13" s="119">
        <f>'дод 2'!F14+'дод 2'!F53+'дод 2'!F84+'дод 2'!F118+'дод 2'!F195+'дод 2'!F203+'дод 2'!F214+'дод 2'!F244+'дод 2'!F249+'дод 2'!F277+'дод 2'!F284+'дод 2'!F287+'дод 2'!F301+'дод 2'!F297</f>
        <v>168575000.63</v>
      </c>
      <c r="F13" s="119">
        <f>'дод 2'!G14+'дод 2'!G53+'дод 2'!G84+'дод 2'!G118+'дод 2'!G195+'дод 2'!G203+'дод 2'!G214+'дод 2'!G244+'дод 2'!G249+'дод 2'!G277+'дод 2'!G284+'дод 2'!G287+'дод 2'!G301+'дод 2'!G297</f>
        <v>4476008</v>
      </c>
      <c r="G13" s="119">
        <f>'дод 2'!H14+'дод 2'!H53+'дод 2'!H84+'дод 2'!H118+'дод 2'!H195+'дод 2'!H203+'дод 2'!H214+'дод 2'!H244+'дод 2'!H249+'дод 2'!H277+'дод 2'!H284+'дод 2'!H287+'дод 2'!H301+'дод 2'!H297</f>
        <v>216479232.19999999</v>
      </c>
      <c r="H13" s="119">
        <f>'дод 2'!I14+'дод 2'!I53+'дод 2'!I84+'дод 2'!I118+'дод 2'!I195+'дод 2'!I203+'дод 2'!I214+'дод 2'!I244+'дод 2'!I249+'дод 2'!I277+'дод 2'!I284+'дод 2'!I287+'дод 2'!I301+'дод 2'!I297</f>
        <v>165686702.5</v>
      </c>
      <c r="I13" s="119">
        <f>'дод 2'!J14+'дод 2'!J53+'дод 2'!J84+'дод 2'!J118+'дод 2'!J195+'дод 2'!J203+'дод 2'!J214+'дод 2'!J244+'дод 2'!J249+'дод 2'!J277+'дод 2'!J284+'дод 2'!J287+'дод 2'!J301+'дод 2'!J297</f>
        <v>3833514.4799999995</v>
      </c>
      <c r="J13" s="164">
        <f t="shared" ref="J13:J76" si="2">G13/D13*100</f>
        <v>97.603081423240695</v>
      </c>
      <c r="K13" s="119">
        <f>'дод 2'!L14+'дод 2'!L53+'дод 2'!L84+'дод 2'!L118+'дод 2'!L195+'дод 2'!L203+'дод 2'!L214+'дод 2'!L244+'дод 2'!L249+'дод 2'!L277+'дод 2'!L284+'дод 2'!L287+'дод 2'!L301+'дод 2'!L297</f>
        <v>7598858</v>
      </c>
      <c r="L13" s="119">
        <f>'дод 2'!M14+'дод 2'!M53+'дод 2'!M84+'дод 2'!M118+'дод 2'!M195+'дод 2'!M203+'дод 2'!M214+'дод 2'!M244+'дод 2'!M249+'дод 2'!M277+'дод 2'!M284+'дод 2'!M287+'дод 2'!M301+'дод 2'!M297</f>
        <v>4598858</v>
      </c>
      <c r="M13" s="119">
        <f>'дод 2'!N14+'дод 2'!N53+'дод 2'!N84+'дод 2'!N118+'дод 2'!N195+'дод 2'!N203+'дод 2'!N214+'дод 2'!N244+'дод 2'!N249+'дод 2'!N277+'дод 2'!N284+'дод 2'!N287+'дод 2'!N301+'дод 2'!N297</f>
        <v>3000000</v>
      </c>
      <c r="N13" s="119">
        <f>'дод 2'!O14+'дод 2'!O53+'дод 2'!O84+'дод 2'!O118+'дод 2'!O195+'дод 2'!O203+'дод 2'!O214+'дод 2'!O244+'дод 2'!O249+'дод 2'!O277+'дод 2'!O284+'дод 2'!O287+'дод 2'!O301+'дод 2'!O297</f>
        <v>2217000</v>
      </c>
      <c r="O13" s="119">
        <f>'дод 2'!P14+'дод 2'!P53+'дод 2'!P84+'дод 2'!P118+'дод 2'!P195+'дод 2'!P203+'дод 2'!P214+'дод 2'!P244+'дод 2'!P249+'дод 2'!P277+'дод 2'!P284+'дод 2'!P287+'дод 2'!P301+'дод 2'!P297</f>
        <v>90900</v>
      </c>
      <c r="P13" s="119">
        <f>'дод 2'!Q14+'дод 2'!Q53+'дод 2'!Q84+'дод 2'!Q118+'дод 2'!Q195+'дод 2'!Q203+'дод 2'!Q214+'дод 2'!Q244+'дод 2'!Q249+'дод 2'!Q277+'дод 2'!Q284+'дод 2'!Q287+'дод 2'!Q301+'дод 2'!Q297</f>
        <v>4598858</v>
      </c>
      <c r="Q13" s="119">
        <f>'дод 2'!R14+'дод 2'!R53+'дод 2'!R84+'дод 2'!R118+'дод 2'!R195+'дод 2'!R203+'дод 2'!R214+'дод 2'!R244+'дод 2'!R249+'дод 2'!R277+'дод 2'!R284+'дод 2'!R287+'дод 2'!R301+'дод 2'!R297</f>
        <v>10406839.08</v>
      </c>
      <c r="R13" s="119">
        <f>'дод 2'!S14+'дод 2'!S53+'дод 2'!S84+'дод 2'!S118+'дод 2'!S195+'дод 2'!S203+'дод 2'!S214+'дод 2'!S244+'дод 2'!S249+'дод 2'!S277+'дод 2'!S284+'дод 2'!S287+'дод 2'!S301+'дод 2'!S297</f>
        <v>4135325.82</v>
      </c>
      <c r="S13" s="119">
        <f>'дод 2'!T14+'дод 2'!T53+'дод 2'!T84+'дод 2'!T118+'дод 2'!T195+'дод 2'!T203+'дод 2'!T214+'дод 2'!T244+'дод 2'!T249+'дод 2'!T277+'дод 2'!T284+'дод 2'!T287+'дод 2'!T301+'дод 2'!T297</f>
        <v>6271513.2599999998</v>
      </c>
      <c r="T13" s="119">
        <f>'дод 2'!U14+'дод 2'!U53+'дод 2'!U84+'дод 2'!U118+'дод 2'!U195+'дод 2'!U203+'дод 2'!U214+'дод 2'!U244+'дод 2'!U249+'дод 2'!U277+'дод 2'!U284+'дод 2'!U287+'дод 2'!U301+'дод 2'!U297</f>
        <v>4935682.1099999994</v>
      </c>
      <c r="U13" s="119">
        <f>'дод 2'!V14+'дод 2'!V53+'дод 2'!V84+'дод 2'!V118+'дод 2'!V195+'дод 2'!V203+'дод 2'!V214+'дод 2'!V244+'дод 2'!V249+'дод 2'!V277+'дод 2'!V284+'дод 2'!V287+'дод 2'!V301+'дод 2'!V297</f>
        <v>73359.59</v>
      </c>
      <c r="V13" s="119">
        <f>'дод 2'!W14+'дод 2'!W53+'дод 2'!W84+'дод 2'!W118+'дод 2'!W195+'дод 2'!W203+'дод 2'!W214+'дод 2'!W244+'дод 2'!W249+'дод 2'!W277+'дод 2'!W284+'дод 2'!W287+'дод 2'!W301+'дод 2'!W297</f>
        <v>4135325.82</v>
      </c>
      <c r="W13" s="164">
        <f t="shared" ref="W13:W58" si="3">Q13/K13*100</f>
        <v>136.95267209888644</v>
      </c>
      <c r="X13" s="119">
        <f>'дод 2'!Y14+'дод 2'!Y53+'дод 2'!Y84+'дод 2'!Y118+'дод 2'!Y195+'дод 2'!Y203+'дод 2'!Y214+'дод 2'!Y244+'дод 2'!Y249+'дод 2'!Y277+'дод 2'!Y284+'дод 2'!Y287+'дод 2'!Y301+'дод 2'!Y297</f>
        <v>226886071.28000006</v>
      </c>
      <c r="Y13" s="218"/>
      <c r="Z13" s="167"/>
    </row>
    <row r="14" spans="1:26" ht="27" customHeight="1" x14ac:dyDescent="0.25">
      <c r="A14" s="99" t="s">
        <v>68</v>
      </c>
      <c r="B14" s="99" t="s">
        <v>125</v>
      </c>
      <c r="C14" s="10" t="s">
        <v>314</v>
      </c>
      <c r="D14" s="119">
        <f>'дод 2'!E15</f>
        <v>303300</v>
      </c>
      <c r="E14" s="119">
        <f>'дод 2'!F15</f>
        <v>0</v>
      </c>
      <c r="F14" s="119">
        <f>'дод 2'!G15</f>
        <v>0</v>
      </c>
      <c r="G14" s="119">
        <f>'дод 2'!H15</f>
        <v>267825.06</v>
      </c>
      <c r="H14" s="119">
        <f>'дод 2'!I15</f>
        <v>0</v>
      </c>
      <c r="I14" s="119">
        <f>'дод 2'!J15</f>
        <v>0</v>
      </c>
      <c r="J14" s="164">
        <f t="shared" si="2"/>
        <v>88.303679525222549</v>
      </c>
      <c r="K14" s="119">
        <f>'дод 2'!L15</f>
        <v>0</v>
      </c>
      <c r="L14" s="119">
        <f>'дод 2'!M15</f>
        <v>0</v>
      </c>
      <c r="M14" s="119">
        <f>'дод 2'!N15</f>
        <v>0</v>
      </c>
      <c r="N14" s="119">
        <f>'дод 2'!O15</f>
        <v>0</v>
      </c>
      <c r="O14" s="119">
        <f>'дод 2'!P15</f>
        <v>0</v>
      </c>
      <c r="P14" s="119">
        <f>'дод 2'!Q15</f>
        <v>0</v>
      </c>
      <c r="Q14" s="119">
        <f>'дод 2'!R15</f>
        <v>0</v>
      </c>
      <c r="R14" s="119">
        <f>'дод 2'!S15</f>
        <v>0</v>
      </c>
      <c r="S14" s="119">
        <f>'дод 2'!T15</f>
        <v>0</v>
      </c>
      <c r="T14" s="119">
        <f>'дод 2'!U15</f>
        <v>0</v>
      </c>
      <c r="U14" s="119">
        <f>'дод 2'!V15</f>
        <v>0</v>
      </c>
      <c r="V14" s="119">
        <f>'дод 2'!W15</f>
        <v>0</v>
      </c>
      <c r="W14" s="164"/>
      <c r="X14" s="119">
        <f>'дод 2'!Y15</f>
        <v>267825.06</v>
      </c>
      <c r="Y14" s="218"/>
      <c r="Z14" s="167"/>
    </row>
    <row r="15" spans="1:26" s="12" customFormat="1" ht="24" customHeight="1" x14ac:dyDescent="0.25">
      <c r="A15" s="100" t="s">
        <v>70</v>
      </c>
      <c r="B15" s="101"/>
      <c r="C15" s="16" t="s">
        <v>71</v>
      </c>
      <c r="D15" s="118">
        <f>D17+D19+D21+D23+D25+D26+D27+D29+D30+D32+D33</f>
        <v>875366737.57999992</v>
      </c>
      <c r="E15" s="118">
        <f t="shared" ref="E15:X15" si="4">E17+E19+E21+E23+E25+E26+E27+E29+E30+E32+E33</f>
        <v>575653734</v>
      </c>
      <c r="F15" s="118">
        <f t="shared" si="4"/>
        <v>77965382</v>
      </c>
      <c r="G15" s="118">
        <f>G17+G19+G21+G23+G25+G26+G27+G29+G30+G32+G33</f>
        <v>864793706.05000019</v>
      </c>
      <c r="H15" s="118">
        <f t="shared" ref="H15:I15" si="5">H17+H19+H21+H23+H25+H26+H27+H29+H30+H32+H33</f>
        <v>574900790.25999999</v>
      </c>
      <c r="I15" s="118">
        <f t="shared" si="5"/>
        <v>73202209.549999997</v>
      </c>
      <c r="J15" s="135">
        <f t="shared" si="2"/>
        <v>98.792159779884997</v>
      </c>
      <c r="K15" s="118">
        <f t="shared" si="4"/>
        <v>72154510.310000002</v>
      </c>
      <c r="L15" s="118">
        <f t="shared" si="4"/>
        <v>26674091.310000002</v>
      </c>
      <c r="M15" s="118">
        <f t="shared" si="4"/>
        <v>45358699</v>
      </c>
      <c r="N15" s="118">
        <f t="shared" si="4"/>
        <v>5498925</v>
      </c>
      <c r="O15" s="118">
        <f t="shared" si="4"/>
        <v>2628089</v>
      </c>
      <c r="P15" s="118">
        <f t="shared" si="4"/>
        <v>26795811.310000002</v>
      </c>
      <c r="Q15" s="118">
        <f t="shared" ref="Q15:V15" si="6">Q17+Q19+Q21+Q23+Q25+Q26+Q27+Q29+Q30+Q32+Q33</f>
        <v>78329078.560000017</v>
      </c>
      <c r="R15" s="118">
        <f t="shared" si="6"/>
        <v>26267300.100000001</v>
      </c>
      <c r="S15" s="118">
        <f t="shared" si="6"/>
        <v>46753471.060000002</v>
      </c>
      <c r="T15" s="118">
        <f t="shared" si="6"/>
        <v>4795255.24</v>
      </c>
      <c r="U15" s="118">
        <f t="shared" si="6"/>
        <v>2119117.14</v>
      </c>
      <c r="V15" s="118">
        <f t="shared" si="6"/>
        <v>31575607.5</v>
      </c>
      <c r="W15" s="135">
        <f t="shared" si="3"/>
        <v>108.55742520248836</v>
      </c>
      <c r="X15" s="118">
        <f t="shared" si="4"/>
        <v>943122784.61000013</v>
      </c>
      <c r="Y15" s="218"/>
      <c r="Z15" s="167"/>
    </row>
    <row r="16" spans="1:26" s="12" customFormat="1" ht="24" customHeight="1" x14ac:dyDescent="0.25">
      <c r="A16" s="100"/>
      <c r="B16" s="101"/>
      <c r="C16" s="6" t="s">
        <v>342</v>
      </c>
      <c r="D16" s="118">
        <f>D18+D20+D22+D24+D31+D28+D34</f>
        <v>322153689.97999996</v>
      </c>
      <c r="E16" s="118">
        <f t="shared" ref="E16:X16" si="7">E18+E20+E22+E24+E31+E28+E34</f>
        <v>256716014</v>
      </c>
      <c r="F16" s="118">
        <f t="shared" si="7"/>
        <v>0</v>
      </c>
      <c r="G16" s="118">
        <f>G18+G20+G22+G24+G31+G28+G34</f>
        <v>321271526.81000006</v>
      </c>
      <c r="H16" s="118">
        <f t="shared" ref="H16:I16" si="8">H18+H20+H22+H24+H31+H28+H34</f>
        <v>256138804.27000001</v>
      </c>
      <c r="I16" s="118">
        <f t="shared" si="8"/>
        <v>0</v>
      </c>
      <c r="J16" s="135">
        <f t="shared" si="2"/>
        <v>99.726166982580693</v>
      </c>
      <c r="K16" s="118">
        <f t="shared" si="7"/>
        <v>5949418.25</v>
      </c>
      <c r="L16" s="118">
        <f t="shared" si="7"/>
        <v>5949418.25</v>
      </c>
      <c r="M16" s="118">
        <f t="shared" si="7"/>
        <v>0</v>
      </c>
      <c r="N16" s="118">
        <f t="shared" si="7"/>
        <v>0</v>
      </c>
      <c r="O16" s="118">
        <f t="shared" si="7"/>
        <v>0</v>
      </c>
      <c r="P16" s="118">
        <f t="shared" si="7"/>
        <v>5949418.25</v>
      </c>
      <c r="Q16" s="118">
        <f t="shared" ref="Q16:V16" si="9">Q18+Q20+Q22+Q24+Q31+Q28+Q34</f>
        <v>5937058.9500000002</v>
      </c>
      <c r="R16" s="118">
        <f t="shared" si="9"/>
        <v>5937058.9500000002</v>
      </c>
      <c r="S16" s="118">
        <f t="shared" si="9"/>
        <v>0</v>
      </c>
      <c r="T16" s="118">
        <f t="shared" si="9"/>
        <v>0</v>
      </c>
      <c r="U16" s="118">
        <f t="shared" si="9"/>
        <v>0</v>
      </c>
      <c r="V16" s="118">
        <f t="shared" si="9"/>
        <v>5937058.9500000002</v>
      </c>
      <c r="W16" s="135">
        <f t="shared" si="3"/>
        <v>99.792260360918476</v>
      </c>
      <c r="X16" s="118">
        <f t="shared" si="7"/>
        <v>327208585.76000005</v>
      </c>
      <c r="Y16" s="218"/>
      <c r="Z16" s="167"/>
    </row>
    <row r="17" spans="1:26" ht="27" customHeight="1" x14ac:dyDescent="0.25">
      <c r="A17" s="99" t="s">
        <v>72</v>
      </c>
      <c r="B17" s="99" t="s">
        <v>73</v>
      </c>
      <c r="C17" s="10" t="s">
        <v>188</v>
      </c>
      <c r="D17" s="119">
        <f>'дод 2'!E54</f>
        <v>212905915</v>
      </c>
      <c r="E17" s="119">
        <f>'дод 2'!F54</f>
        <v>134467050</v>
      </c>
      <c r="F17" s="119">
        <f>'дод 2'!G54</f>
        <v>24898736</v>
      </c>
      <c r="G17" s="119">
        <f>'дод 2'!H54</f>
        <v>210013429.00999999</v>
      </c>
      <c r="H17" s="119">
        <f>'дод 2'!I54</f>
        <v>134449232.94</v>
      </c>
      <c r="I17" s="119">
        <f>'дод 2'!J54</f>
        <v>23720394.649999999</v>
      </c>
      <c r="J17" s="164">
        <f t="shared" si="2"/>
        <v>98.641425255845988</v>
      </c>
      <c r="K17" s="119">
        <f>'дод 2'!L54</f>
        <v>22599017</v>
      </c>
      <c r="L17" s="119">
        <f>'дод 2'!M54</f>
        <v>6349706</v>
      </c>
      <c r="M17" s="119">
        <f>'дод 2'!N54</f>
        <v>16249311</v>
      </c>
      <c r="N17" s="119">
        <f>'дод 2'!O54</f>
        <v>0</v>
      </c>
      <c r="O17" s="119">
        <f>'дод 2'!P54</f>
        <v>0</v>
      </c>
      <c r="P17" s="119">
        <f>'дод 2'!Q54</f>
        <v>6349706</v>
      </c>
      <c r="Q17" s="119">
        <f>'дод 2'!R54</f>
        <v>20545911.620000001</v>
      </c>
      <c r="R17" s="119">
        <f>'дод 2'!S54</f>
        <v>6249560.4400000004</v>
      </c>
      <c r="S17" s="119">
        <f>'дод 2'!T54</f>
        <v>14177941.18</v>
      </c>
      <c r="T17" s="119">
        <f>'дод 2'!U54</f>
        <v>0</v>
      </c>
      <c r="U17" s="119">
        <f>'дод 2'!V54</f>
        <v>0</v>
      </c>
      <c r="V17" s="119">
        <f>'дод 2'!W54</f>
        <v>6367970.4400000004</v>
      </c>
      <c r="W17" s="164">
        <f t="shared" si="3"/>
        <v>90.915067766000618</v>
      </c>
      <c r="X17" s="119">
        <f>'дод 2'!Y54</f>
        <v>230559340.63</v>
      </c>
      <c r="Y17" s="218"/>
      <c r="Z17" s="167"/>
    </row>
    <row r="18" spans="1:26" ht="27" customHeight="1" x14ac:dyDescent="0.25">
      <c r="A18" s="99"/>
      <c r="B18" s="99"/>
      <c r="C18" s="7" t="s">
        <v>342</v>
      </c>
      <c r="D18" s="119">
        <f>SUM('дод 2'!E55)</f>
        <v>33000</v>
      </c>
      <c r="E18" s="119">
        <f>SUM('дод 2'!F55)</f>
        <v>27050</v>
      </c>
      <c r="F18" s="119">
        <f>SUM('дод 2'!G55)</f>
        <v>0</v>
      </c>
      <c r="G18" s="119">
        <f>SUM('дод 2'!H55)</f>
        <v>26951.32</v>
      </c>
      <c r="H18" s="119">
        <f>SUM('дод 2'!I55)</f>
        <v>22091.25</v>
      </c>
      <c r="I18" s="119">
        <f>SUM('дод 2'!J55)</f>
        <v>0</v>
      </c>
      <c r="J18" s="164">
        <f t="shared" si="2"/>
        <v>81.670666666666676</v>
      </c>
      <c r="K18" s="119">
        <f>SUM('дод 2'!L55)</f>
        <v>18000</v>
      </c>
      <c r="L18" s="119">
        <f>SUM('дод 2'!M55)</f>
        <v>18000</v>
      </c>
      <c r="M18" s="119">
        <f>SUM('дод 2'!N55)</f>
        <v>0</v>
      </c>
      <c r="N18" s="119">
        <f>SUM('дод 2'!O55)</f>
        <v>0</v>
      </c>
      <c r="O18" s="119">
        <f>SUM('дод 2'!P55)</f>
        <v>0</v>
      </c>
      <c r="P18" s="119">
        <f>SUM('дод 2'!Q55)</f>
        <v>18000</v>
      </c>
      <c r="Q18" s="119">
        <f>SUM('дод 2'!R55)</f>
        <v>17530</v>
      </c>
      <c r="R18" s="119">
        <f>SUM('дод 2'!S55)</f>
        <v>17530</v>
      </c>
      <c r="S18" s="119">
        <f>SUM('дод 2'!T55)</f>
        <v>0</v>
      </c>
      <c r="T18" s="119">
        <f>SUM('дод 2'!U55)</f>
        <v>0</v>
      </c>
      <c r="U18" s="119">
        <f>SUM('дод 2'!V55)</f>
        <v>0</v>
      </c>
      <c r="V18" s="119">
        <f>SUM('дод 2'!W55)</f>
        <v>17530</v>
      </c>
      <c r="W18" s="164">
        <f t="shared" si="3"/>
        <v>97.388888888888886</v>
      </c>
      <c r="X18" s="119">
        <f>SUM('дод 2'!Y55)</f>
        <v>44481.32</v>
      </c>
      <c r="Y18" s="218"/>
      <c r="Z18" s="167"/>
    </row>
    <row r="19" spans="1:26" ht="71.25" customHeight="1" x14ac:dyDescent="0.25">
      <c r="A19" s="99" t="s">
        <v>74</v>
      </c>
      <c r="B19" s="99" t="s">
        <v>75</v>
      </c>
      <c r="C19" s="10" t="s">
        <v>477</v>
      </c>
      <c r="D19" s="119">
        <f>'дод 2'!E56</f>
        <v>474185493.31</v>
      </c>
      <c r="E19" s="119">
        <f>'дод 2'!F56</f>
        <v>321286780</v>
      </c>
      <c r="F19" s="119">
        <f>'дод 2'!G56</f>
        <v>36935545</v>
      </c>
      <c r="G19" s="119">
        <f>'дод 2'!H56</f>
        <v>469968317.5</v>
      </c>
      <c r="H19" s="119">
        <f>'дод 2'!I56</f>
        <v>321284432.17000002</v>
      </c>
      <c r="I19" s="119">
        <f>'дод 2'!J56</f>
        <v>35274862.049999997</v>
      </c>
      <c r="J19" s="164">
        <f t="shared" si="2"/>
        <v>99.110648497371258</v>
      </c>
      <c r="K19" s="119">
        <f>'дод 2'!L56</f>
        <v>33720971.859999999</v>
      </c>
      <c r="L19" s="119">
        <f>'дод 2'!M56</f>
        <v>14713949.860000003</v>
      </c>
      <c r="M19" s="119">
        <f>'дод 2'!N56</f>
        <v>19007022</v>
      </c>
      <c r="N19" s="119">
        <f>'дод 2'!O56</f>
        <v>939364</v>
      </c>
      <c r="O19" s="119">
        <f>'дод 2'!P56</f>
        <v>38709</v>
      </c>
      <c r="P19" s="119">
        <f>'дод 2'!Q56</f>
        <v>14713949.860000003</v>
      </c>
      <c r="Q19" s="119">
        <f>'дод 2'!R56</f>
        <v>40377980.230000004</v>
      </c>
      <c r="R19" s="119">
        <f>'дод 2'!S56</f>
        <v>14489320.08</v>
      </c>
      <c r="S19" s="119">
        <f>'дод 2'!T56</f>
        <v>21651218.379999999</v>
      </c>
      <c r="T19" s="119">
        <f>'дод 2'!U56</f>
        <v>1045682.11</v>
      </c>
      <c r="U19" s="119">
        <f>'дод 2'!V56</f>
        <v>53523.09</v>
      </c>
      <c r="V19" s="119">
        <f>'дод 2'!W56</f>
        <v>18726761.850000001</v>
      </c>
      <c r="W19" s="164">
        <f t="shared" si="3"/>
        <v>119.7414487270356</v>
      </c>
      <c r="X19" s="119">
        <f>'дод 2'!Y56</f>
        <v>510346297.73000002</v>
      </c>
      <c r="Y19" s="218"/>
      <c r="Z19" s="167"/>
    </row>
    <row r="20" spans="1:26" ht="28.5" customHeight="1" x14ac:dyDescent="0.25">
      <c r="A20" s="99"/>
      <c r="B20" s="99"/>
      <c r="C20" s="7" t="s">
        <v>342</v>
      </c>
      <c r="D20" s="119">
        <f>'дод 2'!E57</f>
        <v>299354846.70999998</v>
      </c>
      <c r="E20" s="119">
        <f>'дод 2'!F57</f>
        <v>240545900</v>
      </c>
      <c r="F20" s="119">
        <f>'дод 2'!G57</f>
        <v>0</v>
      </c>
      <c r="G20" s="119">
        <f>'дод 2'!H57</f>
        <v>299157960.91000003</v>
      </c>
      <c r="H20" s="119">
        <f>'дод 2'!I57</f>
        <v>240543930.22999999</v>
      </c>
      <c r="I20" s="119">
        <f>'дод 2'!J57</f>
        <v>0</v>
      </c>
      <c r="J20" s="164">
        <f t="shared" si="2"/>
        <v>99.934229960809461</v>
      </c>
      <c r="K20" s="119">
        <f>'дод 2'!L57</f>
        <v>1110382.8</v>
      </c>
      <c r="L20" s="119">
        <f>'дод 2'!M57</f>
        <v>1110382.8</v>
      </c>
      <c r="M20" s="119">
        <f>'дод 2'!N57</f>
        <v>0</v>
      </c>
      <c r="N20" s="119">
        <f>'дод 2'!O57</f>
        <v>0</v>
      </c>
      <c r="O20" s="119">
        <f>'дод 2'!P57</f>
        <v>0</v>
      </c>
      <c r="P20" s="119">
        <f>'дод 2'!Q57</f>
        <v>1110382.8</v>
      </c>
      <c r="Q20" s="119">
        <f>'дод 2'!R57</f>
        <v>1101055.74</v>
      </c>
      <c r="R20" s="119">
        <f>'дод 2'!S57</f>
        <v>1101055.74</v>
      </c>
      <c r="S20" s="119">
        <f>'дод 2'!T57</f>
        <v>0</v>
      </c>
      <c r="T20" s="119">
        <f>'дод 2'!U57</f>
        <v>0</v>
      </c>
      <c r="U20" s="119">
        <f>'дод 2'!V57</f>
        <v>0</v>
      </c>
      <c r="V20" s="119">
        <f>'дод 2'!W57</f>
        <v>1101055.74</v>
      </c>
      <c r="W20" s="164">
        <f t="shared" si="3"/>
        <v>99.160014005980628</v>
      </c>
      <c r="X20" s="119">
        <f>'дод 2'!Y57</f>
        <v>300259016.65000004</v>
      </c>
      <c r="Y20" s="218"/>
      <c r="Z20" s="167"/>
    </row>
    <row r="21" spans="1:26" ht="42.75" customHeight="1" x14ac:dyDescent="0.25">
      <c r="A21" s="99" t="s">
        <v>76</v>
      </c>
      <c r="B21" s="99" t="s">
        <v>75</v>
      </c>
      <c r="C21" s="10" t="s">
        <v>42</v>
      </c>
      <c r="D21" s="119">
        <f>'дод 2'!E58</f>
        <v>1038650</v>
      </c>
      <c r="E21" s="119">
        <f>'дод 2'!F58</f>
        <v>861000</v>
      </c>
      <c r="F21" s="119">
        <f>'дод 2'!G58</f>
        <v>0</v>
      </c>
      <c r="G21" s="119">
        <f>'дод 2'!H58</f>
        <v>1010735.53</v>
      </c>
      <c r="H21" s="119">
        <f>'дод 2'!I58</f>
        <v>833086.62</v>
      </c>
      <c r="I21" s="119">
        <f>'дод 2'!J58</f>
        <v>0</v>
      </c>
      <c r="J21" s="164">
        <f t="shared" si="2"/>
        <v>97.312427670533879</v>
      </c>
      <c r="K21" s="119">
        <f>'дод 2'!L58</f>
        <v>0</v>
      </c>
      <c r="L21" s="119">
        <f>'дод 2'!M58</f>
        <v>0</v>
      </c>
      <c r="M21" s="119">
        <f>'дод 2'!N58</f>
        <v>0</v>
      </c>
      <c r="N21" s="119">
        <f>'дод 2'!O58</f>
        <v>0</v>
      </c>
      <c r="O21" s="119">
        <f>'дод 2'!P58</f>
        <v>0</v>
      </c>
      <c r="P21" s="119">
        <f>'дод 2'!Q58</f>
        <v>0</v>
      </c>
      <c r="Q21" s="119">
        <f>'дод 2'!R58</f>
        <v>12288.76</v>
      </c>
      <c r="R21" s="119">
        <f>'дод 2'!S58</f>
        <v>0</v>
      </c>
      <c r="S21" s="119">
        <f>'дод 2'!T58</f>
        <v>27.48</v>
      </c>
      <c r="T21" s="119">
        <f>'дод 2'!U58</f>
        <v>0</v>
      </c>
      <c r="U21" s="119">
        <f>'дод 2'!V58</f>
        <v>0</v>
      </c>
      <c r="V21" s="119">
        <f>'дод 2'!W58</f>
        <v>12261.28</v>
      </c>
      <c r="W21" s="164"/>
      <c r="X21" s="119">
        <f>'дод 2'!Y58</f>
        <v>1023024.29</v>
      </c>
      <c r="Y21" s="218"/>
      <c r="Z21" s="167"/>
    </row>
    <row r="22" spans="1:26" ht="24.75" customHeight="1" x14ac:dyDescent="0.25">
      <c r="A22" s="99"/>
      <c r="B22" s="99"/>
      <c r="C22" s="7" t="s">
        <v>342</v>
      </c>
      <c r="D22" s="119">
        <f>'дод 2'!E59</f>
        <v>945500</v>
      </c>
      <c r="E22" s="119">
        <f>'дод 2'!F59</f>
        <v>775000</v>
      </c>
      <c r="F22" s="119">
        <f>'дод 2'!G59</f>
        <v>0</v>
      </c>
      <c r="G22" s="119">
        <f>'дод 2'!H59</f>
        <v>945500</v>
      </c>
      <c r="H22" s="119">
        <f>'дод 2'!I59</f>
        <v>775000</v>
      </c>
      <c r="I22" s="119">
        <f>'дод 2'!J59</f>
        <v>0</v>
      </c>
      <c r="J22" s="164">
        <f t="shared" si="2"/>
        <v>100</v>
      </c>
      <c r="K22" s="119">
        <f>'дод 2'!L59</f>
        <v>0</v>
      </c>
      <c r="L22" s="119">
        <f>'дод 2'!M59</f>
        <v>0</v>
      </c>
      <c r="M22" s="119">
        <f>'дод 2'!N59</f>
        <v>0</v>
      </c>
      <c r="N22" s="119">
        <f>'дод 2'!O59</f>
        <v>0</v>
      </c>
      <c r="O22" s="119">
        <f>'дод 2'!P59</f>
        <v>0</v>
      </c>
      <c r="P22" s="119">
        <f>'дод 2'!Q59</f>
        <v>0</v>
      </c>
      <c r="Q22" s="119">
        <f>'дод 2'!R59</f>
        <v>0</v>
      </c>
      <c r="R22" s="119">
        <f>'дод 2'!S59</f>
        <v>0</v>
      </c>
      <c r="S22" s="119">
        <f>'дод 2'!T59</f>
        <v>0</v>
      </c>
      <c r="T22" s="119">
        <f>'дод 2'!U59</f>
        <v>0</v>
      </c>
      <c r="U22" s="119">
        <f>'дод 2'!V59</f>
        <v>0</v>
      </c>
      <c r="V22" s="119">
        <f>'дод 2'!W59</f>
        <v>0</v>
      </c>
      <c r="W22" s="164"/>
      <c r="X22" s="119">
        <f>'дод 2'!Y59</f>
        <v>945500</v>
      </c>
      <c r="Y22" s="218"/>
      <c r="Z22" s="167"/>
    </row>
    <row r="23" spans="1:26" ht="87" customHeight="1" x14ac:dyDescent="0.25">
      <c r="A23" s="99" t="s">
        <v>78</v>
      </c>
      <c r="B23" s="99" t="s">
        <v>79</v>
      </c>
      <c r="C23" s="10" t="s">
        <v>154</v>
      </c>
      <c r="D23" s="119">
        <f>'дод 2'!E60</f>
        <v>8979284</v>
      </c>
      <c r="E23" s="119">
        <f>'дод 2'!F60</f>
        <v>6256400</v>
      </c>
      <c r="F23" s="119">
        <f>'дод 2'!G60</f>
        <v>760530</v>
      </c>
      <c r="G23" s="119">
        <f>'дод 2'!H60</f>
        <v>8849424.3399999999</v>
      </c>
      <c r="H23" s="119">
        <f>'дод 2'!I60</f>
        <v>6239788.9699999997</v>
      </c>
      <c r="I23" s="119">
        <f>'дод 2'!J60</f>
        <v>677518.61</v>
      </c>
      <c r="J23" s="164">
        <f t="shared" si="2"/>
        <v>98.55378602570093</v>
      </c>
      <c r="K23" s="119">
        <f>'дод 2'!L60</f>
        <v>236202.49</v>
      </c>
      <c r="L23" s="119">
        <f>'дод 2'!M60</f>
        <v>236202.49</v>
      </c>
      <c r="M23" s="119">
        <f>'дод 2'!N60</f>
        <v>0</v>
      </c>
      <c r="N23" s="119">
        <f>'дод 2'!O60</f>
        <v>0</v>
      </c>
      <c r="O23" s="119">
        <f>'дод 2'!P60</f>
        <v>0</v>
      </c>
      <c r="P23" s="119">
        <f>'дод 2'!Q60</f>
        <v>236202.49</v>
      </c>
      <c r="Q23" s="119">
        <f>'дод 2'!R60</f>
        <v>275493.99</v>
      </c>
      <c r="R23" s="119">
        <f>'дод 2'!S60</f>
        <v>234384.64000000001</v>
      </c>
      <c r="S23" s="119">
        <f>'дод 2'!T60</f>
        <v>33315.17</v>
      </c>
      <c r="T23" s="119">
        <f>'дод 2'!U60</f>
        <v>0</v>
      </c>
      <c r="U23" s="119">
        <f>'дод 2'!V60</f>
        <v>0</v>
      </c>
      <c r="V23" s="119">
        <f>'дод 2'!W60</f>
        <v>242178.82</v>
      </c>
      <c r="W23" s="164">
        <f t="shared" si="3"/>
        <v>116.63466799185733</v>
      </c>
      <c r="X23" s="119">
        <f>'дод 2'!Y60</f>
        <v>9124918.3300000001</v>
      </c>
      <c r="Y23" s="218"/>
      <c r="Z23" s="167"/>
    </row>
    <row r="24" spans="1:26" ht="21.75" customHeight="1" x14ac:dyDescent="0.25">
      <c r="A24" s="99"/>
      <c r="B24" s="99"/>
      <c r="C24" s="7" t="s">
        <v>342</v>
      </c>
      <c r="D24" s="119">
        <f>'дод 2'!E61</f>
        <v>6105244</v>
      </c>
      <c r="E24" s="119">
        <f>'дод 2'!F61</f>
        <v>4975700</v>
      </c>
      <c r="F24" s="119">
        <f>'дод 2'!G61</f>
        <v>0</v>
      </c>
      <c r="G24" s="119">
        <f>'дод 2'!H61</f>
        <v>6086617.8499999996</v>
      </c>
      <c r="H24" s="119">
        <f>'дод 2'!I61</f>
        <v>4959092.18</v>
      </c>
      <c r="I24" s="119">
        <f>'дод 2'!J61</f>
        <v>0</v>
      </c>
      <c r="J24" s="164">
        <f t="shared" si="2"/>
        <v>99.694915551286726</v>
      </c>
      <c r="K24" s="119">
        <f>'дод 2'!L61</f>
        <v>11302.49</v>
      </c>
      <c r="L24" s="119">
        <f>'дод 2'!M61</f>
        <v>11302.49</v>
      </c>
      <c r="M24" s="119">
        <f>'дод 2'!N61</f>
        <v>0</v>
      </c>
      <c r="N24" s="119">
        <f>'дод 2'!O61</f>
        <v>0</v>
      </c>
      <c r="O24" s="119">
        <f>'дод 2'!P61</f>
        <v>0</v>
      </c>
      <c r="P24" s="119">
        <f>'дод 2'!Q61</f>
        <v>11302.49</v>
      </c>
      <c r="Q24" s="119">
        <f>'дод 2'!R61</f>
        <v>11150</v>
      </c>
      <c r="R24" s="119">
        <f>'дод 2'!S61</f>
        <v>11150</v>
      </c>
      <c r="S24" s="119">
        <f>'дод 2'!T61</f>
        <v>0</v>
      </c>
      <c r="T24" s="119">
        <f>'дод 2'!U61</f>
        <v>0</v>
      </c>
      <c r="U24" s="119">
        <f>'дод 2'!V61</f>
        <v>0</v>
      </c>
      <c r="V24" s="119">
        <f>'дод 2'!W61</f>
        <v>11150</v>
      </c>
      <c r="W24" s="164">
        <f t="shared" si="3"/>
        <v>98.650828268815104</v>
      </c>
      <c r="X24" s="119">
        <f>'дод 2'!Y61</f>
        <v>6097767.8499999996</v>
      </c>
      <c r="Y24" s="218"/>
      <c r="Z24" s="167"/>
    </row>
    <row r="25" spans="1:26" ht="33" customHeight="1" x14ac:dyDescent="0.25">
      <c r="A25" s="99" t="s">
        <v>80</v>
      </c>
      <c r="B25" s="99" t="s">
        <v>81</v>
      </c>
      <c r="C25" s="10" t="s">
        <v>189</v>
      </c>
      <c r="D25" s="119">
        <f>'дод 2'!E62</f>
        <v>25146125</v>
      </c>
      <c r="E25" s="119">
        <f>'дод 2'!F62</f>
        <v>17544640</v>
      </c>
      <c r="F25" s="119">
        <f>'дод 2'!G62</f>
        <v>3230522</v>
      </c>
      <c r="G25" s="119">
        <f>'дод 2'!H62</f>
        <v>24676611.969999999</v>
      </c>
      <c r="H25" s="119">
        <f>'дод 2'!I62</f>
        <v>17544627.100000001</v>
      </c>
      <c r="I25" s="119">
        <f>'дод 2'!J62</f>
        <v>2833333.85</v>
      </c>
      <c r="J25" s="164">
        <f t="shared" si="2"/>
        <v>98.132861305668357</v>
      </c>
      <c r="K25" s="119">
        <f>'дод 2'!L62</f>
        <v>300000</v>
      </c>
      <c r="L25" s="119">
        <f>'дод 2'!M62</f>
        <v>300000</v>
      </c>
      <c r="M25" s="119">
        <f>'дод 2'!N62</f>
        <v>0</v>
      </c>
      <c r="N25" s="119">
        <f>'дод 2'!O62</f>
        <v>0</v>
      </c>
      <c r="O25" s="119">
        <f>'дод 2'!P62</f>
        <v>0</v>
      </c>
      <c r="P25" s="119">
        <f>'дод 2'!Q62</f>
        <v>300000</v>
      </c>
      <c r="Q25" s="119">
        <f>'дод 2'!R62</f>
        <v>1043755.03</v>
      </c>
      <c r="R25" s="119">
        <f>'дод 2'!S62</f>
        <v>295169.71000000002</v>
      </c>
      <c r="S25" s="119">
        <f>'дод 2'!T62</f>
        <v>534920.53</v>
      </c>
      <c r="T25" s="119">
        <f>'дод 2'!U62</f>
        <v>0</v>
      </c>
      <c r="U25" s="119">
        <f>'дод 2'!V62</f>
        <v>102</v>
      </c>
      <c r="V25" s="119">
        <f>'дод 2'!W62</f>
        <v>508834.5</v>
      </c>
      <c r="W25" s="164">
        <f t="shared" si="3"/>
        <v>347.91834333333338</v>
      </c>
      <c r="X25" s="119">
        <f>'дод 2'!Y62</f>
        <v>25720367</v>
      </c>
      <c r="Y25" s="218"/>
      <c r="Z25" s="167"/>
    </row>
    <row r="26" spans="1:26" ht="54.75" customHeight="1" x14ac:dyDescent="0.25">
      <c r="A26" s="99" t="s">
        <v>82</v>
      </c>
      <c r="B26" s="99" t="s">
        <v>81</v>
      </c>
      <c r="C26" s="10" t="s">
        <v>26</v>
      </c>
      <c r="D26" s="119">
        <f>'дод 2'!E204</f>
        <v>34729300</v>
      </c>
      <c r="E26" s="119">
        <f>'дод 2'!F204</f>
        <v>27174000</v>
      </c>
      <c r="F26" s="119">
        <f>'дод 2'!G204</f>
        <v>970836</v>
      </c>
      <c r="G26" s="119">
        <f>'дод 2'!H204</f>
        <v>34608202.07</v>
      </c>
      <c r="H26" s="119">
        <f>'дод 2'!I204</f>
        <v>27173998.870000001</v>
      </c>
      <c r="I26" s="119">
        <f>'дод 2'!J204</f>
        <v>902774.92</v>
      </c>
      <c r="J26" s="164">
        <f t="shared" si="2"/>
        <v>99.651309038765532</v>
      </c>
      <c r="K26" s="119">
        <f>'дод 2'!L204</f>
        <v>2586580</v>
      </c>
      <c r="L26" s="119">
        <f>'дод 2'!M204</f>
        <v>80000</v>
      </c>
      <c r="M26" s="119">
        <f>'дод 2'!N204</f>
        <v>2501860</v>
      </c>
      <c r="N26" s="119">
        <f>'дод 2'!O204</f>
        <v>2043504</v>
      </c>
      <c r="O26" s="119">
        <f>'дод 2'!P204</f>
        <v>0</v>
      </c>
      <c r="P26" s="119">
        <f>'дод 2'!Q204</f>
        <v>84720</v>
      </c>
      <c r="Q26" s="119">
        <f>'дод 2'!R204</f>
        <v>2055802.2799999998</v>
      </c>
      <c r="R26" s="119">
        <f>'дод 2'!S204</f>
        <v>10000</v>
      </c>
      <c r="S26" s="119">
        <f>'дод 2'!T204</f>
        <v>2036676.38</v>
      </c>
      <c r="T26" s="119">
        <f>'дод 2'!U204</f>
        <v>1608913.17</v>
      </c>
      <c r="U26" s="119">
        <f>'дод 2'!V204</f>
        <v>0</v>
      </c>
      <c r="V26" s="119">
        <f>'дод 2'!W204</f>
        <v>19125.900000000001</v>
      </c>
      <c r="W26" s="164">
        <f t="shared" si="3"/>
        <v>79.479555242830287</v>
      </c>
      <c r="X26" s="119">
        <f>'дод 2'!Y204</f>
        <v>36664004.350000001</v>
      </c>
      <c r="Y26" s="218"/>
      <c r="Z26" s="167"/>
    </row>
    <row r="27" spans="1:26" ht="39.75" customHeight="1" x14ac:dyDescent="0.25">
      <c r="A27" s="99" t="s">
        <v>290</v>
      </c>
      <c r="B27" s="99" t="s">
        <v>83</v>
      </c>
      <c r="C27" s="10" t="s">
        <v>155</v>
      </c>
      <c r="D27" s="119">
        <f>'дод 2'!E63</f>
        <v>105776700.27000001</v>
      </c>
      <c r="E27" s="119">
        <f>'дод 2'!F63</f>
        <v>58962800</v>
      </c>
      <c r="F27" s="119">
        <f>'дод 2'!G63</f>
        <v>10406026</v>
      </c>
      <c r="G27" s="119">
        <f>'дод 2'!H63</f>
        <v>104020900.53</v>
      </c>
      <c r="H27" s="119">
        <f>'дод 2'!I63</f>
        <v>58899089.289999999</v>
      </c>
      <c r="I27" s="119">
        <f>'дод 2'!J63</f>
        <v>9138566.6099999994</v>
      </c>
      <c r="J27" s="164">
        <f t="shared" si="2"/>
        <v>98.340088379087035</v>
      </c>
      <c r="K27" s="119">
        <f>'дод 2'!L63</f>
        <v>12527238.960000001</v>
      </c>
      <c r="L27" s="119">
        <f>'дод 2'!M63</f>
        <v>4809732.96</v>
      </c>
      <c r="M27" s="119">
        <f>'дод 2'!N63</f>
        <v>7600506</v>
      </c>
      <c r="N27" s="119">
        <f>'дод 2'!O63</f>
        <v>2516057</v>
      </c>
      <c r="O27" s="119">
        <f>'дод 2'!P63</f>
        <v>2589380</v>
      </c>
      <c r="P27" s="119">
        <f>'дод 2'!Q63</f>
        <v>4926732.96</v>
      </c>
      <c r="Q27" s="119">
        <f>'дод 2'!R63</f>
        <v>13362629.350000001</v>
      </c>
      <c r="R27" s="119">
        <f>'дод 2'!S63</f>
        <v>4807323.21</v>
      </c>
      <c r="S27" s="119">
        <f>'дод 2'!T63</f>
        <v>8109803.8600000003</v>
      </c>
      <c r="T27" s="119">
        <f>'дод 2'!U63</f>
        <v>2140659.96</v>
      </c>
      <c r="U27" s="119">
        <f>'дод 2'!V63</f>
        <v>2065492.05</v>
      </c>
      <c r="V27" s="119">
        <f>'дод 2'!W63</f>
        <v>5252825.49</v>
      </c>
      <c r="W27" s="164">
        <f t="shared" si="3"/>
        <v>106.66859148027301</v>
      </c>
      <c r="X27" s="119">
        <f>'дод 2'!Y63</f>
        <v>117383529.88</v>
      </c>
      <c r="Y27" s="218"/>
      <c r="Z27" s="167"/>
    </row>
    <row r="28" spans="1:26" ht="21" customHeight="1" x14ac:dyDescent="0.25">
      <c r="A28" s="99"/>
      <c r="B28" s="99"/>
      <c r="C28" s="7" t="s">
        <v>342</v>
      </c>
      <c r="D28" s="119">
        <f>'дод 2'!E64</f>
        <v>14536379.27</v>
      </c>
      <c r="E28" s="119">
        <f>'дод 2'!F64</f>
        <v>9426200</v>
      </c>
      <c r="F28" s="119">
        <f>'дод 2'!G64</f>
        <v>0</v>
      </c>
      <c r="G28" s="119">
        <f>'дод 2'!H64</f>
        <v>14472586.24</v>
      </c>
      <c r="H28" s="119">
        <f>'дод 2'!I64</f>
        <v>9362523.8300000001</v>
      </c>
      <c r="I28" s="119">
        <f>'дод 2'!J64</f>
        <v>0</v>
      </c>
      <c r="J28" s="164">
        <f t="shared" si="2"/>
        <v>99.56114910862533</v>
      </c>
      <c r="K28" s="119">
        <f>'дод 2'!L64</f>
        <v>4809732.96</v>
      </c>
      <c r="L28" s="119">
        <f>'дод 2'!M64</f>
        <v>4809732.96</v>
      </c>
      <c r="M28" s="119">
        <f>'дод 2'!N64</f>
        <v>0</v>
      </c>
      <c r="N28" s="119">
        <f>'дод 2'!O64</f>
        <v>0</v>
      </c>
      <c r="O28" s="119">
        <f>'дод 2'!P64</f>
        <v>0</v>
      </c>
      <c r="P28" s="119">
        <f>'дод 2'!Q64</f>
        <v>4809732.96</v>
      </c>
      <c r="Q28" s="119">
        <f>'дод 2'!R64</f>
        <v>4807323.21</v>
      </c>
      <c r="R28" s="119">
        <f>'дод 2'!S64</f>
        <v>4807323.21</v>
      </c>
      <c r="S28" s="119">
        <f>'дод 2'!T64</f>
        <v>0</v>
      </c>
      <c r="T28" s="119">
        <f>'дод 2'!U64</f>
        <v>0</v>
      </c>
      <c r="U28" s="119">
        <f>'дод 2'!V64</f>
        <v>0</v>
      </c>
      <c r="V28" s="119">
        <f>'дод 2'!W64</f>
        <v>4807323.21</v>
      </c>
      <c r="W28" s="164">
        <f t="shared" si="3"/>
        <v>99.949898465880736</v>
      </c>
      <c r="X28" s="119">
        <f>'дод 2'!Y64</f>
        <v>19279909.449999999</v>
      </c>
      <c r="Y28" s="218"/>
      <c r="Z28" s="167"/>
    </row>
    <row r="29" spans="1:26" ht="33" customHeight="1" x14ac:dyDescent="0.25">
      <c r="A29" s="99" t="s">
        <v>156</v>
      </c>
      <c r="B29" s="99" t="s">
        <v>84</v>
      </c>
      <c r="C29" s="10" t="s">
        <v>478</v>
      </c>
      <c r="D29" s="119">
        <f>'дод 2'!E65</f>
        <v>2847270</v>
      </c>
      <c r="E29" s="119">
        <f>'дод 2'!F65</f>
        <v>2189100</v>
      </c>
      <c r="F29" s="119">
        <f>'дод 2'!G65</f>
        <v>128898</v>
      </c>
      <c r="G29" s="119">
        <f>'дод 2'!H65</f>
        <v>2771498.2</v>
      </c>
      <c r="H29" s="119">
        <f>'дод 2'!I65</f>
        <v>2139370.11</v>
      </c>
      <c r="I29" s="119">
        <f>'дод 2'!J65</f>
        <v>109557.91</v>
      </c>
      <c r="J29" s="164">
        <f t="shared" si="2"/>
        <v>97.338791192967307</v>
      </c>
      <c r="K29" s="119">
        <f>'дод 2'!L65</f>
        <v>6500</v>
      </c>
      <c r="L29" s="119">
        <f>'дод 2'!M65</f>
        <v>6500</v>
      </c>
      <c r="M29" s="119">
        <f>'дод 2'!N65</f>
        <v>0</v>
      </c>
      <c r="N29" s="119">
        <f>'дод 2'!O65</f>
        <v>0</v>
      </c>
      <c r="O29" s="119">
        <f>'дод 2'!P65</f>
        <v>0</v>
      </c>
      <c r="P29" s="119">
        <f>'дод 2'!Q65</f>
        <v>6500</v>
      </c>
      <c r="Q29" s="119">
        <f>'дод 2'!R65</f>
        <v>30675.32</v>
      </c>
      <c r="R29" s="119">
        <f>'дод 2'!S65</f>
        <v>6486</v>
      </c>
      <c r="S29" s="119">
        <f>'дод 2'!T65</f>
        <v>8953.2099999999991</v>
      </c>
      <c r="T29" s="119">
        <f>'дод 2'!U65</f>
        <v>0</v>
      </c>
      <c r="U29" s="119">
        <f>'дод 2'!V65</f>
        <v>0</v>
      </c>
      <c r="V29" s="119">
        <f>'дод 2'!W65</f>
        <v>21722.11</v>
      </c>
      <c r="W29" s="164">
        <f t="shared" si="3"/>
        <v>471.92800000000005</v>
      </c>
      <c r="X29" s="119">
        <f>'дод 2'!Y65</f>
        <v>2802173.52</v>
      </c>
      <c r="Y29" s="218"/>
      <c r="Z29" s="167"/>
    </row>
    <row r="30" spans="1:26" ht="24.75" customHeight="1" x14ac:dyDescent="0.25">
      <c r="A30" s="99" t="s">
        <v>366</v>
      </c>
      <c r="B30" s="99" t="s">
        <v>84</v>
      </c>
      <c r="C30" s="10" t="s">
        <v>368</v>
      </c>
      <c r="D30" s="119">
        <f>'дод 2'!E66</f>
        <v>8216180</v>
      </c>
      <c r="E30" s="119">
        <f>'дод 2'!F66</f>
        <v>5861200</v>
      </c>
      <c r="F30" s="119">
        <f>'дод 2'!G66</f>
        <v>542229</v>
      </c>
      <c r="G30" s="119">
        <f>'дод 2'!H66</f>
        <v>8077847.71</v>
      </c>
      <c r="H30" s="119">
        <f>'дод 2'!I66</f>
        <v>5860997.4100000001</v>
      </c>
      <c r="I30" s="119">
        <f>'дод 2'!J66</f>
        <v>480950.68</v>
      </c>
      <c r="J30" s="164">
        <f t="shared" si="2"/>
        <v>98.316342996380314</v>
      </c>
      <c r="K30" s="119">
        <f>'дод 2'!L66</f>
        <v>148000</v>
      </c>
      <c r="L30" s="119">
        <f>'дод 2'!M66</f>
        <v>148000</v>
      </c>
      <c r="M30" s="119">
        <f>'дод 2'!N66</f>
        <v>0</v>
      </c>
      <c r="N30" s="119">
        <f>'дод 2'!O66</f>
        <v>0</v>
      </c>
      <c r="O30" s="119">
        <f>'дод 2'!P66</f>
        <v>0</v>
      </c>
      <c r="P30" s="119">
        <f>'дод 2'!Q66</f>
        <v>148000</v>
      </c>
      <c r="Q30" s="119">
        <f>'дод 2'!R66</f>
        <v>454201.98</v>
      </c>
      <c r="R30" s="119">
        <f>'дод 2'!S66</f>
        <v>146056.01999999999</v>
      </c>
      <c r="S30" s="119">
        <f>'дод 2'!T66</f>
        <v>195224.87</v>
      </c>
      <c r="T30" s="119">
        <f>'дод 2'!U66</f>
        <v>0</v>
      </c>
      <c r="U30" s="119">
        <f>'дод 2'!V66</f>
        <v>0</v>
      </c>
      <c r="V30" s="119">
        <f>'дод 2'!W66</f>
        <v>258977.11</v>
      </c>
      <c r="W30" s="164">
        <f t="shared" si="3"/>
        <v>306.89322972972974</v>
      </c>
      <c r="X30" s="119">
        <f>'дод 2'!Y66</f>
        <v>8532049.6899999995</v>
      </c>
      <c r="Y30" s="218"/>
      <c r="Z30" s="167"/>
    </row>
    <row r="31" spans="1:26" ht="21" hidden="1" customHeight="1" x14ac:dyDescent="0.25">
      <c r="A31" s="99"/>
      <c r="B31" s="99"/>
      <c r="C31" s="7" t="s">
        <v>342</v>
      </c>
      <c r="D31" s="119">
        <f>'дод 2'!E67</f>
        <v>0</v>
      </c>
      <c r="E31" s="119">
        <f>'дод 2'!F67</f>
        <v>0</v>
      </c>
      <c r="F31" s="119">
        <f>'дод 2'!G67</f>
        <v>0</v>
      </c>
      <c r="G31" s="119">
        <f>'дод 2'!H67</f>
        <v>0</v>
      </c>
      <c r="H31" s="119">
        <f>'дод 2'!I67</f>
        <v>0</v>
      </c>
      <c r="I31" s="119">
        <f>'дод 2'!J67</f>
        <v>0</v>
      </c>
      <c r="J31" s="164" t="e">
        <f t="shared" si="2"/>
        <v>#DIV/0!</v>
      </c>
      <c r="K31" s="119">
        <f>'дод 2'!L67</f>
        <v>0</v>
      </c>
      <c r="L31" s="119">
        <f>'дод 2'!M67</f>
        <v>0</v>
      </c>
      <c r="M31" s="119">
        <f>'дод 2'!N67</f>
        <v>0</v>
      </c>
      <c r="N31" s="119">
        <f>'дод 2'!O67</f>
        <v>0</v>
      </c>
      <c r="O31" s="119">
        <f>'дод 2'!P67</f>
        <v>0</v>
      </c>
      <c r="P31" s="119">
        <f>'дод 2'!Q67</f>
        <v>0</v>
      </c>
      <c r="Q31" s="119">
        <f>'дод 2'!R67</f>
        <v>0</v>
      </c>
      <c r="R31" s="119">
        <f>'дод 2'!S67</f>
        <v>0</v>
      </c>
      <c r="S31" s="119">
        <f>'дод 2'!T67</f>
        <v>0</v>
      </c>
      <c r="T31" s="119">
        <f>'дод 2'!U67</f>
        <v>0</v>
      </c>
      <c r="U31" s="119">
        <f>'дод 2'!V67</f>
        <v>0</v>
      </c>
      <c r="V31" s="119">
        <f>'дод 2'!W67</f>
        <v>0</v>
      </c>
      <c r="W31" s="164" t="e">
        <f t="shared" si="3"/>
        <v>#DIV/0!</v>
      </c>
      <c r="X31" s="119">
        <f>'дод 2'!Y67</f>
        <v>0</v>
      </c>
      <c r="Y31" s="218"/>
      <c r="Z31" s="167"/>
    </row>
    <row r="32" spans="1:26" ht="25.5" customHeight="1" x14ac:dyDescent="0.25">
      <c r="A32" s="99" t="s">
        <v>367</v>
      </c>
      <c r="B32" s="99" t="s">
        <v>84</v>
      </c>
      <c r="C32" s="10" t="s">
        <v>369</v>
      </c>
      <c r="D32" s="119">
        <f>'дод 2'!E68</f>
        <v>90400</v>
      </c>
      <c r="E32" s="119">
        <f>'дод 2'!F68</f>
        <v>0</v>
      </c>
      <c r="F32" s="119">
        <f>'дод 2'!G68</f>
        <v>0</v>
      </c>
      <c r="G32" s="119">
        <f>'дод 2'!H68</f>
        <v>90000</v>
      </c>
      <c r="H32" s="119">
        <f>'дод 2'!I68</f>
        <v>0</v>
      </c>
      <c r="I32" s="119">
        <f>'дод 2'!J68</f>
        <v>0</v>
      </c>
      <c r="J32" s="164">
        <f t="shared" si="2"/>
        <v>99.557522123893804</v>
      </c>
      <c r="K32" s="119">
        <f>'дод 2'!L68</f>
        <v>0</v>
      </c>
      <c r="L32" s="119">
        <f>'дод 2'!M68</f>
        <v>0</v>
      </c>
      <c r="M32" s="119">
        <f>'дод 2'!N68</f>
        <v>0</v>
      </c>
      <c r="N32" s="119">
        <f>'дод 2'!O68</f>
        <v>0</v>
      </c>
      <c r="O32" s="119">
        <f>'дод 2'!P68</f>
        <v>0</v>
      </c>
      <c r="P32" s="119">
        <f>'дод 2'!Q68</f>
        <v>0</v>
      </c>
      <c r="Q32" s="119">
        <f>'дод 2'!R68</f>
        <v>0</v>
      </c>
      <c r="R32" s="119">
        <f>'дод 2'!S68</f>
        <v>0</v>
      </c>
      <c r="S32" s="119">
        <f>'дод 2'!T68</f>
        <v>0</v>
      </c>
      <c r="T32" s="119">
        <f>'дод 2'!U68</f>
        <v>0</v>
      </c>
      <c r="U32" s="119">
        <f>'дод 2'!V68</f>
        <v>0</v>
      </c>
      <c r="V32" s="119">
        <f>'дод 2'!W68</f>
        <v>0</v>
      </c>
      <c r="W32" s="164"/>
      <c r="X32" s="119">
        <f>'дод 2'!Y68</f>
        <v>90000</v>
      </c>
      <c r="Y32" s="218"/>
      <c r="Z32" s="167"/>
    </row>
    <row r="33" spans="1:26" ht="17.25" customHeight="1" x14ac:dyDescent="0.25">
      <c r="A33" s="99" t="s">
        <v>570</v>
      </c>
      <c r="B33" s="99" t="s">
        <v>84</v>
      </c>
      <c r="C33" s="87" t="s">
        <v>569</v>
      </c>
      <c r="D33" s="119">
        <f>SUM('дод 2'!E70)</f>
        <v>1451420</v>
      </c>
      <c r="E33" s="119">
        <f>SUM('дод 2'!F70)</f>
        <v>1050764</v>
      </c>
      <c r="F33" s="119">
        <f>SUM('дод 2'!G70)</f>
        <v>92060</v>
      </c>
      <c r="G33" s="119">
        <f>SUM('дод 2'!H70)</f>
        <v>706739.19</v>
      </c>
      <c r="H33" s="119">
        <f>SUM('дод 2'!I70)</f>
        <v>476166.78</v>
      </c>
      <c r="I33" s="119">
        <f>SUM('дод 2'!J70)</f>
        <v>64250.27</v>
      </c>
      <c r="J33" s="164">
        <f t="shared" si="2"/>
        <v>48.692948285127663</v>
      </c>
      <c r="K33" s="119">
        <f>SUM('дод 2'!L70)</f>
        <v>30000</v>
      </c>
      <c r="L33" s="119">
        <f>SUM('дод 2'!M70)</f>
        <v>30000</v>
      </c>
      <c r="M33" s="119">
        <f>SUM('дод 2'!N70)</f>
        <v>0</v>
      </c>
      <c r="N33" s="119">
        <f>SUM('дод 2'!O70)</f>
        <v>0</v>
      </c>
      <c r="O33" s="119">
        <f>SUM('дод 2'!P70)</f>
        <v>0</v>
      </c>
      <c r="P33" s="119">
        <f>SUM('дод 2'!Q70)</f>
        <v>30000</v>
      </c>
      <c r="Q33" s="119">
        <f>SUM('дод 2'!R70)</f>
        <v>170340</v>
      </c>
      <c r="R33" s="119">
        <f>SUM('дод 2'!S70)</f>
        <v>29000</v>
      </c>
      <c r="S33" s="119">
        <f>SUM('дод 2'!T70)</f>
        <v>5390</v>
      </c>
      <c r="T33" s="119">
        <f>SUM('дод 2'!U70)</f>
        <v>0</v>
      </c>
      <c r="U33" s="119">
        <f>SUM('дод 2'!V70)</f>
        <v>0</v>
      </c>
      <c r="V33" s="119">
        <f>SUM('дод 2'!W70)</f>
        <v>164950</v>
      </c>
      <c r="W33" s="164">
        <f t="shared" si="3"/>
        <v>567.79999999999995</v>
      </c>
      <c r="X33" s="119">
        <f>SUM('дод 2'!Y70)</f>
        <v>877079.19</v>
      </c>
      <c r="Y33" s="218"/>
      <c r="Z33" s="167"/>
    </row>
    <row r="34" spans="1:26" ht="21.75" customHeight="1" x14ac:dyDescent="0.25">
      <c r="A34" s="99"/>
      <c r="B34" s="99"/>
      <c r="C34" s="7" t="s">
        <v>342</v>
      </c>
      <c r="D34" s="119">
        <f>SUM('дод 2'!E71)</f>
        <v>1178720</v>
      </c>
      <c r="E34" s="119">
        <f>SUM('дод 2'!F71)</f>
        <v>966164</v>
      </c>
      <c r="F34" s="119">
        <f>SUM('дод 2'!G71)</f>
        <v>0</v>
      </c>
      <c r="G34" s="119">
        <f>SUM('дод 2'!H71)</f>
        <v>581910.49</v>
      </c>
      <c r="H34" s="119">
        <f>SUM('дод 2'!I71)</f>
        <v>476166.78</v>
      </c>
      <c r="I34" s="119">
        <f>SUM('дод 2'!J71)</f>
        <v>0</v>
      </c>
      <c r="J34" s="164">
        <f t="shared" si="2"/>
        <v>49.368000033935118</v>
      </c>
      <c r="K34" s="119">
        <f>SUM('дод 2'!L71)</f>
        <v>0</v>
      </c>
      <c r="L34" s="119">
        <f>SUM('дод 2'!M71)</f>
        <v>0</v>
      </c>
      <c r="M34" s="119">
        <f>SUM('дод 2'!N71)</f>
        <v>0</v>
      </c>
      <c r="N34" s="119">
        <f>SUM('дод 2'!O71)</f>
        <v>0</v>
      </c>
      <c r="O34" s="119">
        <f>SUM('дод 2'!P71)</f>
        <v>0</v>
      </c>
      <c r="P34" s="119">
        <f>SUM('дод 2'!Q71)</f>
        <v>0</v>
      </c>
      <c r="Q34" s="119">
        <f>SUM('дод 2'!R71)</f>
        <v>0</v>
      </c>
      <c r="R34" s="119">
        <f>SUM('дод 2'!S71)</f>
        <v>0</v>
      </c>
      <c r="S34" s="119">
        <f>SUM('дод 2'!T71)</f>
        <v>0</v>
      </c>
      <c r="T34" s="119">
        <f>SUM('дод 2'!U71)</f>
        <v>0</v>
      </c>
      <c r="U34" s="119">
        <f>SUM('дод 2'!V71)</f>
        <v>0</v>
      </c>
      <c r="V34" s="119">
        <f>SUM('дод 2'!W71)</f>
        <v>0</v>
      </c>
      <c r="W34" s="164"/>
      <c r="X34" s="119">
        <f>SUM('дод 2'!Y71)</f>
        <v>581910.49</v>
      </c>
      <c r="Y34" s="218"/>
      <c r="Z34" s="167"/>
    </row>
    <row r="35" spans="1:26" s="12" customFormat="1" ht="23.25" customHeight="1" x14ac:dyDescent="0.25">
      <c r="A35" s="100" t="s">
        <v>85</v>
      </c>
      <c r="B35" s="101"/>
      <c r="C35" s="16" t="s">
        <v>86</v>
      </c>
      <c r="D35" s="118">
        <f>D37+D39+D41+D43+D45+D47+D49+D51+D53+D55</f>
        <v>345867675.66000003</v>
      </c>
      <c r="E35" s="118">
        <f t="shared" ref="E35:X35" si="10">E37+E39+E41+E43+E45+E47+E49+E51+E53+E55</f>
        <v>0</v>
      </c>
      <c r="F35" s="118">
        <f t="shared" si="10"/>
        <v>0</v>
      </c>
      <c r="G35" s="118">
        <f>G37+G39+G41+G43+G45+G47+G49+G51+G53+G55</f>
        <v>341243288.19000006</v>
      </c>
      <c r="H35" s="118">
        <f t="shared" ref="H35:I35" si="11">H37+H39+H41+H43+H45+H47+H49+H51+H53+H55</f>
        <v>0</v>
      </c>
      <c r="I35" s="118">
        <f t="shared" si="11"/>
        <v>0</v>
      </c>
      <c r="J35" s="135">
        <f t="shared" si="2"/>
        <v>98.662960491703799</v>
      </c>
      <c r="K35" s="118">
        <f t="shared" si="10"/>
        <v>40854012.299999997</v>
      </c>
      <c r="L35" s="118">
        <f t="shared" si="10"/>
        <v>19965334.300000001</v>
      </c>
      <c r="M35" s="118">
        <f t="shared" si="10"/>
        <v>20888678</v>
      </c>
      <c r="N35" s="118">
        <f t="shared" si="10"/>
        <v>0</v>
      </c>
      <c r="O35" s="118">
        <f t="shared" si="10"/>
        <v>0</v>
      </c>
      <c r="P35" s="118">
        <f t="shared" si="10"/>
        <v>19965334.300000001</v>
      </c>
      <c r="Q35" s="118">
        <f t="shared" ref="Q35:V35" si="12">Q37+Q39+Q41+Q43+Q45+Q47+Q49+Q51+Q53+Q55</f>
        <v>24065430.669999998</v>
      </c>
      <c r="R35" s="118">
        <f t="shared" si="12"/>
        <v>19054298.170000002</v>
      </c>
      <c r="S35" s="118">
        <f t="shared" si="12"/>
        <v>4796439.5</v>
      </c>
      <c r="T35" s="118">
        <f t="shared" si="12"/>
        <v>0</v>
      </c>
      <c r="U35" s="118">
        <f t="shared" si="12"/>
        <v>0</v>
      </c>
      <c r="V35" s="118">
        <f t="shared" si="12"/>
        <v>19268991.170000002</v>
      </c>
      <c r="W35" s="135">
        <f t="shared" si="3"/>
        <v>58.905917228599847</v>
      </c>
      <c r="X35" s="118">
        <f t="shared" si="10"/>
        <v>365308718.85999995</v>
      </c>
      <c r="Y35" s="218"/>
      <c r="Z35" s="167"/>
    </row>
    <row r="36" spans="1:26" s="12" customFormat="1" ht="18.75" customHeight="1" x14ac:dyDescent="0.25">
      <c r="A36" s="100"/>
      <c r="B36" s="101"/>
      <c r="C36" s="6" t="s">
        <v>342</v>
      </c>
      <c r="D36" s="118">
        <f>D38+D40+D42+D44+D46+D48+D50+D52+D54+D56</f>
        <v>214027355.66</v>
      </c>
      <c r="E36" s="118">
        <f t="shared" ref="E36:X36" si="13">E38+E40+E42+E44+E46+E48+E50+E52+E54+E56</f>
        <v>0</v>
      </c>
      <c r="F36" s="118">
        <f t="shared" si="13"/>
        <v>0</v>
      </c>
      <c r="G36" s="118">
        <f>G38+G40+G42+G44+G46+G48+G50+G52+G54+G56</f>
        <v>214027350.46000001</v>
      </c>
      <c r="H36" s="118">
        <f t="shared" ref="H36:I36" si="14">H38+H40+H42+H44+H46+H48+H50+H52+H54+H56</f>
        <v>0</v>
      </c>
      <c r="I36" s="118">
        <f t="shared" si="14"/>
        <v>0</v>
      </c>
      <c r="J36" s="135">
        <f t="shared" si="2"/>
        <v>99.999997570404048</v>
      </c>
      <c r="K36" s="118">
        <f t="shared" si="13"/>
        <v>0</v>
      </c>
      <c r="L36" s="118">
        <f t="shared" si="13"/>
        <v>0</v>
      </c>
      <c r="M36" s="118">
        <f t="shared" si="13"/>
        <v>0</v>
      </c>
      <c r="N36" s="118">
        <f t="shared" si="13"/>
        <v>0</v>
      </c>
      <c r="O36" s="118">
        <f t="shared" si="13"/>
        <v>0</v>
      </c>
      <c r="P36" s="118">
        <f t="shared" si="13"/>
        <v>0</v>
      </c>
      <c r="Q36" s="118">
        <f t="shared" ref="Q36:V36" si="15">Q38+Q40+Q42+Q44+Q46+Q48+Q50+Q52+Q54+Q56</f>
        <v>0</v>
      </c>
      <c r="R36" s="118">
        <f t="shared" si="15"/>
        <v>0</v>
      </c>
      <c r="S36" s="118">
        <f t="shared" si="15"/>
        <v>0</v>
      </c>
      <c r="T36" s="118">
        <f t="shared" si="15"/>
        <v>0</v>
      </c>
      <c r="U36" s="118">
        <f t="shared" si="15"/>
        <v>0</v>
      </c>
      <c r="V36" s="118">
        <f t="shared" si="15"/>
        <v>0</v>
      </c>
      <c r="W36" s="135"/>
      <c r="X36" s="118">
        <f t="shared" si="13"/>
        <v>214027350.46000001</v>
      </c>
      <c r="Y36" s="218"/>
      <c r="Z36" s="167"/>
    </row>
    <row r="37" spans="1:26" ht="31.5" x14ac:dyDescent="0.25">
      <c r="A37" s="99" t="s">
        <v>87</v>
      </c>
      <c r="B37" s="99" t="s">
        <v>88</v>
      </c>
      <c r="C37" s="10" t="s">
        <v>46</v>
      </c>
      <c r="D37" s="119">
        <f>'дод 2'!E85</f>
        <v>270066168.66000003</v>
      </c>
      <c r="E37" s="119">
        <f>'дод 2'!F85</f>
        <v>0</v>
      </c>
      <c r="F37" s="119">
        <f>'дод 2'!G85</f>
        <v>0</v>
      </c>
      <c r="G37" s="119">
        <f>'дод 2'!H85</f>
        <v>267671567.58000001</v>
      </c>
      <c r="H37" s="119">
        <f>'дод 2'!I85</f>
        <v>0</v>
      </c>
      <c r="I37" s="119">
        <f>'дод 2'!J85</f>
        <v>0</v>
      </c>
      <c r="J37" s="164">
        <f t="shared" si="2"/>
        <v>99.113328007028272</v>
      </c>
      <c r="K37" s="119">
        <f>'дод 2'!L85</f>
        <v>26434879.300000001</v>
      </c>
      <c r="L37" s="119">
        <f>'дод 2'!M85</f>
        <v>13218011.300000001</v>
      </c>
      <c r="M37" s="119">
        <f>'дод 2'!N85</f>
        <v>13216868</v>
      </c>
      <c r="N37" s="119">
        <f>'дод 2'!O85</f>
        <v>0</v>
      </c>
      <c r="O37" s="119">
        <f>'дод 2'!P85</f>
        <v>0</v>
      </c>
      <c r="P37" s="119">
        <f>'дод 2'!Q85</f>
        <v>13218011.300000001</v>
      </c>
      <c r="Q37" s="119">
        <f>'дод 2'!R85</f>
        <v>16466843.9</v>
      </c>
      <c r="R37" s="119">
        <f>'дод 2'!S85</f>
        <v>13012979.210000001</v>
      </c>
      <c r="S37" s="119">
        <f>'дод 2'!T85</f>
        <v>3239171.69</v>
      </c>
      <c r="T37" s="119">
        <f>'дод 2'!U85</f>
        <v>0</v>
      </c>
      <c r="U37" s="119">
        <f>'дод 2'!V85</f>
        <v>0</v>
      </c>
      <c r="V37" s="119">
        <f>'дод 2'!W85</f>
        <v>13227672.210000001</v>
      </c>
      <c r="W37" s="164">
        <f t="shared" si="3"/>
        <v>62.292109273977282</v>
      </c>
      <c r="X37" s="119">
        <f>'дод 2'!Y85</f>
        <v>284138411.48000002</v>
      </c>
      <c r="Y37" s="218"/>
      <c r="Z37" s="167"/>
    </row>
    <row r="38" spans="1:26" ht="15.75" customHeight="1" x14ac:dyDescent="0.25">
      <c r="A38" s="99"/>
      <c r="B38" s="99"/>
      <c r="C38" s="7" t="s">
        <v>342</v>
      </c>
      <c r="D38" s="119">
        <f>'дод 2'!E86</f>
        <v>180256155.66</v>
      </c>
      <c r="E38" s="119">
        <f>'дод 2'!F86</f>
        <v>0</v>
      </c>
      <c r="F38" s="119">
        <f>'дод 2'!G86</f>
        <v>0</v>
      </c>
      <c r="G38" s="119">
        <f>'дод 2'!H86</f>
        <v>180256155.66</v>
      </c>
      <c r="H38" s="119">
        <f>'дод 2'!I86</f>
        <v>0</v>
      </c>
      <c r="I38" s="119">
        <f>'дод 2'!J86</f>
        <v>0</v>
      </c>
      <c r="J38" s="164">
        <f t="shared" si="2"/>
        <v>100</v>
      </c>
      <c r="K38" s="119">
        <f>'дод 2'!L86</f>
        <v>0</v>
      </c>
      <c r="L38" s="119">
        <f>'дод 2'!M86</f>
        <v>0</v>
      </c>
      <c r="M38" s="119">
        <f>'дод 2'!N86</f>
        <v>0</v>
      </c>
      <c r="N38" s="119">
        <f>'дод 2'!O86</f>
        <v>0</v>
      </c>
      <c r="O38" s="119">
        <f>'дод 2'!P86</f>
        <v>0</v>
      </c>
      <c r="P38" s="119">
        <f>'дод 2'!Q86</f>
        <v>0</v>
      </c>
      <c r="Q38" s="119">
        <f>'дод 2'!R86</f>
        <v>0</v>
      </c>
      <c r="R38" s="119">
        <f>'дод 2'!S86</f>
        <v>0</v>
      </c>
      <c r="S38" s="119">
        <f>'дод 2'!T86</f>
        <v>0</v>
      </c>
      <c r="T38" s="119">
        <f>'дод 2'!U86</f>
        <v>0</v>
      </c>
      <c r="U38" s="119">
        <f>'дод 2'!V86</f>
        <v>0</v>
      </c>
      <c r="V38" s="119">
        <f>'дод 2'!W86</f>
        <v>0</v>
      </c>
      <c r="W38" s="164"/>
      <c r="X38" s="119">
        <f>'дод 2'!Y86</f>
        <v>180256155.66</v>
      </c>
      <c r="Y38" s="218"/>
      <c r="Z38" s="167"/>
    </row>
    <row r="39" spans="1:26" ht="42.75" customHeight="1" x14ac:dyDescent="0.25">
      <c r="A39" s="99" t="s">
        <v>157</v>
      </c>
      <c r="B39" s="99" t="s">
        <v>89</v>
      </c>
      <c r="C39" s="10" t="s">
        <v>158</v>
      </c>
      <c r="D39" s="119">
        <f>'дод 2'!E87</f>
        <v>37835381</v>
      </c>
      <c r="E39" s="119">
        <f>'дод 2'!F87</f>
        <v>0</v>
      </c>
      <c r="F39" s="119">
        <f>'дод 2'!G87</f>
        <v>0</v>
      </c>
      <c r="G39" s="119">
        <f>'дод 2'!H87</f>
        <v>36327938.75</v>
      </c>
      <c r="H39" s="119">
        <f>'дод 2'!I87</f>
        <v>0</v>
      </c>
      <c r="I39" s="119">
        <f>'дод 2'!J87</f>
        <v>0</v>
      </c>
      <c r="J39" s="164">
        <f t="shared" si="2"/>
        <v>96.015786784332903</v>
      </c>
      <c r="K39" s="119">
        <f>'дод 2'!L87</f>
        <v>353908</v>
      </c>
      <c r="L39" s="119">
        <f>'дод 2'!M87</f>
        <v>316508</v>
      </c>
      <c r="M39" s="119">
        <f>'дод 2'!N87</f>
        <v>37400</v>
      </c>
      <c r="N39" s="119">
        <f>'дод 2'!O87</f>
        <v>0</v>
      </c>
      <c r="O39" s="119">
        <f>'дод 2'!P87</f>
        <v>0</v>
      </c>
      <c r="P39" s="119">
        <f>'дод 2'!Q87</f>
        <v>316508</v>
      </c>
      <c r="Q39" s="119">
        <f>'дод 2'!R87</f>
        <v>328004.03000000003</v>
      </c>
      <c r="R39" s="119">
        <f>'дод 2'!S87</f>
        <v>316044.76</v>
      </c>
      <c r="S39" s="119">
        <f>'дод 2'!T87</f>
        <v>11959.27</v>
      </c>
      <c r="T39" s="119">
        <f>'дод 2'!U87</f>
        <v>0</v>
      </c>
      <c r="U39" s="119">
        <f>'дод 2'!V87</f>
        <v>0</v>
      </c>
      <c r="V39" s="119">
        <f>'дод 2'!W87</f>
        <v>316044.76</v>
      </c>
      <c r="W39" s="164">
        <f t="shared" si="3"/>
        <v>92.680592131288364</v>
      </c>
      <c r="X39" s="119">
        <f>'дод 2'!Y87</f>
        <v>36655942.780000001</v>
      </c>
      <c r="Y39" s="218"/>
      <c r="Z39" s="167"/>
    </row>
    <row r="40" spans="1:26" ht="24" customHeight="1" x14ac:dyDescent="0.25">
      <c r="A40" s="99"/>
      <c r="B40" s="99"/>
      <c r="C40" s="7" t="s">
        <v>342</v>
      </c>
      <c r="D40" s="119">
        <f>'дод 2'!E88</f>
        <v>23624600</v>
      </c>
      <c r="E40" s="119">
        <f>'дод 2'!F88</f>
        <v>0</v>
      </c>
      <c r="F40" s="119">
        <f>'дод 2'!G88</f>
        <v>0</v>
      </c>
      <c r="G40" s="119">
        <f>'дод 2'!H88</f>
        <v>23624600</v>
      </c>
      <c r="H40" s="119">
        <f>'дод 2'!I88</f>
        <v>0</v>
      </c>
      <c r="I40" s="119">
        <f>'дод 2'!J88</f>
        <v>0</v>
      </c>
      <c r="J40" s="164">
        <f t="shared" si="2"/>
        <v>100</v>
      </c>
      <c r="K40" s="119">
        <f>'дод 2'!L88</f>
        <v>0</v>
      </c>
      <c r="L40" s="119">
        <f>'дод 2'!M88</f>
        <v>0</v>
      </c>
      <c r="M40" s="119">
        <f>'дод 2'!N88</f>
        <v>0</v>
      </c>
      <c r="N40" s="119">
        <f>'дод 2'!O88</f>
        <v>0</v>
      </c>
      <c r="O40" s="119">
        <f>'дод 2'!P88</f>
        <v>0</v>
      </c>
      <c r="P40" s="119">
        <f>'дод 2'!Q88</f>
        <v>0</v>
      </c>
      <c r="Q40" s="119">
        <f>'дод 2'!R88</f>
        <v>0</v>
      </c>
      <c r="R40" s="119">
        <f>'дод 2'!S88</f>
        <v>0</v>
      </c>
      <c r="S40" s="119">
        <f>'дод 2'!T88</f>
        <v>0</v>
      </c>
      <c r="T40" s="119">
        <f>'дод 2'!U88</f>
        <v>0</v>
      </c>
      <c r="U40" s="119">
        <f>'дод 2'!V88</f>
        <v>0</v>
      </c>
      <c r="V40" s="119">
        <f>'дод 2'!W88</f>
        <v>0</v>
      </c>
      <c r="W40" s="164"/>
      <c r="X40" s="119">
        <f>'дод 2'!Y88</f>
        <v>23624600</v>
      </c>
      <c r="Y40" s="218"/>
      <c r="Z40" s="167"/>
    </row>
    <row r="41" spans="1:26" ht="33" hidden="1" customHeight="1" x14ac:dyDescent="0.25">
      <c r="A41" s="99" t="s">
        <v>159</v>
      </c>
      <c r="B41" s="99" t="s">
        <v>90</v>
      </c>
      <c r="C41" s="10" t="s">
        <v>410</v>
      </c>
      <c r="D41" s="119">
        <f>'дод 2'!E89</f>
        <v>0</v>
      </c>
      <c r="E41" s="119">
        <f>'дод 2'!F89</f>
        <v>0</v>
      </c>
      <c r="F41" s="119">
        <f>'дод 2'!G89</f>
        <v>0</v>
      </c>
      <c r="G41" s="119">
        <f>'дод 2'!H89</f>
        <v>0</v>
      </c>
      <c r="H41" s="119">
        <f>'дод 2'!I89</f>
        <v>0</v>
      </c>
      <c r="I41" s="119">
        <f>'дод 2'!J89</f>
        <v>0</v>
      </c>
      <c r="J41" s="164" t="e">
        <f t="shared" si="2"/>
        <v>#DIV/0!</v>
      </c>
      <c r="K41" s="119">
        <f>'дод 2'!L89</f>
        <v>0</v>
      </c>
      <c r="L41" s="119">
        <f>'дод 2'!M89</f>
        <v>0</v>
      </c>
      <c r="M41" s="119">
        <f>'дод 2'!N89</f>
        <v>0</v>
      </c>
      <c r="N41" s="119">
        <f>'дод 2'!O89</f>
        <v>0</v>
      </c>
      <c r="O41" s="119">
        <f>'дод 2'!P89</f>
        <v>0</v>
      </c>
      <c r="P41" s="119">
        <f>'дод 2'!Q89</f>
        <v>0</v>
      </c>
      <c r="Q41" s="119">
        <f>'дод 2'!R89</f>
        <v>0</v>
      </c>
      <c r="R41" s="119">
        <f>'дод 2'!S89</f>
        <v>0</v>
      </c>
      <c r="S41" s="119">
        <f>'дод 2'!T89</f>
        <v>0</v>
      </c>
      <c r="T41" s="119">
        <f>'дод 2'!U89</f>
        <v>0</v>
      </c>
      <c r="U41" s="119">
        <f>'дод 2'!V89</f>
        <v>0</v>
      </c>
      <c r="V41" s="119">
        <f>'дод 2'!W89</f>
        <v>0</v>
      </c>
      <c r="W41" s="164" t="e">
        <f t="shared" si="3"/>
        <v>#DIV/0!</v>
      </c>
      <c r="X41" s="119">
        <f>'дод 2'!Y89</f>
        <v>0</v>
      </c>
      <c r="Y41" s="218"/>
      <c r="Z41" s="167"/>
    </row>
    <row r="42" spans="1:26" ht="27" hidden="1" customHeight="1" x14ac:dyDescent="0.25">
      <c r="A42" s="99"/>
      <c r="B42" s="99"/>
      <c r="C42" s="7" t="s">
        <v>342</v>
      </c>
      <c r="D42" s="119">
        <f>'дод 2'!E90</f>
        <v>0</v>
      </c>
      <c r="E42" s="119">
        <f>'дод 2'!F90</f>
        <v>0</v>
      </c>
      <c r="F42" s="119">
        <f>'дод 2'!G90</f>
        <v>0</v>
      </c>
      <c r="G42" s="119">
        <f>'дод 2'!H90</f>
        <v>0</v>
      </c>
      <c r="H42" s="119">
        <f>'дод 2'!I90</f>
        <v>0</v>
      </c>
      <c r="I42" s="119">
        <f>'дод 2'!J90</f>
        <v>0</v>
      </c>
      <c r="J42" s="164" t="e">
        <f t="shared" si="2"/>
        <v>#DIV/0!</v>
      </c>
      <c r="K42" s="119">
        <f>'дод 2'!L90</f>
        <v>0</v>
      </c>
      <c r="L42" s="119">
        <f>'дод 2'!M90</f>
        <v>0</v>
      </c>
      <c r="M42" s="119">
        <f>'дод 2'!N90</f>
        <v>0</v>
      </c>
      <c r="N42" s="119">
        <f>'дод 2'!O90</f>
        <v>0</v>
      </c>
      <c r="O42" s="119">
        <f>'дод 2'!P90</f>
        <v>0</v>
      </c>
      <c r="P42" s="119">
        <f>'дод 2'!Q90</f>
        <v>0</v>
      </c>
      <c r="Q42" s="119">
        <f>'дод 2'!R90</f>
        <v>0</v>
      </c>
      <c r="R42" s="119">
        <f>'дод 2'!S90</f>
        <v>0</v>
      </c>
      <c r="S42" s="119">
        <f>'дод 2'!T90</f>
        <v>0</v>
      </c>
      <c r="T42" s="119">
        <f>'дод 2'!U90</f>
        <v>0</v>
      </c>
      <c r="U42" s="119">
        <f>'дод 2'!V90</f>
        <v>0</v>
      </c>
      <c r="V42" s="119">
        <f>'дод 2'!W90</f>
        <v>0</v>
      </c>
      <c r="W42" s="164" t="e">
        <f t="shared" si="3"/>
        <v>#DIV/0!</v>
      </c>
      <c r="X42" s="119">
        <f>'дод 2'!Y90</f>
        <v>0</v>
      </c>
      <c r="Y42" s="218"/>
      <c r="Z42" s="167"/>
    </row>
    <row r="43" spans="1:26" ht="25.5" customHeight="1" x14ac:dyDescent="0.25">
      <c r="A43" s="99" t="s">
        <v>160</v>
      </c>
      <c r="B43" s="99" t="s">
        <v>91</v>
      </c>
      <c r="C43" s="10" t="s">
        <v>161</v>
      </c>
      <c r="D43" s="119">
        <f>'дод 2'!E91</f>
        <v>6293457</v>
      </c>
      <c r="E43" s="119">
        <f>'дод 2'!F91</f>
        <v>0</v>
      </c>
      <c r="F43" s="119">
        <f>'дод 2'!G91</f>
        <v>0</v>
      </c>
      <c r="G43" s="119">
        <f>'дод 2'!H91</f>
        <v>6211951.5300000003</v>
      </c>
      <c r="H43" s="119">
        <f>'дод 2'!I91</f>
        <v>0</v>
      </c>
      <c r="I43" s="119">
        <f>'дод 2'!J91</f>
        <v>0</v>
      </c>
      <c r="J43" s="164">
        <f t="shared" si="2"/>
        <v>98.704917345109379</v>
      </c>
      <c r="K43" s="119">
        <f>'дод 2'!L91</f>
        <v>8044410</v>
      </c>
      <c r="L43" s="119">
        <f>'дод 2'!M91</f>
        <v>410000</v>
      </c>
      <c r="M43" s="119">
        <f>'дод 2'!N91</f>
        <v>7634410</v>
      </c>
      <c r="N43" s="119">
        <f>'дод 2'!O91</f>
        <v>0</v>
      </c>
      <c r="O43" s="119">
        <f>'дод 2'!P91</f>
        <v>0</v>
      </c>
      <c r="P43" s="119">
        <f>'дод 2'!Q91</f>
        <v>410000</v>
      </c>
      <c r="Q43" s="119">
        <f>'дод 2'!R91</f>
        <v>1954062.04</v>
      </c>
      <c r="R43" s="119">
        <f>'дод 2'!S91</f>
        <v>408800</v>
      </c>
      <c r="S43" s="119">
        <f>'дод 2'!T91</f>
        <v>1545262.04</v>
      </c>
      <c r="T43" s="119">
        <f>'дод 2'!U91</f>
        <v>0</v>
      </c>
      <c r="U43" s="119">
        <f>'дод 2'!V91</f>
        <v>0</v>
      </c>
      <c r="V43" s="119">
        <f>'дод 2'!W91</f>
        <v>408800</v>
      </c>
      <c r="W43" s="164">
        <f t="shared" si="3"/>
        <v>24.290930472216111</v>
      </c>
      <c r="X43" s="119">
        <f>'дод 2'!Y91</f>
        <v>8166013.5700000003</v>
      </c>
      <c r="Y43" s="218"/>
      <c r="Z43" s="167"/>
    </row>
    <row r="44" spans="1:26" ht="25.5" customHeight="1" x14ac:dyDescent="0.25">
      <c r="A44" s="99"/>
      <c r="B44" s="99"/>
      <c r="C44" s="7" t="s">
        <v>342</v>
      </c>
      <c r="D44" s="119">
        <f>'дод 2'!E92</f>
        <v>4109800</v>
      </c>
      <c r="E44" s="119">
        <f>'дод 2'!F92</f>
        <v>0</v>
      </c>
      <c r="F44" s="119">
        <f>'дод 2'!G92</f>
        <v>0</v>
      </c>
      <c r="G44" s="119">
        <f>'дод 2'!H92</f>
        <v>4109800</v>
      </c>
      <c r="H44" s="119">
        <f>'дод 2'!I92</f>
        <v>0</v>
      </c>
      <c r="I44" s="119">
        <f>'дод 2'!J92</f>
        <v>0</v>
      </c>
      <c r="J44" s="164">
        <f t="shared" si="2"/>
        <v>100</v>
      </c>
      <c r="K44" s="119">
        <f>'дод 2'!L92</f>
        <v>0</v>
      </c>
      <c r="L44" s="119">
        <f>'дод 2'!M92</f>
        <v>0</v>
      </c>
      <c r="M44" s="119">
        <f>'дод 2'!N92</f>
        <v>0</v>
      </c>
      <c r="N44" s="119">
        <f>'дод 2'!O92</f>
        <v>0</v>
      </c>
      <c r="O44" s="119">
        <f>'дод 2'!P92</f>
        <v>0</v>
      </c>
      <c r="P44" s="119">
        <f>'дод 2'!Q92</f>
        <v>0</v>
      </c>
      <c r="Q44" s="119">
        <f>'дод 2'!R92</f>
        <v>0</v>
      </c>
      <c r="R44" s="119">
        <f>'дод 2'!S92</f>
        <v>0</v>
      </c>
      <c r="S44" s="119">
        <f>'дод 2'!T92</f>
        <v>0</v>
      </c>
      <c r="T44" s="119">
        <f>'дод 2'!U92</f>
        <v>0</v>
      </c>
      <c r="U44" s="119">
        <f>'дод 2'!V92</f>
        <v>0</v>
      </c>
      <c r="V44" s="119">
        <f>'дод 2'!W92</f>
        <v>0</v>
      </c>
      <c r="W44" s="164"/>
      <c r="X44" s="119">
        <f>'дод 2'!Y92</f>
        <v>4109800</v>
      </c>
      <c r="Y44" s="218"/>
      <c r="Z44" s="167"/>
    </row>
    <row r="45" spans="1:26" ht="54" customHeight="1" x14ac:dyDescent="0.25">
      <c r="A45" s="99" t="s">
        <v>162</v>
      </c>
      <c r="B45" s="99" t="s">
        <v>411</v>
      </c>
      <c r="C45" s="10" t="s">
        <v>163</v>
      </c>
      <c r="D45" s="119">
        <f>'дод 2'!E93</f>
        <v>2341800</v>
      </c>
      <c r="E45" s="119">
        <f>'дод 2'!F93</f>
        <v>0</v>
      </c>
      <c r="F45" s="119">
        <f>'дод 2'!G93</f>
        <v>0</v>
      </c>
      <c r="G45" s="119">
        <f>'дод 2'!H93</f>
        <v>2068008.47</v>
      </c>
      <c r="H45" s="119">
        <f>'дод 2'!I93</f>
        <v>0</v>
      </c>
      <c r="I45" s="119">
        <f>'дод 2'!J93</f>
        <v>0</v>
      </c>
      <c r="J45" s="164">
        <f t="shared" si="2"/>
        <v>88.308500725937307</v>
      </c>
      <c r="K45" s="119">
        <f>'дод 2'!L93</f>
        <v>3020815</v>
      </c>
      <c r="L45" s="119">
        <f>'дод 2'!M93</f>
        <v>3020815</v>
      </c>
      <c r="M45" s="119">
        <f>'дод 2'!N93</f>
        <v>0</v>
      </c>
      <c r="N45" s="119">
        <f>'дод 2'!O93</f>
        <v>0</v>
      </c>
      <c r="O45" s="119">
        <f>'дод 2'!P93</f>
        <v>0</v>
      </c>
      <c r="P45" s="119">
        <f>'дод 2'!Q93</f>
        <v>3020815</v>
      </c>
      <c r="Q45" s="119">
        <f>'дод 2'!R93</f>
        <v>2321907.61</v>
      </c>
      <c r="R45" s="119">
        <f>'дод 2'!S93</f>
        <v>2321907.61</v>
      </c>
      <c r="S45" s="119">
        <f>'дод 2'!T93</f>
        <v>0</v>
      </c>
      <c r="T45" s="119">
        <f>'дод 2'!U93</f>
        <v>0</v>
      </c>
      <c r="U45" s="119">
        <f>'дод 2'!V93</f>
        <v>0</v>
      </c>
      <c r="V45" s="119">
        <f>'дод 2'!W93</f>
        <v>2321907.61</v>
      </c>
      <c r="W45" s="164">
        <f t="shared" si="3"/>
        <v>76.863614951594187</v>
      </c>
      <c r="X45" s="119">
        <f>'дод 2'!Y93</f>
        <v>4389916.08</v>
      </c>
      <c r="Y45" s="218"/>
      <c r="Z45" s="167"/>
    </row>
    <row r="46" spans="1:26" ht="21.75" hidden="1" customHeight="1" x14ac:dyDescent="0.25">
      <c r="A46" s="99"/>
      <c r="B46" s="99"/>
      <c r="C46" s="7" t="s">
        <v>342</v>
      </c>
      <c r="D46" s="119">
        <f>'дод 2'!E94</f>
        <v>0</v>
      </c>
      <c r="E46" s="119">
        <f>'дод 2'!F94</f>
        <v>0</v>
      </c>
      <c r="F46" s="119">
        <f>'дод 2'!G94</f>
        <v>0</v>
      </c>
      <c r="G46" s="119">
        <f>'дод 2'!H94</f>
        <v>0</v>
      </c>
      <c r="H46" s="119">
        <f>'дод 2'!I94</f>
        <v>0</v>
      </c>
      <c r="I46" s="119">
        <f>'дод 2'!J94</f>
        <v>0</v>
      </c>
      <c r="J46" s="164" t="e">
        <f t="shared" si="2"/>
        <v>#DIV/0!</v>
      </c>
      <c r="K46" s="119">
        <f>'дод 2'!L94</f>
        <v>0</v>
      </c>
      <c r="L46" s="119">
        <f>'дод 2'!M94</f>
        <v>0</v>
      </c>
      <c r="M46" s="119">
        <f>'дод 2'!N94</f>
        <v>0</v>
      </c>
      <c r="N46" s="119">
        <f>'дод 2'!O94</f>
        <v>0</v>
      </c>
      <c r="O46" s="119">
        <f>'дод 2'!P94</f>
        <v>0</v>
      </c>
      <c r="P46" s="119">
        <f>'дод 2'!Q94</f>
        <v>0</v>
      </c>
      <c r="Q46" s="119">
        <f>'дод 2'!R94</f>
        <v>0</v>
      </c>
      <c r="R46" s="119">
        <f>'дод 2'!S94</f>
        <v>0</v>
      </c>
      <c r="S46" s="119">
        <f>'дод 2'!T94</f>
        <v>0</v>
      </c>
      <c r="T46" s="119">
        <f>'дод 2'!U94</f>
        <v>0</v>
      </c>
      <c r="U46" s="119">
        <f>'дод 2'!V94</f>
        <v>0</v>
      </c>
      <c r="V46" s="119">
        <f>'дод 2'!W94</f>
        <v>0</v>
      </c>
      <c r="W46" s="135" t="e">
        <f t="shared" si="3"/>
        <v>#DIV/0!</v>
      </c>
      <c r="X46" s="119">
        <f>'дод 2'!Y94</f>
        <v>0</v>
      </c>
      <c r="Y46" s="218"/>
      <c r="Z46" s="167"/>
    </row>
    <row r="47" spans="1:26" ht="52.5" hidden="1" customHeight="1" x14ac:dyDescent="0.25">
      <c r="A47" s="99" t="s">
        <v>481</v>
      </c>
      <c r="B47" s="99" t="s">
        <v>90</v>
      </c>
      <c r="C47" s="10" t="s">
        <v>479</v>
      </c>
      <c r="D47" s="119">
        <f>'дод 2'!E95</f>
        <v>0</v>
      </c>
      <c r="E47" s="119">
        <f>'дод 2'!F95</f>
        <v>0</v>
      </c>
      <c r="F47" s="119">
        <f>'дод 2'!G95</f>
        <v>0</v>
      </c>
      <c r="G47" s="119">
        <f>'дод 2'!H95</f>
        <v>0</v>
      </c>
      <c r="H47" s="119">
        <f>'дод 2'!I95</f>
        <v>0</v>
      </c>
      <c r="I47" s="119">
        <f>'дод 2'!J95</f>
        <v>0</v>
      </c>
      <c r="J47" s="164" t="e">
        <f t="shared" si="2"/>
        <v>#DIV/0!</v>
      </c>
      <c r="K47" s="119">
        <f>'дод 2'!L95</f>
        <v>0</v>
      </c>
      <c r="L47" s="119">
        <f>'дод 2'!M95</f>
        <v>0</v>
      </c>
      <c r="M47" s="119">
        <f>'дод 2'!N95</f>
        <v>0</v>
      </c>
      <c r="N47" s="119">
        <f>'дод 2'!O95</f>
        <v>0</v>
      </c>
      <c r="O47" s="119">
        <f>'дод 2'!P95</f>
        <v>0</v>
      </c>
      <c r="P47" s="119">
        <f>'дод 2'!Q95</f>
        <v>0</v>
      </c>
      <c r="Q47" s="119">
        <f>'дод 2'!R95</f>
        <v>0</v>
      </c>
      <c r="R47" s="119">
        <f>'дод 2'!S95</f>
        <v>0</v>
      </c>
      <c r="S47" s="119">
        <f>'дод 2'!T95</f>
        <v>0</v>
      </c>
      <c r="T47" s="119">
        <f>'дод 2'!U95</f>
        <v>0</v>
      </c>
      <c r="U47" s="119">
        <f>'дод 2'!V95</f>
        <v>0</v>
      </c>
      <c r="V47" s="119">
        <f>'дод 2'!W95</f>
        <v>0</v>
      </c>
      <c r="W47" s="135" t="e">
        <f t="shared" si="3"/>
        <v>#DIV/0!</v>
      </c>
      <c r="X47" s="119">
        <f>'дод 2'!Y95</f>
        <v>0</v>
      </c>
      <c r="Y47" s="218"/>
      <c r="Z47" s="167"/>
    </row>
    <row r="48" spans="1:26" ht="21.75" hidden="1" customHeight="1" x14ac:dyDescent="0.25">
      <c r="A48" s="99"/>
      <c r="B48" s="99"/>
      <c r="C48" s="7" t="s">
        <v>342</v>
      </c>
      <c r="D48" s="119">
        <f>'дод 2'!E96</f>
        <v>0</v>
      </c>
      <c r="E48" s="119">
        <f>'дод 2'!F96</f>
        <v>0</v>
      </c>
      <c r="F48" s="119">
        <f>'дод 2'!G96</f>
        <v>0</v>
      </c>
      <c r="G48" s="119">
        <f>'дод 2'!H96</f>
        <v>0</v>
      </c>
      <c r="H48" s="119">
        <f>'дод 2'!I96</f>
        <v>0</v>
      </c>
      <c r="I48" s="119">
        <f>'дод 2'!J96</f>
        <v>0</v>
      </c>
      <c r="J48" s="164" t="e">
        <f t="shared" si="2"/>
        <v>#DIV/0!</v>
      </c>
      <c r="K48" s="119">
        <f>'дод 2'!L96</f>
        <v>0</v>
      </c>
      <c r="L48" s="119">
        <f>'дод 2'!M96</f>
        <v>0</v>
      </c>
      <c r="M48" s="119">
        <f>'дод 2'!N96</f>
        <v>0</v>
      </c>
      <c r="N48" s="119">
        <f>'дод 2'!O96</f>
        <v>0</v>
      </c>
      <c r="O48" s="119">
        <f>'дод 2'!P96</f>
        <v>0</v>
      </c>
      <c r="P48" s="119">
        <f>'дод 2'!Q96</f>
        <v>0</v>
      </c>
      <c r="Q48" s="119">
        <f>'дод 2'!R96</f>
        <v>0</v>
      </c>
      <c r="R48" s="119">
        <f>'дод 2'!S96</f>
        <v>0</v>
      </c>
      <c r="S48" s="119">
        <f>'дод 2'!T96</f>
        <v>0</v>
      </c>
      <c r="T48" s="119">
        <f>'дод 2'!U96</f>
        <v>0</v>
      </c>
      <c r="U48" s="119">
        <f>'дод 2'!V96</f>
        <v>0</v>
      </c>
      <c r="V48" s="119">
        <f>'дод 2'!W96</f>
        <v>0</v>
      </c>
      <c r="W48" s="135" t="e">
        <f t="shared" si="3"/>
        <v>#DIV/0!</v>
      </c>
      <c r="X48" s="119">
        <f>'дод 2'!Y96</f>
        <v>0</v>
      </c>
      <c r="Y48" s="218"/>
      <c r="Z48" s="167"/>
    </row>
    <row r="49" spans="1:26" ht="36.75" customHeight="1" x14ac:dyDescent="0.25">
      <c r="A49" s="102">
        <v>2144</v>
      </c>
      <c r="B49" s="99" t="s">
        <v>92</v>
      </c>
      <c r="C49" s="10" t="s">
        <v>164</v>
      </c>
      <c r="D49" s="119">
        <f>'дод 2'!E97</f>
        <v>9985500</v>
      </c>
      <c r="E49" s="119">
        <f>'дод 2'!F97</f>
        <v>0</v>
      </c>
      <c r="F49" s="119">
        <f>'дод 2'!G97</f>
        <v>0</v>
      </c>
      <c r="G49" s="119">
        <f>'дод 2'!H97</f>
        <v>9985496.8699999992</v>
      </c>
      <c r="H49" s="119">
        <f>'дод 2'!I97</f>
        <v>0</v>
      </c>
      <c r="I49" s="119">
        <f>'дод 2'!J97</f>
        <v>0</v>
      </c>
      <c r="J49" s="164">
        <f t="shared" si="2"/>
        <v>99.999968654549093</v>
      </c>
      <c r="K49" s="119">
        <f>'дод 2'!L97</f>
        <v>0</v>
      </c>
      <c r="L49" s="119">
        <f>'дод 2'!M97</f>
        <v>0</v>
      </c>
      <c r="M49" s="119">
        <f>'дод 2'!N97</f>
        <v>0</v>
      </c>
      <c r="N49" s="119">
        <f>'дод 2'!O97</f>
        <v>0</v>
      </c>
      <c r="O49" s="119">
        <f>'дод 2'!P97</f>
        <v>0</v>
      </c>
      <c r="P49" s="119">
        <f>'дод 2'!Q97</f>
        <v>0</v>
      </c>
      <c r="Q49" s="119">
        <f>'дод 2'!R97</f>
        <v>0</v>
      </c>
      <c r="R49" s="119">
        <f>'дод 2'!S97</f>
        <v>0</v>
      </c>
      <c r="S49" s="119">
        <f>'дод 2'!T97</f>
        <v>0</v>
      </c>
      <c r="T49" s="119">
        <f>'дод 2'!U97</f>
        <v>0</v>
      </c>
      <c r="U49" s="119">
        <f>'дод 2'!V97</f>
        <v>0</v>
      </c>
      <c r="V49" s="119">
        <f>'дод 2'!W97</f>
        <v>0</v>
      </c>
      <c r="W49" s="164"/>
      <c r="X49" s="119">
        <f>'дод 2'!Y97</f>
        <v>9985496.8699999992</v>
      </c>
      <c r="Y49" s="218"/>
      <c r="Z49" s="167"/>
    </row>
    <row r="50" spans="1:26" ht="24.75" customHeight="1" x14ac:dyDescent="0.25">
      <c r="A50" s="102"/>
      <c r="B50" s="99"/>
      <c r="C50" s="7" t="s">
        <v>342</v>
      </c>
      <c r="D50" s="119">
        <f>'дод 2'!E98</f>
        <v>4580500</v>
      </c>
      <c r="E50" s="119">
        <f>'дод 2'!F98</f>
        <v>0</v>
      </c>
      <c r="F50" s="119">
        <f>'дод 2'!G98</f>
        <v>0</v>
      </c>
      <c r="G50" s="119">
        <f>'дод 2'!H98</f>
        <v>4580500</v>
      </c>
      <c r="H50" s="119">
        <f>'дод 2'!I98</f>
        <v>0</v>
      </c>
      <c r="I50" s="119">
        <f>'дод 2'!J98</f>
        <v>0</v>
      </c>
      <c r="J50" s="164">
        <f t="shared" si="2"/>
        <v>100</v>
      </c>
      <c r="K50" s="119">
        <f>'дод 2'!L98</f>
        <v>0</v>
      </c>
      <c r="L50" s="119">
        <f>'дод 2'!M98</f>
        <v>0</v>
      </c>
      <c r="M50" s="119">
        <f>'дод 2'!N98</f>
        <v>0</v>
      </c>
      <c r="N50" s="119">
        <f>'дод 2'!O98</f>
        <v>0</v>
      </c>
      <c r="O50" s="119">
        <f>'дод 2'!P98</f>
        <v>0</v>
      </c>
      <c r="P50" s="119">
        <f>'дод 2'!Q98</f>
        <v>0</v>
      </c>
      <c r="Q50" s="119">
        <f>'дод 2'!R98</f>
        <v>0</v>
      </c>
      <c r="R50" s="119">
        <f>'дод 2'!S98</f>
        <v>0</v>
      </c>
      <c r="S50" s="119">
        <f>'дод 2'!T98</f>
        <v>0</v>
      </c>
      <c r="T50" s="119">
        <f>'дод 2'!U98</f>
        <v>0</v>
      </c>
      <c r="U50" s="119">
        <f>'дод 2'!V98</f>
        <v>0</v>
      </c>
      <c r="V50" s="119">
        <f>'дод 2'!W98</f>
        <v>0</v>
      </c>
      <c r="W50" s="164"/>
      <c r="X50" s="119">
        <f>'дод 2'!Y98</f>
        <v>4580500</v>
      </c>
      <c r="Y50" s="218"/>
      <c r="Z50" s="167"/>
    </row>
    <row r="51" spans="1:26" ht="32.25" customHeight="1" x14ac:dyDescent="0.25">
      <c r="A51" s="102">
        <v>2146</v>
      </c>
      <c r="B51" s="99" t="s">
        <v>92</v>
      </c>
      <c r="C51" s="10" t="s">
        <v>424</v>
      </c>
      <c r="D51" s="119">
        <f>'дод 2'!E99</f>
        <v>1456300</v>
      </c>
      <c r="E51" s="119">
        <f>'дод 2'!F99</f>
        <v>0</v>
      </c>
      <c r="F51" s="119">
        <f>'дод 2'!G99</f>
        <v>0</v>
      </c>
      <c r="G51" s="119">
        <f>'дод 2'!H99</f>
        <v>1456294.8</v>
      </c>
      <c r="H51" s="119">
        <f>'дод 2'!I99</f>
        <v>0</v>
      </c>
      <c r="I51" s="119">
        <f>'дод 2'!J99</f>
        <v>0</v>
      </c>
      <c r="J51" s="164">
        <f t="shared" si="2"/>
        <v>99.999642930714828</v>
      </c>
      <c r="K51" s="119">
        <f>'дод 2'!L99</f>
        <v>0</v>
      </c>
      <c r="L51" s="119">
        <f>'дод 2'!M99</f>
        <v>0</v>
      </c>
      <c r="M51" s="119">
        <f>'дод 2'!N99</f>
        <v>0</v>
      </c>
      <c r="N51" s="119">
        <f>'дод 2'!O99</f>
        <v>0</v>
      </c>
      <c r="O51" s="119">
        <f>'дод 2'!P99</f>
        <v>0</v>
      </c>
      <c r="P51" s="119">
        <f>'дод 2'!Q99</f>
        <v>0</v>
      </c>
      <c r="Q51" s="119">
        <f>'дод 2'!R99</f>
        <v>0</v>
      </c>
      <c r="R51" s="119">
        <f>'дод 2'!S99</f>
        <v>0</v>
      </c>
      <c r="S51" s="119">
        <f>'дод 2'!T99</f>
        <v>0</v>
      </c>
      <c r="T51" s="119">
        <f>'дод 2'!U99</f>
        <v>0</v>
      </c>
      <c r="U51" s="119">
        <f>'дод 2'!V99</f>
        <v>0</v>
      </c>
      <c r="V51" s="119">
        <f>'дод 2'!W99</f>
        <v>0</v>
      </c>
      <c r="W51" s="164"/>
      <c r="X51" s="119">
        <f>'дод 2'!Y99</f>
        <v>1456294.8</v>
      </c>
      <c r="Y51" s="218"/>
      <c r="Z51" s="167"/>
    </row>
    <row r="52" spans="1:26" ht="24.75" customHeight="1" x14ac:dyDescent="0.25">
      <c r="A52" s="102"/>
      <c r="B52" s="99"/>
      <c r="C52" s="7" t="s">
        <v>342</v>
      </c>
      <c r="D52" s="119">
        <f>'дод 2'!E100</f>
        <v>1456300</v>
      </c>
      <c r="E52" s="119">
        <f>'дод 2'!F100</f>
        <v>0</v>
      </c>
      <c r="F52" s="119">
        <f>'дод 2'!G100</f>
        <v>0</v>
      </c>
      <c r="G52" s="119">
        <f>'дод 2'!H100</f>
        <v>1456294.8</v>
      </c>
      <c r="H52" s="119">
        <f>'дод 2'!I100</f>
        <v>0</v>
      </c>
      <c r="I52" s="119">
        <f>'дод 2'!J100</f>
        <v>0</v>
      </c>
      <c r="J52" s="164">
        <f t="shared" si="2"/>
        <v>99.999642930714828</v>
      </c>
      <c r="K52" s="119">
        <f>'дод 2'!L100</f>
        <v>0</v>
      </c>
      <c r="L52" s="119">
        <f>'дод 2'!M100</f>
        <v>0</v>
      </c>
      <c r="M52" s="119">
        <f>'дод 2'!N100</f>
        <v>0</v>
      </c>
      <c r="N52" s="119">
        <f>'дод 2'!O100</f>
        <v>0</v>
      </c>
      <c r="O52" s="119">
        <f>'дод 2'!P100</f>
        <v>0</v>
      </c>
      <c r="P52" s="119">
        <f>'дод 2'!Q100</f>
        <v>0</v>
      </c>
      <c r="Q52" s="119">
        <f>'дод 2'!R100</f>
        <v>0</v>
      </c>
      <c r="R52" s="119">
        <f>'дод 2'!S100</f>
        <v>0</v>
      </c>
      <c r="S52" s="119">
        <f>'дод 2'!T100</f>
        <v>0</v>
      </c>
      <c r="T52" s="119">
        <f>'дод 2'!U100</f>
        <v>0</v>
      </c>
      <c r="U52" s="119">
        <f>'дод 2'!V100</f>
        <v>0</v>
      </c>
      <c r="V52" s="119">
        <f>'дод 2'!W100</f>
        <v>0</v>
      </c>
      <c r="W52" s="164"/>
      <c r="X52" s="119">
        <f>'дод 2'!Y100</f>
        <v>1456294.8</v>
      </c>
      <c r="Y52" s="218"/>
      <c r="Z52" s="167"/>
    </row>
    <row r="53" spans="1:26" ht="37.5" customHeight="1" x14ac:dyDescent="0.25">
      <c r="A53" s="99" t="s">
        <v>370</v>
      </c>
      <c r="B53" s="99" t="s">
        <v>92</v>
      </c>
      <c r="C53" s="7" t="s">
        <v>372</v>
      </c>
      <c r="D53" s="119">
        <f>'дод 2'!E101</f>
        <v>2602469</v>
      </c>
      <c r="E53" s="119">
        <f>'дод 2'!F101</f>
        <v>0</v>
      </c>
      <c r="F53" s="119">
        <f>'дод 2'!G101</f>
        <v>0</v>
      </c>
      <c r="G53" s="119">
        <f>'дод 2'!H101</f>
        <v>2510793.2000000002</v>
      </c>
      <c r="H53" s="119">
        <f>'дод 2'!I101</f>
        <v>0</v>
      </c>
      <c r="I53" s="119">
        <f>'дод 2'!J101</f>
        <v>0</v>
      </c>
      <c r="J53" s="164">
        <f t="shared" si="2"/>
        <v>96.477352852233793</v>
      </c>
      <c r="K53" s="119">
        <f>'дод 2'!L101</f>
        <v>0</v>
      </c>
      <c r="L53" s="119">
        <f>'дод 2'!M101</f>
        <v>0</v>
      </c>
      <c r="M53" s="119">
        <f>'дод 2'!N101</f>
        <v>0</v>
      </c>
      <c r="N53" s="119">
        <f>'дод 2'!O101</f>
        <v>0</v>
      </c>
      <c r="O53" s="119">
        <f>'дод 2'!P101</f>
        <v>0</v>
      </c>
      <c r="P53" s="119">
        <f>'дод 2'!Q101</f>
        <v>0</v>
      </c>
      <c r="Q53" s="119">
        <f>'дод 2'!R101</f>
        <v>46.5</v>
      </c>
      <c r="R53" s="119">
        <f>'дод 2'!S101</f>
        <v>0</v>
      </c>
      <c r="S53" s="119">
        <f>'дод 2'!T101</f>
        <v>46.5</v>
      </c>
      <c r="T53" s="119">
        <f>'дод 2'!U101</f>
        <v>0</v>
      </c>
      <c r="U53" s="119">
        <f>'дод 2'!V101</f>
        <v>0</v>
      </c>
      <c r="V53" s="119">
        <f>'дод 2'!W101</f>
        <v>0</v>
      </c>
      <c r="W53" s="164"/>
      <c r="X53" s="119">
        <f>'дод 2'!Y101</f>
        <v>2510839.7000000002</v>
      </c>
      <c r="Y53" s="187">
        <v>19</v>
      </c>
      <c r="Z53" s="167"/>
    </row>
    <row r="54" spans="1:26" ht="21.75" hidden="1" customHeight="1" x14ac:dyDescent="0.25">
      <c r="A54" s="99"/>
      <c r="B54" s="99"/>
      <c r="C54" s="7" t="s">
        <v>342</v>
      </c>
      <c r="D54" s="119">
        <f>'дод 2'!E102</f>
        <v>0</v>
      </c>
      <c r="E54" s="119">
        <f>'дод 2'!F102</f>
        <v>0</v>
      </c>
      <c r="F54" s="119">
        <f>'дод 2'!G102</f>
        <v>0</v>
      </c>
      <c r="G54" s="119">
        <f>'дод 2'!H102</f>
        <v>0</v>
      </c>
      <c r="H54" s="119">
        <f>'дод 2'!I102</f>
        <v>0</v>
      </c>
      <c r="I54" s="119">
        <f>'дод 2'!J102</f>
        <v>0</v>
      </c>
      <c r="J54" s="164" t="e">
        <f t="shared" si="2"/>
        <v>#DIV/0!</v>
      </c>
      <c r="K54" s="119">
        <f>'дод 2'!L102</f>
        <v>0</v>
      </c>
      <c r="L54" s="119">
        <f>'дод 2'!M102</f>
        <v>0</v>
      </c>
      <c r="M54" s="119">
        <f>'дод 2'!N102</f>
        <v>0</v>
      </c>
      <c r="N54" s="119">
        <f>'дод 2'!O102</f>
        <v>0</v>
      </c>
      <c r="O54" s="119">
        <f>'дод 2'!P102</f>
        <v>0</v>
      </c>
      <c r="P54" s="119">
        <f>'дод 2'!Q102</f>
        <v>0</v>
      </c>
      <c r="Q54" s="119">
        <f>'дод 2'!R102</f>
        <v>0</v>
      </c>
      <c r="R54" s="119">
        <f>'дод 2'!S102</f>
        <v>0</v>
      </c>
      <c r="S54" s="119">
        <f>'дод 2'!T102</f>
        <v>0</v>
      </c>
      <c r="T54" s="119">
        <f>'дод 2'!U102</f>
        <v>0</v>
      </c>
      <c r="U54" s="119">
        <f>'дод 2'!V102</f>
        <v>0</v>
      </c>
      <c r="V54" s="119">
        <f>'дод 2'!W102</f>
        <v>0</v>
      </c>
      <c r="W54" s="164" t="e">
        <f t="shared" si="3"/>
        <v>#DIV/0!</v>
      </c>
      <c r="X54" s="119">
        <f>'дод 2'!Y102</f>
        <v>0</v>
      </c>
      <c r="Y54" s="187"/>
      <c r="Z54" s="167"/>
    </row>
    <row r="55" spans="1:26" ht="21.75" customHeight="1" x14ac:dyDescent="0.25">
      <c r="A55" s="99" t="s">
        <v>371</v>
      </c>
      <c r="B55" s="99" t="s">
        <v>92</v>
      </c>
      <c r="C55" s="7" t="s">
        <v>373</v>
      </c>
      <c r="D55" s="119">
        <f>'дод 2'!E103</f>
        <v>15286600</v>
      </c>
      <c r="E55" s="119">
        <f>'дод 2'!F103</f>
        <v>0</v>
      </c>
      <c r="F55" s="119">
        <f>'дод 2'!G103</f>
        <v>0</v>
      </c>
      <c r="G55" s="119">
        <f>'дод 2'!H103</f>
        <v>15011236.99</v>
      </c>
      <c r="H55" s="119">
        <f>'дод 2'!I103</f>
        <v>0</v>
      </c>
      <c r="I55" s="119">
        <f>'дод 2'!J103</f>
        <v>0</v>
      </c>
      <c r="J55" s="164">
        <f t="shared" si="2"/>
        <v>98.198664124134865</v>
      </c>
      <c r="K55" s="119">
        <f>'дод 2'!L103</f>
        <v>3000000</v>
      </c>
      <c r="L55" s="119">
        <f>'дод 2'!M103</f>
        <v>3000000</v>
      </c>
      <c r="M55" s="119">
        <f>'дод 2'!N103</f>
        <v>0</v>
      </c>
      <c r="N55" s="119">
        <f>'дод 2'!O103</f>
        <v>0</v>
      </c>
      <c r="O55" s="119">
        <f>'дод 2'!P103</f>
        <v>0</v>
      </c>
      <c r="P55" s="119">
        <f>'дод 2'!Q103</f>
        <v>3000000</v>
      </c>
      <c r="Q55" s="119">
        <f>'дод 2'!R103</f>
        <v>2994566.59</v>
      </c>
      <c r="R55" s="119">
        <f>'дод 2'!S103</f>
        <v>2994566.59</v>
      </c>
      <c r="S55" s="119">
        <f>'дод 2'!T103</f>
        <v>0</v>
      </c>
      <c r="T55" s="119">
        <f>'дод 2'!U103</f>
        <v>0</v>
      </c>
      <c r="U55" s="119">
        <f>'дод 2'!V103</f>
        <v>0</v>
      </c>
      <c r="V55" s="119">
        <f>'дод 2'!W103</f>
        <v>2994566.59</v>
      </c>
      <c r="W55" s="164">
        <f t="shared" si="3"/>
        <v>99.818886333333325</v>
      </c>
      <c r="X55" s="119">
        <f>'дод 2'!Y103</f>
        <v>18005803.579999998</v>
      </c>
      <c r="Y55" s="187"/>
      <c r="Z55" s="167"/>
    </row>
    <row r="56" spans="1:26" ht="21.75" hidden="1" customHeight="1" x14ac:dyDescent="0.25">
      <c r="A56" s="99"/>
      <c r="B56" s="99"/>
      <c r="C56" s="7" t="s">
        <v>342</v>
      </c>
      <c r="D56" s="119">
        <f>'дод 2'!E104</f>
        <v>0</v>
      </c>
      <c r="E56" s="119">
        <f>'дод 2'!F104</f>
        <v>0</v>
      </c>
      <c r="F56" s="119">
        <f>'дод 2'!G104</f>
        <v>0</v>
      </c>
      <c r="G56" s="119"/>
      <c r="H56" s="119"/>
      <c r="I56" s="119"/>
      <c r="J56" s="135" t="e">
        <f t="shared" si="2"/>
        <v>#DIV/0!</v>
      </c>
      <c r="K56" s="119">
        <f>'дод 2'!L104</f>
        <v>0</v>
      </c>
      <c r="L56" s="119">
        <f>'дод 2'!M104</f>
        <v>0</v>
      </c>
      <c r="M56" s="119">
        <f>'дод 2'!N104</f>
        <v>0</v>
      </c>
      <c r="N56" s="119">
        <f>'дод 2'!O104</f>
        <v>0</v>
      </c>
      <c r="O56" s="119">
        <f>'дод 2'!P104</f>
        <v>0</v>
      </c>
      <c r="P56" s="119">
        <f>'дод 2'!Q104</f>
        <v>0</v>
      </c>
      <c r="Q56" s="119"/>
      <c r="R56" s="119"/>
      <c r="S56" s="119"/>
      <c r="T56" s="119"/>
      <c r="U56" s="119"/>
      <c r="V56" s="119"/>
      <c r="W56" s="135" t="e">
        <f t="shared" si="3"/>
        <v>#DIV/0!</v>
      </c>
      <c r="X56" s="119">
        <f>'дод 2'!Y104</f>
        <v>0</v>
      </c>
      <c r="Y56" s="187"/>
      <c r="Z56" s="167"/>
    </row>
    <row r="57" spans="1:26" s="12" customFormat="1" ht="24" customHeight="1" x14ac:dyDescent="0.25">
      <c r="A57" s="100" t="s">
        <v>93</v>
      </c>
      <c r="B57" s="103"/>
      <c r="C57" s="6" t="s">
        <v>94</v>
      </c>
      <c r="D57" s="118">
        <f t="shared" ref="D57:F57" si="16">SUM(D59+D61+D63+D65+D67+D68+D69+D70+D71+D72+D74+D76+D78+D80+D82+D84+D86+D88+D89+D91+D93+D95+D97+D99+D101+D103+D104+D105+D106+D107+D108+D109+D110+D111+D112+D113+D114+D115+D116+D117+D126+D128+D129+D124+D118+D122+D120)</f>
        <v>662021838.32999992</v>
      </c>
      <c r="E57" s="118">
        <f t="shared" si="16"/>
        <v>14307321</v>
      </c>
      <c r="F57" s="118">
        <f t="shared" si="16"/>
        <v>968952</v>
      </c>
      <c r="G57" s="118">
        <f t="shared" ref="G57:I57" si="17">SUM(G59+G61+G63+G65+G67+G68+G69+G70+G71+G72+G74+G76+G78+G80+G82+G84+G86+G88+G89+G91+G93+G95+G97+G99+G101+G103+G104+G105+G106+G107+G108+G109+G110+G111+G112+G113+G114+G115+G116+G117+G126+G128+G129+G124+G118+G122+G120)</f>
        <v>601662754</v>
      </c>
      <c r="H57" s="118">
        <f t="shared" si="17"/>
        <v>14298767.069999998</v>
      </c>
      <c r="I57" s="118">
        <f t="shared" si="17"/>
        <v>721443.41</v>
      </c>
      <c r="J57" s="135">
        <f t="shared" si="2"/>
        <v>90.882614313409931</v>
      </c>
      <c r="K57" s="118">
        <f>SUM(K59+K61+K63+K65+K67+K68+K69+K70+K71+K72+K74+K76+K78+K80+K82+K84+K86+K88+K89+K91+K93+K95+K97+K99+K101+K103+K104+K105+K106+K107+K108+K109+K110+K111+K112+K113+K114+K115+K116+K117+K126+K128+K129+K124+K118+K122+K120)</f>
        <v>7322007.9100000001</v>
      </c>
      <c r="L57" s="118">
        <f>SUM(L59+L61+L63+L65+L67+L68+L69+L70+L71+L72+L74+L76+L78+L80+L82+L84+L86+L88+L89+L91+L93+L95+L97+L99+L101+L103+L104+L105+L106+L107+L108+L109+L110+L111+L112+L113+L114+L115+L116+L117+L126+L128+L129+L124+L118+L122+L120)</f>
        <v>5713489.9100000001</v>
      </c>
      <c r="M57" s="118">
        <f t="shared" ref="M57:P57" si="18">SUM(M59+M61+M63+M65+M67+M68+M69+M70+M71+M72+M74+M76+M78+M80+M82+M84+M86+M88+M89+M91+M93+M95+M97+M99+M101+M103+M104+M105+M106+M107+M108+M109+M110+M111+M112+M113+M114+M115+M116+M117+M126+M128+M129+M124+M118+M122+M120)</f>
        <v>95530</v>
      </c>
      <c r="N57" s="118">
        <f t="shared" si="18"/>
        <v>75100</v>
      </c>
      <c r="O57" s="118">
        <f t="shared" si="18"/>
        <v>0</v>
      </c>
      <c r="P57" s="118">
        <f t="shared" si="18"/>
        <v>7226477.9100000001</v>
      </c>
      <c r="Q57" s="118">
        <f>SUM(Q59+Q61+Q63+Q65+Q67+Q68+Q69+Q70+Q71+Q72+Q74+Q76+Q78+Q80+Q82+Q84+Q86+Q88+Q89+Q91+Q93+Q95+Q97+Q99+Q101+Q103+Q104+Q105+Q106+Q107+Q108+Q109+Q110+Q111+Q112+Q113+Q114+Q115+Q116+Q117+Q126+Q128+Q129+Q124+Q118+Q122+Q120)</f>
        <v>7697144.5500000007</v>
      </c>
      <c r="R57" s="118">
        <f>SUM(R59+R61+R63+R65+R67+R68+R69+R70+R71+R72+R74+R76+R78+R80+R82+R84+R86+R88+R89+R91+R93+R95+R97+R99+R101+R103+R104+R105+R106+R107+R108+R109+R110+R111+R112+R113+R114+R115+R116+R117+R126+R128+R129+R124+R118+R122+R120)</f>
        <v>4742540.34</v>
      </c>
      <c r="S57" s="118">
        <f t="shared" ref="S57:V57" si="19">SUM(S59+S61+S63+S65+S67+S68+S69+S70+S71+S72+S74+S76+S78+S80+S82+S84+S86+S88+S89+S91+S93+S95+S97+S99+S101+S103+S104+S105+S106+S107+S108+S109+S110+S111+S112+S113+S114+S115+S116+S117+S126+S128+S129+S124+S118+S122+S120)</f>
        <v>1441616.94</v>
      </c>
      <c r="T57" s="118">
        <f t="shared" si="19"/>
        <v>58743.81</v>
      </c>
      <c r="U57" s="118">
        <f t="shared" si="19"/>
        <v>0</v>
      </c>
      <c r="V57" s="118">
        <f t="shared" si="19"/>
        <v>6255527.6099999994</v>
      </c>
      <c r="W57" s="135">
        <f t="shared" si="3"/>
        <v>105.12341211059959</v>
      </c>
      <c r="X57" s="118">
        <f>SUM(X59+X61+X63+X65+X67+X68+X69+X70+X71+X72+X74+X76+X78+X80+X82+X84+X86+X88+X89+X91+X93+X95+X97+X99+X101+X103+X104+X105+X106+X107+X108+X109+X110+X111+X112+X113+X114+X115+X116+X117+X126+X128+X129+X124+X118+X122+X120)</f>
        <v>609359898.55000007</v>
      </c>
      <c r="Y57" s="187"/>
      <c r="Z57" s="167"/>
    </row>
    <row r="58" spans="1:26" s="12" customFormat="1" ht="21.75" customHeight="1" x14ac:dyDescent="0.25">
      <c r="A58" s="100"/>
      <c r="B58" s="103"/>
      <c r="C58" s="6" t="s">
        <v>342</v>
      </c>
      <c r="D58" s="118">
        <f>SUM(D60+D62+D64+D66+D73+D75+D77+D79+D81+D83+D85+D87+D90+D92+D94+D96+D98+D100+D102+D127+D125+D119+D123+D121)</f>
        <v>517576738.50999999</v>
      </c>
      <c r="E58" s="118">
        <f t="shared" ref="E58:X58" si="20">SUM(E60+E62+E64+E66+E73+E75+E77+E79+E81+E83+E85+E87+E90+E92+E94+E96+E98+E100+E102+E127+E125+E119+E123+E121)</f>
        <v>0</v>
      </c>
      <c r="F58" s="118">
        <f t="shared" si="20"/>
        <v>0</v>
      </c>
      <c r="G58" s="118">
        <f>SUM(G60+G62+G64+G66+G73+G75+G77+G79+G81+G83+G85+G87+G90+G92+G94+G96+G98+G100+G102+G127+G125+G119+G123+G121)</f>
        <v>468596993.30000001</v>
      </c>
      <c r="H58" s="118">
        <f t="shared" ref="H58:I58" si="21">SUM(H60+H62+H64+H66+H73+H75+H77+H79+H81+H83+H85+H87+H90+H92+H94+H96+H98+H100+H102+H127+H125+H119+H123+H121)</f>
        <v>0</v>
      </c>
      <c r="I58" s="118">
        <f t="shared" si="21"/>
        <v>0</v>
      </c>
      <c r="J58" s="135">
        <f t="shared" si="2"/>
        <v>90.536718216702923</v>
      </c>
      <c r="K58" s="118">
        <f t="shared" si="20"/>
        <v>6355177.9100000001</v>
      </c>
      <c r="L58" s="118">
        <f t="shared" si="20"/>
        <v>4842189.91</v>
      </c>
      <c r="M58" s="118">
        <f t="shared" si="20"/>
        <v>0</v>
      </c>
      <c r="N58" s="118">
        <f t="shared" si="20"/>
        <v>0</v>
      </c>
      <c r="O58" s="118">
        <f t="shared" si="20"/>
        <v>0</v>
      </c>
      <c r="P58" s="118">
        <f t="shared" si="20"/>
        <v>6355177.9100000001</v>
      </c>
      <c r="Q58" s="118">
        <f t="shared" ref="Q58:V58" si="22">SUM(Q60+Q62+Q64+Q66+Q73+Q75+Q77+Q79+Q81+Q83+Q85+Q87+Q90+Q92+Q94+Q96+Q98+Q100+Q102+Q127+Q125+Q119+Q123+Q121)</f>
        <v>5903975.3200000003</v>
      </c>
      <c r="R58" s="118">
        <f t="shared" si="22"/>
        <v>4390988.05</v>
      </c>
      <c r="S58" s="118">
        <f t="shared" si="22"/>
        <v>0</v>
      </c>
      <c r="T58" s="118">
        <f t="shared" si="22"/>
        <v>0</v>
      </c>
      <c r="U58" s="118">
        <f t="shared" si="22"/>
        <v>0</v>
      </c>
      <c r="V58" s="118">
        <f t="shared" si="22"/>
        <v>5903975.3200000003</v>
      </c>
      <c r="W58" s="135">
        <f t="shared" si="3"/>
        <v>92.90023668275245</v>
      </c>
      <c r="X58" s="118">
        <f t="shared" si="20"/>
        <v>474500968.62</v>
      </c>
      <c r="Y58" s="187"/>
      <c r="Z58" s="167"/>
    </row>
    <row r="59" spans="1:26" ht="49.5" customHeight="1" x14ac:dyDescent="0.25">
      <c r="A59" s="99" t="s">
        <v>426</v>
      </c>
      <c r="B59" s="104">
        <v>1030</v>
      </c>
      <c r="C59" s="7" t="s">
        <v>430</v>
      </c>
      <c r="D59" s="119">
        <f>'дод 2'!E119</f>
        <v>67044871.689999998</v>
      </c>
      <c r="E59" s="119">
        <f>'дод 2'!F119</f>
        <v>0</v>
      </c>
      <c r="F59" s="119">
        <f>'дод 2'!G119</f>
        <v>0</v>
      </c>
      <c r="G59" s="119">
        <f>'дод 2'!H119</f>
        <v>66594423.259999998</v>
      </c>
      <c r="H59" s="119">
        <f>'дод 2'!I119</f>
        <v>0</v>
      </c>
      <c r="I59" s="119">
        <f>'дод 2'!J119</f>
        <v>0</v>
      </c>
      <c r="J59" s="164">
        <f t="shared" si="2"/>
        <v>99.328138873793705</v>
      </c>
      <c r="K59" s="119">
        <f>'дод 2'!L119</f>
        <v>0</v>
      </c>
      <c r="L59" s="119">
        <f>'дод 2'!M119</f>
        <v>0</v>
      </c>
      <c r="M59" s="119">
        <f>'дод 2'!N119</f>
        <v>0</v>
      </c>
      <c r="N59" s="119">
        <f>'дод 2'!O119</f>
        <v>0</v>
      </c>
      <c r="O59" s="119">
        <f>'дод 2'!P119</f>
        <v>0</v>
      </c>
      <c r="P59" s="119">
        <f>'дод 2'!Q119</f>
        <v>0</v>
      </c>
      <c r="Q59" s="119">
        <f>'дод 2'!R119</f>
        <v>0</v>
      </c>
      <c r="R59" s="119">
        <f>'дод 2'!S119</f>
        <v>0</v>
      </c>
      <c r="S59" s="119">
        <f>'дод 2'!T119</f>
        <v>0</v>
      </c>
      <c r="T59" s="119">
        <f>'дод 2'!U119</f>
        <v>0</v>
      </c>
      <c r="U59" s="119">
        <f>'дод 2'!V119</f>
        <v>0</v>
      </c>
      <c r="V59" s="119">
        <f>'дод 2'!W119</f>
        <v>0</v>
      </c>
      <c r="W59" s="164"/>
      <c r="X59" s="119">
        <f>'дод 2'!Y119</f>
        <v>66594423.259999998</v>
      </c>
      <c r="Y59" s="187"/>
      <c r="Z59" s="167"/>
    </row>
    <row r="60" spans="1:26" ht="21.75" customHeight="1" x14ac:dyDescent="0.25">
      <c r="A60" s="99"/>
      <c r="B60" s="104"/>
      <c r="C60" s="7" t="s">
        <v>342</v>
      </c>
      <c r="D60" s="119">
        <f>'дод 2'!E120</f>
        <v>67044871.689999998</v>
      </c>
      <c r="E60" s="119">
        <f>'дод 2'!F120</f>
        <v>0</v>
      </c>
      <c r="F60" s="119">
        <f>'дод 2'!G120</f>
        <v>0</v>
      </c>
      <c r="G60" s="119">
        <f>'дод 2'!H120</f>
        <v>66594423.259999998</v>
      </c>
      <c r="H60" s="119">
        <f>'дод 2'!I120</f>
        <v>0</v>
      </c>
      <c r="I60" s="119">
        <f>'дод 2'!J120</f>
        <v>0</v>
      </c>
      <c r="J60" s="164">
        <f t="shared" si="2"/>
        <v>99.328138873793705</v>
      </c>
      <c r="K60" s="119">
        <f>'дод 2'!L120</f>
        <v>0</v>
      </c>
      <c r="L60" s="119">
        <f>'дод 2'!M120</f>
        <v>0</v>
      </c>
      <c r="M60" s="119">
        <f>'дод 2'!N120</f>
        <v>0</v>
      </c>
      <c r="N60" s="119">
        <f>'дод 2'!O120</f>
        <v>0</v>
      </c>
      <c r="O60" s="119">
        <f>'дод 2'!P120</f>
        <v>0</v>
      </c>
      <c r="P60" s="119">
        <f>'дод 2'!Q120</f>
        <v>0</v>
      </c>
      <c r="Q60" s="119">
        <f>'дод 2'!R120</f>
        <v>0</v>
      </c>
      <c r="R60" s="119">
        <f>'дод 2'!S120</f>
        <v>0</v>
      </c>
      <c r="S60" s="119">
        <f>'дод 2'!T120</f>
        <v>0</v>
      </c>
      <c r="T60" s="119">
        <f>'дод 2'!U120</f>
        <v>0</v>
      </c>
      <c r="U60" s="119">
        <f>'дод 2'!V120</f>
        <v>0</v>
      </c>
      <c r="V60" s="119">
        <f>'дод 2'!W120</f>
        <v>0</v>
      </c>
      <c r="W60" s="164"/>
      <c r="X60" s="119">
        <f>'дод 2'!Y120</f>
        <v>66594423.259999998</v>
      </c>
      <c r="Y60" s="187"/>
      <c r="Z60" s="167"/>
    </row>
    <row r="61" spans="1:26" ht="33" customHeight="1" x14ac:dyDescent="0.25">
      <c r="A61" s="99" t="s">
        <v>427</v>
      </c>
      <c r="B61" s="104">
        <v>1060</v>
      </c>
      <c r="C61" s="7" t="s">
        <v>431</v>
      </c>
      <c r="D61" s="119">
        <f>'дод 2'!E121</f>
        <v>107964966.81999999</v>
      </c>
      <c r="E61" s="119">
        <f>'дод 2'!F121</f>
        <v>0</v>
      </c>
      <c r="F61" s="119">
        <f>'дод 2'!G121</f>
        <v>0</v>
      </c>
      <c r="G61" s="119">
        <f>'дод 2'!H121</f>
        <v>107949688.91</v>
      </c>
      <c r="H61" s="119">
        <f>'дод 2'!I121</f>
        <v>0</v>
      </c>
      <c r="I61" s="119">
        <f>'дод 2'!J121</f>
        <v>0</v>
      </c>
      <c r="J61" s="164">
        <f t="shared" si="2"/>
        <v>99.985849196781146</v>
      </c>
      <c r="K61" s="119">
        <f>'дод 2'!L121</f>
        <v>0</v>
      </c>
      <c r="L61" s="119">
        <f>'дод 2'!M121</f>
        <v>0</v>
      </c>
      <c r="M61" s="119">
        <f>'дод 2'!N121</f>
        <v>0</v>
      </c>
      <c r="N61" s="119">
        <f>'дод 2'!O121</f>
        <v>0</v>
      </c>
      <c r="O61" s="119">
        <f>'дод 2'!P121</f>
        <v>0</v>
      </c>
      <c r="P61" s="119">
        <f>'дод 2'!Q121</f>
        <v>0</v>
      </c>
      <c r="Q61" s="119">
        <f>'дод 2'!R121</f>
        <v>0</v>
      </c>
      <c r="R61" s="119">
        <f>'дод 2'!S121</f>
        <v>0</v>
      </c>
      <c r="S61" s="119">
        <f>'дод 2'!T121</f>
        <v>0</v>
      </c>
      <c r="T61" s="119">
        <f>'дод 2'!U121</f>
        <v>0</v>
      </c>
      <c r="U61" s="119">
        <f>'дод 2'!V121</f>
        <v>0</v>
      </c>
      <c r="V61" s="119">
        <f>'дод 2'!W121</f>
        <v>0</v>
      </c>
      <c r="W61" s="164"/>
      <c r="X61" s="119">
        <f>'дод 2'!Y121</f>
        <v>107949688.91</v>
      </c>
      <c r="Y61" s="187"/>
      <c r="Z61" s="167"/>
    </row>
    <row r="62" spans="1:26" ht="21.75" customHeight="1" x14ac:dyDescent="0.25">
      <c r="A62" s="99"/>
      <c r="B62" s="105"/>
      <c r="C62" s="7" t="s">
        <v>342</v>
      </c>
      <c r="D62" s="119">
        <f>'дод 2'!E122</f>
        <v>107964966.81999999</v>
      </c>
      <c r="E62" s="119">
        <f>'дод 2'!F122</f>
        <v>0</v>
      </c>
      <c r="F62" s="119">
        <f>'дод 2'!G122</f>
        <v>0</v>
      </c>
      <c r="G62" s="119">
        <f>'дод 2'!H122</f>
        <v>107949688.91</v>
      </c>
      <c r="H62" s="119">
        <f>'дод 2'!I122</f>
        <v>0</v>
      </c>
      <c r="I62" s="119">
        <f>'дод 2'!J122</f>
        <v>0</v>
      </c>
      <c r="J62" s="164">
        <f t="shared" si="2"/>
        <v>99.985849196781146</v>
      </c>
      <c r="K62" s="119">
        <f>'дод 2'!L122</f>
        <v>0</v>
      </c>
      <c r="L62" s="119">
        <f>'дод 2'!M122</f>
        <v>0</v>
      </c>
      <c r="M62" s="119">
        <f>'дод 2'!N122</f>
        <v>0</v>
      </c>
      <c r="N62" s="119">
        <f>'дод 2'!O122</f>
        <v>0</v>
      </c>
      <c r="O62" s="119">
        <f>'дод 2'!P122</f>
        <v>0</v>
      </c>
      <c r="P62" s="119">
        <f>'дод 2'!Q122</f>
        <v>0</v>
      </c>
      <c r="Q62" s="119">
        <f>'дод 2'!R122</f>
        <v>0</v>
      </c>
      <c r="R62" s="119">
        <f>'дод 2'!S122</f>
        <v>0</v>
      </c>
      <c r="S62" s="119">
        <f>'дод 2'!T122</f>
        <v>0</v>
      </c>
      <c r="T62" s="119">
        <f>'дод 2'!U122</f>
        <v>0</v>
      </c>
      <c r="U62" s="119">
        <f>'дод 2'!V122</f>
        <v>0</v>
      </c>
      <c r="V62" s="119">
        <f>'дод 2'!W122</f>
        <v>0</v>
      </c>
      <c r="W62" s="164"/>
      <c r="X62" s="119">
        <f>'дод 2'!Y122</f>
        <v>107949688.91</v>
      </c>
      <c r="Y62" s="187"/>
      <c r="Z62" s="167"/>
    </row>
    <row r="63" spans="1:26" ht="64.5" customHeight="1" x14ac:dyDescent="0.25">
      <c r="A63" s="99" t="s">
        <v>428</v>
      </c>
      <c r="B63" s="104">
        <v>1030</v>
      </c>
      <c r="C63" s="7" t="s">
        <v>432</v>
      </c>
      <c r="D63" s="119">
        <f>'дод 2'!E123</f>
        <v>60013</v>
      </c>
      <c r="E63" s="119">
        <f>'дод 2'!F123</f>
        <v>0</v>
      </c>
      <c r="F63" s="119">
        <f>'дод 2'!G123</f>
        <v>0</v>
      </c>
      <c r="G63" s="119">
        <f>'дод 2'!H123</f>
        <v>42164.7</v>
      </c>
      <c r="H63" s="119">
        <f>'дод 2'!I123</f>
        <v>0</v>
      </c>
      <c r="I63" s="119">
        <f>'дод 2'!J123</f>
        <v>0</v>
      </c>
      <c r="J63" s="164">
        <f t="shared" si="2"/>
        <v>70.259277156616065</v>
      </c>
      <c r="K63" s="119">
        <f>'дод 2'!L123</f>
        <v>0</v>
      </c>
      <c r="L63" s="119">
        <f>'дод 2'!M123</f>
        <v>0</v>
      </c>
      <c r="M63" s="119">
        <f>'дод 2'!N123</f>
        <v>0</v>
      </c>
      <c r="N63" s="119">
        <f>'дод 2'!O123</f>
        <v>0</v>
      </c>
      <c r="O63" s="119">
        <f>'дод 2'!P123</f>
        <v>0</v>
      </c>
      <c r="P63" s="119">
        <f>'дод 2'!Q123</f>
        <v>0</v>
      </c>
      <c r="Q63" s="119">
        <f>'дод 2'!R123</f>
        <v>0</v>
      </c>
      <c r="R63" s="119">
        <f>'дод 2'!S123</f>
        <v>0</v>
      </c>
      <c r="S63" s="119">
        <f>'дод 2'!T123</f>
        <v>0</v>
      </c>
      <c r="T63" s="119">
        <f>'дод 2'!U123</f>
        <v>0</v>
      </c>
      <c r="U63" s="119">
        <f>'дод 2'!V123</f>
        <v>0</v>
      </c>
      <c r="V63" s="119">
        <f>'дод 2'!W123</f>
        <v>0</v>
      </c>
      <c r="W63" s="164"/>
      <c r="X63" s="119">
        <f>'дод 2'!Y123</f>
        <v>42164.7</v>
      </c>
      <c r="Y63" s="187"/>
      <c r="Z63" s="167"/>
    </row>
    <row r="64" spans="1:26" ht="21.75" customHeight="1" x14ac:dyDescent="0.25">
      <c r="A64" s="99"/>
      <c r="B64" s="105"/>
      <c r="C64" s="7" t="s">
        <v>342</v>
      </c>
      <c r="D64" s="119">
        <f>'дод 2'!E124</f>
        <v>60013</v>
      </c>
      <c r="E64" s="119">
        <f>'дод 2'!F124</f>
        <v>0</v>
      </c>
      <c r="F64" s="119">
        <f>'дод 2'!G124</f>
        <v>0</v>
      </c>
      <c r="G64" s="119">
        <f>'дод 2'!H124</f>
        <v>42164.7</v>
      </c>
      <c r="H64" s="119">
        <f>'дод 2'!I124</f>
        <v>0</v>
      </c>
      <c r="I64" s="119">
        <f>'дод 2'!J124</f>
        <v>0</v>
      </c>
      <c r="J64" s="164">
        <f t="shared" si="2"/>
        <v>70.259277156616065</v>
      </c>
      <c r="K64" s="119">
        <f>'дод 2'!L124</f>
        <v>0</v>
      </c>
      <c r="L64" s="119">
        <f>'дод 2'!M124</f>
        <v>0</v>
      </c>
      <c r="M64" s="119">
        <f>'дод 2'!N124</f>
        <v>0</v>
      </c>
      <c r="N64" s="119">
        <f>'дод 2'!O124</f>
        <v>0</v>
      </c>
      <c r="O64" s="119">
        <f>'дод 2'!P124</f>
        <v>0</v>
      </c>
      <c r="P64" s="119">
        <f>'дод 2'!Q124</f>
        <v>0</v>
      </c>
      <c r="Q64" s="119">
        <f>'дод 2'!R124</f>
        <v>0</v>
      </c>
      <c r="R64" s="119">
        <f>'дод 2'!S124</f>
        <v>0</v>
      </c>
      <c r="S64" s="119">
        <f>'дод 2'!T124</f>
        <v>0</v>
      </c>
      <c r="T64" s="119">
        <f>'дод 2'!U124</f>
        <v>0</v>
      </c>
      <c r="U64" s="119">
        <f>'дод 2'!V124</f>
        <v>0</v>
      </c>
      <c r="V64" s="119">
        <f>'дод 2'!W124</f>
        <v>0</v>
      </c>
      <c r="W64" s="164"/>
      <c r="X64" s="119">
        <f>'дод 2'!Y124</f>
        <v>42164.7</v>
      </c>
      <c r="Y64" s="187"/>
      <c r="Z64" s="167"/>
    </row>
    <row r="65" spans="1:26" ht="55.5" customHeight="1" x14ac:dyDescent="0.25">
      <c r="A65" s="99" t="s">
        <v>429</v>
      </c>
      <c r="B65" s="104">
        <v>1060</v>
      </c>
      <c r="C65" s="7" t="s">
        <v>433</v>
      </c>
      <c r="D65" s="119">
        <f>'дод 2'!E125</f>
        <v>292387</v>
      </c>
      <c r="E65" s="119">
        <f>'дод 2'!F125</f>
        <v>0</v>
      </c>
      <c r="F65" s="119">
        <f>'дод 2'!G125</f>
        <v>0</v>
      </c>
      <c r="G65" s="119">
        <f>'дод 2'!H125</f>
        <v>186368.39</v>
      </c>
      <c r="H65" s="119">
        <f>'дод 2'!I125</f>
        <v>0</v>
      </c>
      <c r="I65" s="119">
        <f>'дод 2'!J125</f>
        <v>0</v>
      </c>
      <c r="J65" s="164">
        <f t="shared" si="2"/>
        <v>63.740313351824817</v>
      </c>
      <c r="K65" s="119">
        <f>'дод 2'!L125</f>
        <v>0</v>
      </c>
      <c r="L65" s="119">
        <f>'дод 2'!M125</f>
        <v>0</v>
      </c>
      <c r="M65" s="119">
        <f>'дод 2'!N125</f>
        <v>0</v>
      </c>
      <c r="N65" s="119">
        <f>'дод 2'!O125</f>
        <v>0</v>
      </c>
      <c r="O65" s="119">
        <f>'дод 2'!P125</f>
        <v>0</v>
      </c>
      <c r="P65" s="119">
        <f>'дод 2'!Q125</f>
        <v>0</v>
      </c>
      <c r="Q65" s="119">
        <f>'дод 2'!R125</f>
        <v>0</v>
      </c>
      <c r="R65" s="119">
        <f>'дод 2'!S125</f>
        <v>0</v>
      </c>
      <c r="S65" s="119">
        <f>'дод 2'!T125</f>
        <v>0</v>
      </c>
      <c r="T65" s="119">
        <f>'дод 2'!U125</f>
        <v>0</v>
      </c>
      <c r="U65" s="119">
        <f>'дод 2'!V125</f>
        <v>0</v>
      </c>
      <c r="V65" s="119">
        <f>'дод 2'!W125</f>
        <v>0</v>
      </c>
      <c r="W65" s="164"/>
      <c r="X65" s="119">
        <f>'дод 2'!Y125</f>
        <v>186368.39</v>
      </c>
      <c r="Y65" s="187"/>
      <c r="Z65" s="167"/>
    </row>
    <row r="66" spans="1:26" ht="21.75" customHeight="1" x14ac:dyDescent="0.25">
      <c r="A66" s="99"/>
      <c r="B66" s="105"/>
      <c r="C66" s="7" t="s">
        <v>342</v>
      </c>
      <c r="D66" s="119">
        <f>'дод 2'!E126</f>
        <v>292387</v>
      </c>
      <c r="E66" s="119">
        <f>'дод 2'!F126</f>
        <v>0</v>
      </c>
      <c r="F66" s="119">
        <f>'дод 2'!G126</f>
        <v>0</v>
      </c>
      <c r="G66" s="119">
        <f>'дод 2'!H126</f>
        <v>186368.39</v>
      </c>
      <c r="H66" s="119">
        <f>'дод 2'!I126</f>
        <v>0</v>
      </c>
      <c r="I66" s="119">
        <f>'дод 2'!J126</f>
        <v>0</v>
      </c>
      <c r="J66" s="164">
        <f t="shared" si="2"/>
        <v>63.740313351824817</v>
      </c>
      <c r="K66" s="119">
        <f>'дод 2'!L126</f>
        <v>0</v>
      </c>
      <c r="L66" s="119">
        <f>'дод 2'!M126</f>
        <v>0</v>
      </c>
      <c r="M66" s="119">
        <f>'дод 2'!N126</f>
        <v>0</v>
      </c>
      <c r="N66" s="119">
        <f>'дод 2'!O126</f>
        <v>0</v>
      </c>
      <c r="O66" s="119">
        <f>'дод 2'!P126</f>
        <v>0</v>
      </c>
      <c r="P66" s="119">
        <f>'дод 2'!Q126</f>
        <v>0</v>
      </c>
      <c r="Q66" s="119">
        <f>'дод 2'!R126</f>
        <v>0</v>
      </c>
      <c r="R66" s="119">
        <f>'дод 2'!S126</f>
        <v>0</v>
      </c>
      <c r="S66" s="119">
        <f>'дод 2'!T126</f>
        <v>0</v>
      </c>
      <c r="T66" s="119">
        <f>'дод 2'!U126</f>
        <v>0</v>
      </c>
      <c r="U66" s="119">
        <f>'дод 2'!V126</f>
        <v>0</v>
      </c>
      <c r="V66" s="119">
        <f>'дод 2'!W126</f>
        <v>0</v>
      </c>
      <c r="W66" s="164"/>
      <c r="X66" s="119">
        <f>'дод 2'!Y126</f>
        <v>186368.39</v>
      </c>
      <c r="Y66" s="187"/>
      <c r="Z66" s="167"/>
    </row>
    <row r="67" spans="1:26" ht="45" customHeight="1" x14ac:dyDescent="0.25">
      <c r="A67" s="99" t="s">
        <v>130</v>
      </c>
      <c r="B67" s="99" t="s">
        <v>76</v>
      </c>
      <c r="C67" s="7" t="s">
        <v>165</v>
      </c>
      <c r="D67" s="119">
        <f>'дод 2'!E127</f>
        <v>563976</v>
      </c>
      <c r="E67" s="119">
        <f>'дод 2'!F127</f>
        <v>0</v>
      </c>
      <c r="F67" s="119">
        <f>'дод 2'!G127</f>
        <v>0</v>
      </c>
      <c r="G67" s="119">
        <f>'дод 2'!H127</f>
        <v>545073.67000000004</v>
      </c>
      <c r="H67" s="119">
        <f>'дод 2'!I127</f>
        <v>0</v>
      </c>
      <c r="I67" s="119">
        <f>'дод 2'!J127</f>
        <v>0</v>
      </c>
      <c r="J67" s="164">
        <f t="shared" si="2"/>
        <v>96.648380427535926</v>
      </c>
      <c r="K67" s="119">
        <f>'дод 2'!L127</f>
        <v>0</v>
      </c>
      <c r="L67" s="119">
        <f>'дод 2'!M127</f>
        <v>0</v>
      </c>
      <c r="M67" s="119">
        <f>'дод 2'!N127</f>
        <v>0</v>
      </c>
      <c r="N67" s="119">
        <f>'дод 2'!O127</f>
        <v>0</v>
      </c>
      <c r="O67" s="119">
        <f>'дод 2'!P127</f>
        <v>0</v>
      </c>
      <c r="P67" s="119">
        <f>'дод 2'!Q127</f>
        <v>0</v>
      </c>
      <c r="Q67" s="119">
        <f>'дод 2'!R127</f>
        <v>0</v>
      </c>
      <c r="R67" s="119">
        <f>'дод 2'!S127</f>
        <v>0</v>
      </c>
      <c r="S67" s="119">
        <f>'дод 2'!T127</f>
        <v>0</v>
      </c>
      <c r="T67" s="119">
        <f>'дод 2'!U127</f>
        <v>0</v>
      </c>
      <c r="U67" s="119">
        <f>'дод 2'!V127</f>
        <v>0</v>
      </c>
      <c r="V67" s="119">
        <f>'дод 2'!W127</f>
        <v>0</v>
      </c>
      <c r="W67" s="164"/>
      <c r="X67" s="119">
        <f>'дод 2'!Y127</f>
        <v>545073.67000000004</v>
      </c>
      <c r="Y67" s="187"/>
      <c r="Z67" s="167"/>
    </row>
    <row r="68" spans="1:26" ht="32.25" customHeight="1" x14ac:dyDescent="0.25">
      <c r="A68" s="99" t="s">
        <v>167</v>
      </c>
      <c r="B68" s="99" t="s">
        <v>78</v>
      </c>
      <c r="C68" s="7" t="s">
        <v>166</v>
      </c>
      <c r="D68" s="119">
        <f>'дод 2'!E128</f>
        <v>1342557</v>
      </c>
      <c r="E68" s="119">
        <f>'дод 2'!F128</f>
        <v>0</v>
      </c>
      <c r="F68" s="119">
        <f>'дод 2'!G128</f>
        <v>0</v>
      </c>
      <c r="G68" s="119">
        <f>'дод 2'!H128</f>
        <v>1327224.8899999999</v>
      </c>
      <c r="H68" s="119">
        <f>'дод 2'!I128</f>
        <v>0</v>
      </c>
      <c r="I68" s="119">
        <f>'дод 2'!J128</f>
        <v>0</v>
      </c>
      <c r="J68" s="164">
        <f t="shared" si="2"/>
        <v>98.857991876694982</v>
      </c>
      <c r="K68" s="119">
        <f>'дод 2'!L128</f>
        <v>0</v>
      </c>
      <c r="L68" s="119">
        <f>'дод 2'!M128</f>
        <v>0</v>
      </c>
      <c r="M68" s="119">
        <f>'дод 2'!N128</f>
        <v>0</v>
      </c>
      <c r="N68" s="119">
        <f>'дод 2'!O128</f>
        <v>0</v>
      </c>
      <c r="O68" s="119">
        <f>'дод 2'!P128</f>
        <v>0</v>
      </c>
      <c r="P68" s="119">
        <f>'дод 2'!Q128</f>
        <v>0</v>
      </c>
      <c r="Q68" s="119">
        <f>'дод 2'!R128</f>
        <v>0</v>
      </c>
      <c r="R68" s="119">
        <f>'дод 2'!S128</f>
        <v>0</v>
      </c>
      <c r="S68" s="119">
        <f>'дод 2'!T128</f>
        <v>0</v>
      </c>
      <c r="T68" s="119">
        <f>'дод 2'!U128</f>
        <v>0</v>
      </c>
      <c r="U68" s="119">
        <f>'дод 2'!V128</f>
        <v>0</v>
      </c>
      <c r="V68" s="119">
        <f>'дод 2'!W128</f>
        <v>0</v>
      </c>
      <c r="W68" s="164"/>
      <c r="X68" s="119">
        <f>'дод 2'!Y128</f>
        <v>1327224.8899999999</v>
      </c>
      <c r="Y68" s="187"/>
      <c r="Z68" s="167"/>
    </row>
    <row r="69" spans="1:26" ht="54.75" customHeight="1" x14ac:dyDescent="0.25">
      <c r="A69" s="99" t="s">
        <v>131</v>
      </c>
      <c r="B69" s="99" t="s">
        <v>78</v>
      </c>
      <c r="C69" s="7" t="s">
        <v>64</v>
      </c>
      <c r="D69" s="119">
        <f>'дод 2'!E129+'дод 2'!E16</f>
        <v>24275978.820000004</v>
      </c>
      <c r="E69" s="119">
        <f>'дод 2'!F129+'дод 2'!F16</f>
        <v>0</v>
      </c>
      <c r="F69" s="119">
        <f>'дод 2'!G129+'дод 2'!G16</f>
        <v>0</v>
      </c>
      <c r="G69" s="119">
        <f>'дод 2'!H129+'дод 2'!H16</f>
        <v>24275977.07</v>
      </c>
      <c r="H69" s="119">
        <f>'дод 2'!I129+'дод 2'!I16</f>
        <v>0</v>
      </c>
      <c r="I69" s="119">
        <f>'дод 2'!J129+'дод 2'!J16</f>
        <v>0</v>
      </c>
      <c r="J69" s="164">
        <f t="shared" si="2"/>
        <v>99.999992791227825</v>
      </c>
      <c r="K69" s="119">
        <f>'дод 2'!L129+'дод 2'!L16</f>
        <v>0</v>
      </c>
      <c r="L69" s="119">
        <f>'дод 2'!M129+'дод 2'!M16</f>
        <v>0</v>
      </c>
      <c r="M69" s="119">
        <f>'дод 2'!N129+'дод 2'!N16</f>
        <v>0</v>
      </c>
      <c r="N69" s="119">
        <f>'дод 2'!O129+'дод 2'!O16</f>
        <v>0</v>
      </c>
      <c r="O69" s="119">
        <f>'дод 2'!P129+'дод 2'!P16</f>
        <v>0</v>
      </c>
      <c r="P69" s="119">
        <f>'дод 2'!Q129+'дод 2'!Q16</f>
        <v>0</v>
      </c>
      <c r="Q69" s="119">
        <f>'дод 2'!R129+'дод 2'!R16</f>
        <v>0</v>
      </c>
      <c r="R69" s="119">
        <f>'дод 2'!S129+'дод 2'!S16</f>
        <v>0</v>
      </c>
      <c r="S69" s="119">
        <f>'дод 2'!T129+'дод 2'!T16</f>
        <v>0</v>
      </c>
      <c r="T69" s="119">
        <f>'дод 2'!U129+'дод 2'!U16</f>
        <v>0</v>
      </c>
      <c r="U69" s="119">
        <f>'дод 2'!V129+'дод 2'!V16</f>
        <v>0</v>
      </c>
      <c r="V69" s="119">
        <f>'дод 2'!W129+'дод 2'!W16</f>
        <v>0</v>
      </c>
      <c r="W69" s="164"/>
      <c r="X69" s="119">
        <f>'дод 2'!Y129+'дод 2'!Y16</f>
        <v>24275977.07</v>
      </c>
      <c r="Y69" s="187"/>
      <c r="Z69" s="167"/>
    </row>
    <row r="70" spans="1:26" ht="31.5" x14ac:dyDescent="0.25">
      <c r="A70" s="99" t="s">
        <v>492</v>
      </c>
      <c r="B70" s="99" t="s">
        <v>78</v>
      </c>
      <c r="C70" s="7" t="s">
        <v>491</v>
      </c>
      <c r="D70" s="119">
        <f>'дод 2'!E130</f>
        <v>2000000</v>
      </c>
      <c r="E70" s="119">
        <f>'дод 2'!F130</f>
        <v>0</v>
      </c>
      <c r="F70" s="119">
        <f>'дод 2'!G130</f>
        <v>0</v>
      </c>
      <c r="G70" s="119">
        <f>'дод 2'!H130</f>
        <v>2000000</v>
      </c>
      <c r="H70" s="119">
        <f>'дод 2'!I130</f>
        <v>0</v>
      </c>
      <c r="I70" s="119">
        <f>'дод 2'!J130</f>
        <v>0</v>
      </c>
      <c r="J70" s="164">
        <f t="shared" si="2"/>
        <v>100</v>
      </c>
      <c r="K70" s="119">
        <f>'дод 2'!L130</f>
        <v>0</v>
      </c>
      <c r="L70" s="119">
        <f>'дод 2'!M130</f>
        <v>0</v>
      </c>
      <c r="M70" s="119">
        <f>'дод 2'!N130</f>
        <v>0</v>
      </c>
      <c r="N70" s="119">
        <f>'дод 2'!O130</f>
        <v>0</v>
      </c>
      <c r="O70" s="119">
        <f>'дод 2'!P130</f>
        <v>0</v>
      </c>
      <c r="P70" s="119">
        <f>'дод 2'!Q130</f>
        <v>0</v>
      </c>
      <c r="Q70" s="119">
        <f>'дод 2'!R130</f>
        <v>0</v>
      </c>
      <c r="R70" s="119">
        <f>'дод 2'!S130</f>
        <v>0</v>
      </c>
      <c r="S70" s="119">
        <f>'дод 2'!T130</f>
        <v>0</v>
      </c>
      <c r="T70" s="119">
        <f>'дод 2'!U130</f>
        <v>0</v>
      </c>
      <c r="U70" s="119">
        <f>'дод 2'!V130</f>
        <v>0</v>
      </c>
      <c r="V70" s="119">
        <f>'дод 2'!W130</f>
        <v>0</v>
      </c>
      <c r="W70" s="164"/>
      <c r="X70" s="119">
        <f>'дод 2'!Y130</f>
        <v>2000000</v>
      </c>
      <c r="Y70" s="187"/>
      <c r="Z70" s="167"/>
    </row>
    <row r="71" spans="1:26" ht="45" customHeight="1" x14ac:dyDescent="0.25">
      <c r="A71" s="99" t="s">
        <v>168</v>
      </c>
      <c r="B71" s="99" t="s">
        <v>78</v>
      </c>
      <c r="C71" s="7" t="s">
        <v>32</v>
      </c>
      <c r="D71" s="119">
        <f>'дод 2'!E131+'дод 2'!E17</f>
        <v>39142478</v>
      </c>
      <c r="E71" s="119">
        <f>'дод 2'!F131+'дод 2'!F17</f>
        <v>0</v>
      </c>
      <c r="F71" s="119">
        <f>'дод 2'!G131+'дод 2'!G17</f>
        <v>0</v>
      </c>
      <c r="G71" s="119">
        <f>'дод 2'!H131+'дод 2'!H17</f>
        <v>39142477.5</v>
      </c>
      <c r="H71" s="119">
        <f>'дод 2'!I131+'дод 2'!I17</f>
        <v>0</v>
      </c>
      <c r="I71" s="119">
        <f>'дод 2'!J131+'дод 2'!J17</f>
        <v>0</v>
      </c>
      <c r="J71" s="164">
        <f t="shared" si="2"/>
        <v>99.999998722615373</v>
      </c>
      <c r="K71" s="119">
        <f>'дод 2'!L131+'дод 2'!L17</f>
        <v>0</v>
      </c>
      <c r="L71" s="119">
        <f>'дод 2'!M131+'дод 2'!M17</f>
        <v>0</v>
      </c>
      <c r="M71" s="119">
        <f>'дод 2'!N131+'дод 2'!N17</f>
        <v>0</v>
      </c>
      <c r="N71" s="119">
        <f>'дод 2'!O131+'дод 2'!O17</f>
        <v>0</v>
      </c>
      <c r="O71" s="119">
        <f>'дод 2'!P131+'дод 2'!P17</f>
        <v>0</v>
      </c>
      <c r="P71" s="119">
        <f>'дод 2'!Q131+'дод 2'!Q17</f>
        <v>0</v>
      </c>
      <c r="Q71" s="119">
        <f>'дод 2'!R131+'дод 2'!R17</f>
        <v>0</v>
      </c>
      <c r="R71" s="119">
        <f>'дод 2'!S131+'дод 2'!S17</f>
        <v>0</v>
      </c>
      <c r="S71" s="119">
        <f>'дод 2'!T131+'дод 2'!T17</f>
        <v>0</v>
      </c>
      <c r="T71" s="119">
        <f>'дод 2'!U131+'дод 2'!U17</f>
        <v>0</v>
      </c>
      <c r="U71" s="119">
        <f>'дод 2'!V131+'дод 2'!V17</f>
        <v>0</v>
      </c>
      <c r="V71" s="119">
        <f>'дод 2'!W131+'дод 2'!W17</f>
        <v>0</v>
      </c>
      <c r="W71" s="164"/>
      <c r="X71" s="119">
        <f>'дод 2'!Y131+'дод 2'!Y17</f>
        <v>39142477.5</v>
      </c>
      <c r="Y71" s="187"/>
      <c r="Z71" s="167"/>
    </row>
    <row r="72" spans="1:26" ht="27" customHeight="1" x14ac:dyDescent="0.25">
      <c r="A72" s="99" t="s">
        <v>438</v>
      </c>
      <c r="B72" s="99" t="s">
        <v>132</v>
      </c>
      <c r="C72" s="7" t="s">
        <v>445</v>
      </c>
      <c r="D72" s="119">
        <f>'дод 2'!E132</f>
        <v>2680550</v>
      </c>
      <c r="E72" s="119">
        <f>'дод 2'!F132</f>
        <v>0</v>
      </c>
      <c r="F72" s="119">
        <f>'дод 2'!G132</f>
        <v>0</v>
      </c>
      <c r="G72" s="119">
        <f>'дод 2'!H132</f>
        <v>2135509.0699999998</v>
      </c>
      <c r="H72" s="119">
        <f>'дод 2'!I132</f>
        <v>0</v>
      </c>
      <c r="I72" s="119">
        <f>'дод 2'!J132</f>
        <v>0</v>
      </c>
      <c r="J72" s="164">
        <f t="shared" si="2"/>
        <v>79.666824718807703</v>
      </c>
      <c r="K72" s="119">
        <f>'дод 2'!L132</f>
        <v>0</v>
      </c>
      <c r="L72" s="119">
        <f>'дод 2'!M132</f>
        <v>0</v>
      </c>
      <c r="M72" s="119">
        <f>'дод 2'!N132</f>
        <v>0</v>
      </c>
      <c r="N72" s="119">
        <f>'дод 2'!O132</f>
        <v>0</v>
      </c>
      <c r="O72" s="119">
        <f>'дод 2'!P132</f>
        <v>0</v>
      </c>
      <c r="P72" s="119">
        <f>'дод 2'!Q132</f>
        <v>0</v>
      </c>
      <c r="Q72" s="119">
        <f>'дод 2'!R132</f>
        <v>0</v>
      </c>
      <c r="R72" s="119">
        <f>'дод 2'!S132</f>
        <v>0</v>
      </c>
      <c r="S72" s="119">
        <f>'дод 2'!T132</f>
        <v>0</v>
      </c>
      <c r="T72" s="119">
        <f>'дод 2'!U132</f>
        <v>0</v>
      </c>
      <c r="U72" s="119">
        <f>'дод 2'!V132</f>
        <v>0</v>
      </c>
      <c r="V72" s="119">
        <f>'дод 2'!W132</f>
        <v>0</v>
      </c>
      <c r="W72" s="164"/>
      <c r="X72" s="119">
        <f>'дод 2'!Y132</f>
        <v>2135509.0699999998</v>
      </c>
      <c r="Y72" s="187"/>
      <c r="Z72" s="167"/>
    </row>
    <row r="73" spans="1:26" ht="21.75" customHeight="1" x14ac:dyDescent="0.25">
      <c r="A73" s="99"/>
      <c r="B73" s="99"/>
      <c r="C73" s="7" t="s">
        <v>342</v>
      </c>
      <c r="D73" s="119">
        <f>'дод 2'!E133</f>
        <v>2680550</v>
      </c>
      <c r="E73" s="119">
        <f>'дод 2'!F133</f>
        <v>0</v>
      </c>
      <c r="F73" s="119">
        <f>'дод 2'!G133</f>
        <v>0</v>
      </c>
      <c r="G73" s="119">
        <f>'дод 2'!H133</f>
        <v>2135509.0699999998</v>
      </c>
      <c r="H73" s="119">
        <f>'дод 2'!I133</f>
        <v>0</v>
      </c>
      <c r="I73" s="119">
        <f>'дод 2'!J133</f>
        <v>0</v>
      </c>
      <c r="J73" s="164">
        <f t="shared" si="2"/>
        <v>79.666824718807703</v>
      </c>
      <c r="K73" s="119">
        <f>'дод 2'!L133</f>
        <v>0</v>
      </c>
      <c r="L73" s="119">
        <f>'дод 2'!M133</f>
        <v>0</v>
      </c>
      <c r="M73" s="119">
        <f>'дод 2'!N133</f>
        <v>0</v>
      </c>
      <c r="N73" s="119">
        <f>'дод 2'!O133</f>
        <v>0</v>
      </c>
      <c r="O73" s="119">
        <f>'дод 2'!P133</f>
        <v>0</v>
      </c>
      <c r="P73" s="119">
        <f>'дод 2'!Q133</f>
        <v>0</v>
      </c>
      <c r="Q73" s="119">
        <f>'дод 2'!R133</f>
        <v>0</v>
      </c>
      <c r="R73" s="119">
        <f>'дод 2'!S133</f>
        <v>0</v>
      </c>
      <c r="S73" s="119">
        <f>'дод 2'!T133</f>
        <v>0</v>
      </c>
      <c r="T73" s="119">
        <f>'дод 2'!U133</f>
        <v>0</v>
      </c>
      <c r="U73" s="119">
        <f>'дод 2'!V133</f>
        <v>0</v>
      </c>
      <c r="V73" s="119">
        <f>'дод 2'!W133</f>
        <v>0</v>
      </c>
      <c r="W73" s="164"/>
      <c r="X73" s="119">
        <f>'дод 2'!Y133</f>
        <v>2135509.0699999998</v>
      </c>
      <c r="Y73" s="187"/>
      <c r="Z73" s="167"/>
    </row>
    <row r="74" spans="1:26" ht="27" customHeight="1" x14ac:dyDescent="0.25">
      <c r="A74" s="99" t="s">
        <v>439</v>
      </c>
      <c r="B74" s="99" t="s">
        <v>132</v>
      </c>
      <c r="C74" s="7" t="s">
        <v>446</v>
      </c>
      <c r="D74" s="119">
        <f>'дод 2'!E134</f>
        <v>516000</v>
      </c>
      <c r="E74" s="119">
        <f>'дод 2'!F134</f>
        <v>0</v>
      </c>
      <c r="F74" s="119">
        <f>'дод 2'!G134</f>
        <v>0</v>
      </c>
      <c r="G74" s="119">
        <f>'дод 2'!H134</f>
        <v>506540</v>
      </c>
      <c r="H74" s="119">
        <f>'дод 2'!I134</f>
        <v>0</v>
      </c>
      <c r="I74" s="119">
        <f>'дод 2'!J134</f>
        <v>0</v>
      </c>
      <c r="J74" s="164">
        <f t="shared" si="2"/>
        <v>98.166666666666671</v>
      </c>
      <c r="K74" s="119">
        <f>'дод 2'!L134</f>
        <v>0</v>
      </c>
      <c r="L74" s="119">
        <f>'дод 2'!M134</f>
        <v>0</v>
      </c>
      <c r="M74" s="119">
        <f>'дод 2'!N134</f>
        <v>0</v>
      </c>
      <c r="N74" s="119">
        <f>'дод 2'!O134</f>
        <v>0</v>
      </c>
      <c r="O74" s="119">
        <f>'дод 2'!P134</f>
        <v>0</v>
      </c>
      <c r="P74" s="119">
        <f>'дод 2'!Q134</f>
        <v>0</v>
      </c>
      <c r="Q74" s="119">
        <f>'дод 2'!R134</f>
        <v>0</v>
      </c>
      <c r="R74" s="119">
        <f>'дод 2'!S134</f>
        <v>0</v>
      </c>
      <c r="S74" s="119">
        <f>'дод 2'!T134</f>
        <v>0</v>
      </c>
      <c r="T74" s="119">
        <f>'дод 2'!U134</f>
        <v>0</v>
      </c>
      <c r="U74" s="119">
        <f>'дод 2'!V134</f>
        <v>0</v>
      </c>
      <c r="V74" s="119">
        <f>'дод 2'!W134</f>
        <v>0</v>
      </c>
      <c r="W74" s="164"/>
      <c r="X74" s="119">
        <f>'дод 2'!Y134</f>
        <v>506540</v>
      </c>
      <c r="Y74" s="187"/>
      <c r="Z74" s="167"/>
    </row>
    <row r="75" spans="1:26" ht="25.5" customHeight="1" x14ac:dyDescent="0.25">
      <c r="A75" s="99"/>
      <c r="B75" s="99"/>
      <c r="C75" s="7" t="s">
        <v>342</v>
      </c>
      <c r="D75" s="119">
        <f>'дод 2'!E135</f>
        <v>516000</v>
      </c>
      <c r="E75" s="119">
        <f>'дод 2'!F135</f>
        <v>0</v>
      </c>
      <c r="F75" s="119">
        <f>'дод 2'!G135</f>
        <v>0</v>
      </c>
      <c r="G75" s="119">
        <f>'дод 2'!H135</f>
        <v>506540</v>
      </c>
      <c r="H75" s="119">
        <f>'дод 2'!I135</f>
        <v>0</v>
      </c>
      <c r="I75" s="119">
        <f>'дод 2'!J135</f>
        <v>0</v>
      </c>
      <c r="J75" s="164">
        <f t="shared" si="2"/>
        <v>98.166666666666671</v>
      </c>
      <c r="K75" s="119">
        <f>'дод 2'!L135</f>
        <v>0</v>
      </c>
      <c r="L75" s="119">
        <f>'дод 2'!M135</f>
        <v>0</v>
      </c>
      <c r="M75" s="119">
        <f>'дод 2'!N135</f>
        <v>0</v>
      </c>
      <c r="N75" s="119">
        <f>'дод 2'!O135</f>
        <v>0</v>
      </c>
      <c r="O75" s="119">
        <f>'дод 2'!P135</f>
        <v>0</v>
      </c>
      <c r="P75" s="119">
        <f>'дод 2'!Q135</f>
        <v>0</v>
      </c>
      <c r="Q75" s="119">
        <f>'дод 2'!R135</f>
        <v>0</v>
      </c>
      <c r="R75" s="119">
        <f>'дод 2'!S135</f>
        <v>0</v>
      </c>
      <c r="S75" s="119">
        <f>'дод 2'!T135</f>
        <v>0</v>
      </c>
      <c r="T75" s="119">
        <f>'дод 2'!U135</f>
        <v>0</v>
      </c>
      <c r="U75" s="119">
        <f>'дод 2'!V135</f>
        <v>0</v>
      </c>
      <c r="V75" s="119">
        <f>'дод 2'!W135</f>
        <v>0</v>
      </c>
      <c r="W75" s="164"/>
      <c r="X75" s="119">
        <f>'дод 2'!Y135</f>
        <v>506540</v>
      </c>
      <c r="Y75" s="187"/>
      <c r="Z75" s="167"/>
    </row>
    <row r="76" spans="1:26" ht="27" customHeight="1" x14ac:dyDescent="0.25">
      <c r="A76" s="99" t="s">
        <v>440</v>
      </c>
      <c r="B76" s="99" t="s">
        <v>132</v>
      </c>
      <c r="C76" s="7" t="s">
        <v>447</v>
      </c>
      <c r="D76" s="119">
        <f>'дод 2'!E136</f>
        <v>122211100</v>
      </c>
      <c r="E76" s="119">
        <f>'дод 2'!F136</f>
        <v>0</v>
      </c>
      <c r="F76" s="119">
        <f>'дод 2'!G136</f>
        <v>0</v>
      </c>
      <c r="G76" s="119">
        <f>'дод 2'!H136</f>
        <v>104583067.97</v>
      </c>
      <c r="H76" s="119">
        <f>'дод 2'!I136</f>
        <v>0</v>
      </c>
      <c r="I76" s="119">
        <f>'дод 2'!J136</f>
        <v>0</v>
      </c>
      <c r="J76" s="164">
        <f t="shared" si="2"/>
        <v>85.575752096168017</v>
      </c>
      <c r="K76" s="119">
        <f>'дод 2'!L136</f>
        <v>0</v>
      </c>
      <c r="L76" s="119">
        <f>'дод 2'!M136</f>
        <v>0</v>
      </c>
      <c r="M76" s="119">
        <f>'дод 2'!N136</f>
        <v>0</v>
      </c>
      <c r="N76" s="119">
        <f>'дод 2'!O136</f>
        <v>0</v>
      </c>
      <c r="O76" s="119">
        <f>'дод 2'!P136</f>
        <v>0</v>
      </c>
      <c r="P76" s="119">
        <f>'дод 2'!Q136</f>
        <v>0</v>
      </c>
      <c r="Q76" s="119">
        <f>'дод 2'!R136</f>
        <v>0</v>
      </c>
      <c r="R76" s="119">
        <f>'дод 2'!S136</f>
        <v>0</v>
      </c>
      <c r="S76" s="119">
        <f>'дод 2'!T136</f>
        <v>0</v>
      </c>
      <c r="T76" s="119">
        <f>'дод 2'!U136</f>
        <v>0</v>
      </c>
      <c r="U76" s="119">
        <f>'дод 2'!V136</f>
        <v>0</v>
      </c>
      <c r="V76" s="119">
        <f>'дод 2'!W136</f>
        <v>0</v>
      </c>
      <c r="W76" s="164"/>
      <c r="X76" s="119">
        <f>'дод 2'!Y136</f>
        <v>104583067.97</v>
      </c>
      <c r="Y76" s="187"/>
      <c r="Z76" s="167"/>
    </row>
    <row r="77" spans="1:26" ht="19.5" customHeight="1" x14ac:dyDescent="0.25">
      <c r="A77" s="99"/>
      <c r="B77" s="99"/>
      <c r="C77" s="7" t="s">
        <v>342</v>
      </c>
      <c r="D77" s="119">
        <f>'дод 2'!E137</f>
        <v>122211100</v>
      </c>
      <c r="E77" s="119">
        <f>'дод 2'!F137</f>
        <v>0</v>
      </c>
      <c r="F77" s="119">
        <f>'дод 2'!G137</f>
        <v>0</v>
      </c>
      <c r="G77" s="119">
        <f>'дод 2'!H137</f>
        <v>104583067.97</v>
      </c>
      <c r="H77" s="119">
        <f>'дод 2'!I137</f>
        <v>0</v>
      </c>
      <c r="I77" s="119">
        <f>'дод 2'!J137</f>
        <v>0</v>
      </c>
      <c r="J77" s="164">
        <f t="shared" ref="J77:J140" si="23">G77/D77*100</f>
        <v>85.575752096168017</v>
      </c>
      <c r="K77" s="119">
        <f>'дод 2'!L137</f>
        <v>0</v>
      </c>
      <c r="L77" s="119">
        <f>'дод 2'!M137</f>
        <v>0</v>
      </c>
      <c r="M77" s="119">
        <f>'дод 2'!N137</f>
        <v>0</v>
      </c>
      <c r="N77" s="119">
        <f>'дод 2'!O137</f>
        <v>0</v>
      </c>
      <c r="O77" s="119">
        <f>'дод 2'!P137</f>
        <v>0</v>
      </c>
      <c r="P77" s="119">
        <f>'дод 2'!Q137</f>
        <v>0</v>
      </c>
      <c r="Q77" s="119">
        <f>'дод 2'!R137</f>
        <v>0</v>
      </c>
      <c r="R77" s="119">
        <f>'дод 2'!S137</f>
        <v>0</v>
      </c>
      <c r="S77" s="119">
        <f>'дод 2'!T137</f>
        <v>0</v>
      </c>
      <c r="T77" s="119">
        <f>'дод 2'!U137</f>
        <v>0</v>
      </c>
      <c r="U77" s="119">
        <f>'дод 2'!V137</f>
        <v>0</v>
      </c>
      <c r="V77" s="119">
        <f>'дод 2'!W137</f>
        <v>0</v>
      </c>
      <c r="W77" s="164"/>
      <c r="X77" s="119">
        <f>'дод 2'!Y137</f>
        <v>104583067.97</v>
      </c>
      <c r="Y77" s="187"/>
      <c r="Z77" s="167"/>
    </row>
    <row r="78" spans="1:26" ht="36" customHeight="1" x14ac:dyDescent="0.25">
      <c r="A78" s="99" t="s">
        <v>441</v>
      </c>
      <c r="B78" s="99" t="s">
        <v>132</v>
      </c>
      <c r="C78" s="7" t="s">
        <v>448</v>
      </c>
      <c r="D78" s="119">
        <f>'дод 2'!E138</f>
        <v>10189800</v>
      </c>
      <c r="E78" s="119">
        <f>'дод 2'!F138</f>
        <v>0</v>
      </c>
      <c r="F78" s="119">
        <f>'дод 2'!G138</f>
        <v>0</v>
      </c>
      <c r="G78" s="119">
        <f>'дод 2'!H138</f>
        <v>8176953.6699999999</v>
      </c>
      <c r="H78" s="119">
        <f>'дод 2'!I138</f>
        <v>0</v>
      </c>
      <c r="I78" s="119">
        <f>'дод 2'!J138</f>
        <v>0</v>
      </c>
      <c r="J78" s="164">
        <f t="shared" si="23"/>
        <v>80.246458909890279</v>
      </c>
      <c r="K78" s="119">
        <f>'дод 2'!L138</f>
        <v>0</v>
      </c>
      <c r="L78" s="119">
        <f>'дод 2'!M138</f>
        <v>0</v>
      </c>
      <c r="M78" s="119">
        <f>'дод 2'!N138</f>
        <v>0</v>
      </c>
      <c r="N78" s="119">
        <f>'дод 2'!O138</f>
        <v>0</v>
      </c>
      <c r="O78" s="119">
        <f>'дод 2'!P138</f>
        <v>0</v>
      </c>
      <c r="P78" s="119">
        <f>'дод 2'!Q138</f>
        <v>0</v>
      </c>
      <c r="Q78" s="119">
        <f>'дод 2'!R138</f>
        <v>0</v>
      </c>
      <c r="R78" s="119">
        <f>'дод 2'!S138</f>
        <v>0</v>
      </c>
      <c r="S78" s="119">
        <f>'дод 2'!T138</f>
        <v>0</v>
      </c>
      <c r="T78" s="119">
        <f>'дод 2'!U138</f>
        <v>0</v>
      </c>
      <c r="U78" s="119">
        <f>'дод 2'!V138</f>
        <v>0</v>
      </c>
      <c r="V78" s="119">
        <f>'дод 2'!W138</f>
        <v>0</v>
      </c>
      <c r="W78" s="164"/>
      <c r="X78" s="119">
        <f>'дод 2'!Y138</f>
        <v>8176953.6699999999</v>
      </c>
      <c r="Y78" s="187"/>
      <c r="Z78" s="167"/>
    </row>
    <row r="79" spans="1:26" ht="15.75" x14ac:dyDescent="0.25">
      <c r="A79" s="99"/>
      <c r="B79" s="99"/>
      <c r="C79" s="7" t="s">
        <v>342</v>
      </c>
      <c r="D79" s="119">
        <f>'дод 2'!E139</f>
        <v>10189800</v>
      </c>
      <c r="E79" s="119">
        <f>'дод 2'!F139</f>
        <v>0</v>
      </c>
      <c r="F79" s="119">
        <f>'дод 2'!G139</f>
        <v>0</v>
      </c>
      <c r="G79" s="119">
        <f>'дод 2'!H139</f>
        <v>8176953.6699999999</v>
      </c>
      <c r="H79" s="119">
        <f>'дод 2'!I139</f>
        <v>0</v>
      </c>
      <c r="I79" s="119">
        <f>'дод 2'!J139</f>
        <v>0</v>
      </c>
      <c r="J79" s="164">
        <f t="shared" si="23"/>
        <v>80.246458909890279</v>
      </c>
      <c r="K79" s="119">
        <f>'дод 2'!L139</f>
        <v>0</v>
      </c>
      <c r="L79" s="119">
        <f>'дод 2'!M139</f>
        <v>0</v>
      </c>
      <c r="M79" s="119">
        <f>'дод 2'!N139</f>
        <v>0</v>
      </c>
      <c r="N79" s="119">
        <f>'дод 2'!O139</f>
        <v>0</v>
      </c>
      <c r="O79" s="119">
        <f>'дод 2'!P139</f>
        <v>0</v>
      </c>
      <c r="P79" s="119">
        <f>'дод 2'!Q139</f>
        <v>0</v>
      </c>
      <c r="Q79" s="119">
        <f>'дод 2'!R139</f>
        <v>0</v>
      </c>
      <c r="R79" s="119">
        <f>'дод 2'!S139</f>
        <v>0</v>
      </c>
      <c r="S79" s="119">
        <f>'дод 2'!T139</f>
        <v>0</v>
      </c>
      <c r="T79" s="119">
        <f>'дод 2'!U139</f>
        <v>0</v>
      </c>
      <c r="U79" s="119">
        <f>'дод 2'!V139</f>
        <v>0</v>
      </c>
      <c r="V79" s="119">
        <f>'дод 2'!W139</f>
        <v>0</v>
      </c>
      <c r="W79" s="164"/>
      <c r="X79" s="119">
        <f>'дод 2'!Y139</f>
        <v>8176953.6699999999</v>
      </c>
      <c r="Y79" s="187"/>
      <c r="Z79" s="167"/>
    </row>
    <row r="80" spans="1:26" ht="27" customHeight="1" x14ac:dyDescent="0.25">
      <c r="A80" s="99" t="s">
        <v>442</v>
      </c>
      <c r="B80" s="99" t="s">
        <v>132</v>
      </c>
      <c r="C80" s="7" t="s">
        <v>449</v>
      </c>
      <c r="D80" s="119">
        <f>'дод 2'!E140</f>
        <v>45396740</v>
      </c>
      <c r="E80" s="119">
        <f>'дод 2'!F140</f>
        <v>0</v>
      </c>
      <c r="F80" s="119">
        <f>'дод 2'!G140</f>
        <v>0</v>
      </c>
      <c r="G80" s="119">
        <f>'дод 2'!H140</f>
        <v>36456373.770000003</v>
      </c>
      <c r="H80" s="119">
        <f>'дод 2'!I140</f>
        <v>0</v>
      </c>
      <c r="I80" s="119">
        <f>'дод 2'!J140</f>
        <v>0</v>
      </c>
      <c r="J80" s="164">
        <f t="shared" si="23"/>
        <v>80.30614923009891</v>
      </c>
      <c r="K80" s="119">
        <f>'дод 2'!L140</f>
        <v>0</v>
      </c>
      <c r="L80" s="119">
        <f>'дод 2'!M140</f>
        <v>0</v>
      </c>
      <c r="M80" s="119">
        <f>'дод 2'!N140</f>
        <v>0</v>
      </c>
      <c r="N80" s="119">
        <f>'дод 2'!O140</f>
        <v>0</v>
      </c>
      <c r="O80" s="119">
        <f>'дод 2'!P140</f>
        <v>0</v>
      </c>
      <c r="P80" s="119">
        <f>'дод 2'!Q140</f>
        <v>0</v>
      </c>
      <c r="Q80" s="119">
        <f>'дод 2'!R140</f>
        <v>0</v>
      </c>
      <c r="R80" s="119">
        <f>'дод 2'!S140</f>
        <v>0</v>
      </c>
      <c r="S80" s="119">
        <f>'дод 2'!T140</f>
        <v>0</v>
      </c>
      <c r="T80" s="119">
        <f>'дод 2'!U140</f>
        <v>0</v>
      </c>
      <c r="U80" s="119">
        <f>'дод 2'!V140</f>
        <v>0</v>
      </c>
      <c r="V80" s="119">
        <f>'дод 2'!W140</f>
        <v>0</v>
      </c>
      <c r="W80" s="164"/>
      <c r="X80" s="119">
        <f>'дод 2'!Y140</f>
        <v>36456373.770000003</v>
      </c>
      <c r="Y80" s="187"/>
      <c r="Z80" s="167"/>
    </row>
    <row r="81" spans="1:26" ht="17.25" customHeight="1" x14ac:dyDescent="0.25">
      <c r="A81" s="99"/>
      <c r="B81" s="99"/>
      <c r="C81" s="7" t="s">
        <v>342</v>
      </c>
      <c r="D81" s="119">
        <f>'дод 2'!E141</f>
        <v>45396740</v>
      </c>
      <c r="E81" s="119">
        <f>'дод 2'!F141</f>
        <v>0</v>
      </c>
      <c r="F81" s="119">
        <f>'дод 2'!G141</f>
        <v>0</v>
      </c>
      <c r="G81" s="119">
        <f>'дод 2'!H141</f>
        <v>36456373.770000003</v>
      </c>
      <c r="H81" s="119">
        <f>'дод 2'!I141</f>
        <v>0</v>
      </c>
      <c r="I81" s="119">
        <f>'дод 2'!J141</f>
        <v>0</v>
      </c>
      <c r="J81" s="164">
        <f t="shared" si="23"/>
        <v>80.30614923009891</v>
      </c>
      <c r="K81" s="119">
        <f>'дод 2'!L141</f>
        <v>0</v>
      </c>
      <c r="L81" s="119">
        <f>'дод 2'!M141</f>
        <v>0</v>
      </c>
      <c r="M81" s="119">
        <f>'дод 2'!N141</f>
        <v>0</v>
      </c>
      <c r="N81" s="119">
        <f>'дод 2'!O141</f>
        <v>0</v>
      </c>
      <c r="O81" s="119">
        <f>'дод 2'!P141</f>
        <v>0</v>
      </c>
      <c r="P81" s="119">
        <f>'дод 2'!Q141</f>
        <v>0</v>
      </c>
      <c r="Q81" s="119">
        <f>'дод 2'!R141</f>
        <v>0</v>
      </c>
      <c r="R81" s="119">
        <f>'дод 2'!S141</f>
        <v>0</v>
      </c>
      <c r="S81" s="119">
        <f>'дод 2'!T141</f>
        <v>0</v>
      </c>
      <c r="T81" s="119">
        <f>'дод 2'!U141</f>
        <v>0</v>
      </c>
      <c r="U81" s="119">
        <f>'дод 2'!V141</f>
        <v>0</v>
      </c>
      <c r="V81" s="119">
        <f>'дод 2'!W141</f>
        <v>0</v>
      </c>
      <c r="W81" s="164"/>
      <c r="X81" s="119">
        <f>'дод 2'!Y141</f>
        <v>36456373.770000003</v>
      </c>
      <c r="Y81" s="187"/>
      <c r="Z81" s="167"/>
    </row>
    <row r="82" spans="1:26" ht="27" customHeight="1" x14ac:dyDescent="0.25">
      <c r="A82" s="99" t="s">
        <v>443</v>
      </c>
      <c r="B82" s="99" t="s">
        <v>132</v>
      </c>
      <c r="C82" s="7" t="s">
        <v>450</v>
      </c>
      <c r="D82" s="119">
        <f>'дод 2'!E142</f>
        <v>973500</v>
      </c>
      <c r="E82" s="119">
        <f>'дод 2'!F142</f>
        <v>0</v>
      </c>
      <c r="F82" s="119">
        <f>'дод 2'!G142</f>
        <v>0</v>
      </c>
      <c r="G82" s="119">
        <f>'дод 2'!H142</f>
        <v>514825.86</v>
      </c>
      <c r="H82" s="119">
        <f>'дод 2'!I142</f>
        <v>0</v>
      </c>
      <c r="I82" s="119">
        <f>'дод 2'!J142</f>
        <v>0</v>
      </c>
      <c r="J82" s="164">
        <f t="shared" si="23"/>
        <v>52.884012326656396</v>
      </c>
      <c r="K82" s="119">
        <f>'дод 2'!L142</f>
        <v>0</v>
      </c>
      <c r="L82" s="119">
        <f>'дод 2'!M142</f>
        <v>0</v>
      </c>
      <c r="M82" s="119">
        <f>'дод 2'!N142</f>
        <v>0</v>
      </c>
      <c r="N82" s="119">
        <f>'дод 2'!O142</f>
        <v>0</v>
      </c>
      <c r="O82" s="119">
        <f>'дод 2'!P142</f>
        <v>0</v>
      </c>
      <c r="P82" s="119">
        <f>'дод 2'!Q142</f>
        <v>0</v>
      </c>
      <c r="Q82" s="119">
        <f>'дод 2'!R142</f>
        <v>0</v>
      </c>
      <c r="R82" s="119">
        <f>'дод 2'!S142</f>
        <v>0</v>
      </c>
      <c r="S82" s="119">
        <f>'дод 2'!T142</f>
        <v>0</v>
      </c>
      <c r="T82" s="119">
        <f>'дод 2'!U142</f>
        <v>0</v>
      </c>
      <c r="U82" s="119">
        <f>'дод 2'!V142</f>
        <v>0</v>
      </c>
      <c r="V82" s="119">
        <f>'дод 2'!W142</f>
        <v>0</v>
      </c>
      <c r="W82" s="164"/>
      <c r="X82" s="119">
        <f>'дод 2'!Y142</f>
        <v>514825.86</v>
      </c>
      <c r="Y82" s="187"/>
      <c r="Z82" s="167"/>
    </row>
    <row r="83" spans="1:26" ht="24.75" customHeight="1" x14ac:dyDescent="0.25">
      <c r="A83" s="99"/>
      <c r="B83" s="99"/>
      <c r="C83" s="7" t="s">
        <v>342</v>
      </c>
      <c r="D83" s="119">
        <f>'дод 2'!E143</f>
        <v>973500</v>
      </c>
      <c r="E83" s="119">
        <f>'дод 2'!F143</f>
        <v>0</v>
      </c>
      <c r="F83" s="119">
        <f>'дод 2'!G143</f>
        <v>0</v>
      </c>
      <c r="G83" s="119">
        <f>'дод 2'!H143</f>
        <v>514825.86</v>
      </c>
      <c r="H83" s="119">
        <f>'дод 2'!I143</f>
        <v>0</v>
      </c>
      <c r="I83" s="119">
        <f>'дод 2'!J143</f>
        <v>0</v>
      </c>
      <c r="J83" s="164">
        <f t="shared" si="23"/>
        <v>52.884012326656396</v>
      </c>
      <c r="K83" s="119">
        <f>'дод 2'!L143</f>
        <v>0</v>
      </c>
      <c r="L83" s="119">
        <f>'дод 2'!M143</f>
        <v>0</v>
      </c>
      <c r="M83" s="119">
        <f>'дод 2'!N143</f>
        <v>0</v>
      </c>
      <c r="N83" s="119">
        <f>'дод 2'!O143</f>
        <v>0</v>
      </c>
      <c r="O83" s="119">
        <f>'дод 2'!P143</f>
        <v>0</v>
      </c>
      <c r="P83" s="119">
        <f>'дод 2'!Q143</f>
        <v>0</v>
      </c>
      <c r="Q83" s="119">
        <f>'дод 2'!R143</f>
        <v>0</v>
      </c>
      <c r="R83" s="119">
        <f>'дод 2'!S143</f>
        <v>0</v>
      </c>
      <c r="S83" s="119">
        <f>'дод 2'!T143</f>
        <v>0</v>
      </c>
      <c r="T83" s="119">
        <f>'дод 2'!U143</f>
        <v>0</v>
      </c>
      <c r="U83" s="119">
        <f>'дод 2'!V143</f>
        <v>0</v>
      </c>
      <c r="V83" s="119">
        <f>'дод 2'!W143</f>
        <v>0</v>
      </c>
      <c r="W83" s="164"/>
      <c r="X83" s="119">
        <f>'дод 2'!Y143</f>
        <v>514825.86</v>
      </c>
      <c r="Y83" s="187"/>
      <c r="Z83" s="167"/>
    </row>
    <row r="84" spans="1:26" ht="32.25" customHeight="1" x14ac:dyDescent="0.25">
      <c r="A84" s="99" t="s">
        <v>444</v>
      </c>
      <c r="B84" s="99" t="s">
        <v>132</v>
      </c>
      <c r="C84" s="7" t="s">
        <v>451</v>
      </c>
      <c r="D84" s="119">
        <f>'дод 2'!E144</f>
        <v>44264925</v>
      </c>
      <c r="E84" s="119">
        <f>'дод 2'!F144</f>
        <v>0</v>
      </c>
      <c r="F84" s="119">
        <f>'дод 2'!G144</f>
        <v>0</v>
      </c>
      <c r="G84" s="119">
        <f>'дод 2'!H144</f>
        <v>38820801.689999998</v>
      </c>
      <c r="H84" s="119">
        <f>'дод 2'!I144</f>
        <v>0</v>
      </c>
      <c r="I84" s="119">
        <f>'дод 2'!J144</f>
        <v>0</v>
      </c>
      <c r="J84" s="164">
        <f t="shared" si="23"/>
        <v>87.7010447662568</v>
      </c>
      <c r="K84" s="119">
        <f>'дод 2'!L144</f>
        <v>0</v>
      </c>
      <c r="L84" s="119">
        <f>'дод 2'!M144</f>
        <v>0</v>
      </c>
      <c r="M84" s="119">
        <f>'дод 2'!N144</f>
        <v>0</v>
      </c>
      <c r="N84" s="119">
        <f>'дод 2'!O144</f>
        <v>0</v>
      </c>
      <c r="O84" s="119">
        <f>'дод 2'!P144</f>
        <v>0</v>
      </c>
      <c r="P84" s="119">
        <f>'дод 2'!Q144</f>
        <v>0</v>
      </c>
      <c r="Q84" s="119">
        <f>'дод 2'!R144</f>
        <v>0</v>
      </c>
      <c r="R84" s="119">
        <f>'дод 2'!S144</f>
        <v>0</v>
      </c>
      <c r="S84" s="119">
        <f>'дод 2'!T144</f>
        <v>0</v>
      </c>
      <c r="T84" s="119">
        <f>'дод 2'!U144</f>
        <v>0</v>
      </c>
      <c r="U84" s="119">
        <f>'дод 2'!V144</f>
        <v>0</v>
      </c>
      <c r="V84" s="119">
        <f>'дод 2'!W144</f>
        <v>0</v>
      </c>
      <c r="W84" s="164"/>
      <c r="X84" s="119">
        <f>'дод 2'!Y144</f>
        <v>38820801.689999998</v>
      </c>
      <c r="Y84" s="187"/>
      <c r="Z84" s="167"/>
    </row>
    <row r="85" spans="1:26" ht="22.5" customHeight="1" x14ac:dyDescent="0.25">
      <c r="A85" s="99"/>
      <c r="B85" s="99"/>
      <c r="C85" s="7" t="s">
        <v>342</v>
      </c>
      <c r="D85" s="119">
        <f>'дод 2'!E145</f>
        <v>44264925</v>
      </c>
      <c r="E85" s="119">
        <f>'дод 2'!F145</f>
        <v>0</v>
      </c>
      <c r="F85" s="119">
        <f>'дод 2'!G145</f>
        <v>0</v>
      </c>
      <c r="G85" s="119">
        <f>'дод 2'!H145</f>
        <v>38820801.689999998</v>
      </c>
      <c r="H85" s="119">
        <f>'дод 2'!I145</f>
        <v>0</v>
      </c>
      <c r="I85" s="119">
        <f>'дод 2'!J145</f>
        <v>0</v>
      </c>
      <c r="J85" s="164">
        <f t="shared" si="23"/>
        <v>87.7010447662568</v>
      </c>
      <c r="K85" s="119">
        <f>'дод 2'!L145</f>
        <v>0</v>
      </c>
      <c r="L85" s="119">
        <f>'дод 2'!M145</f>
        <v>0</v>
      </c>
      <c r="M85" s="119">
        <f>'дод 2'!N145</f>
        <v>0</v>
      </c>
      <c r="N85" s="119">
        <f>'дод 2'!O145</f>
        <v>0</v>
      </c>
      <c r="O85" s="119">
        <f>'дод 2'!P145</f>
        <v>0</v>
      </c>
      <c r="P85" s="119">
        <f>'дод 2'!Q145</f>
        <v>0</v>
      </c>
      <c r="Q85" s="119">
        <f>'дод 2'!R145</f>
        <v>0</v>
      </c>
      <c r="R85" s="119">
        <f>'дод 2'!S145</f>
        <v>0</v>
      </c>
      <c r="S85" s="119">
        <f>'дод 2'!T145</f>
        <v>0</v>
      </c>
      <c r="T85" s="119">
        <f>'дод 2'!U145</f>
        <v>0</v>
      </c>
      <c r="U85" s="119">
        <f>'дод 2'!V145</f>
        <v>0</v>
      </c>
      <c r="V85" s="119">
        <f>'дод 2'!W145</f>
        <v>0</v>
      </c>
      <c r="W85" s="164"/>
      <c r="X85" s="119">
        <f>'дод 2'!Y145</f>
        <v>38820801.689999998</v>
      </c>
      <c r="Y85" s="187"/>
      <c r="Z85" s="167"/>
    </row>
    <row r="86" spans="1:26" ht="31.5" x14ac:dyDescent="0.25">
      <c r="A86" s="99" t="s">
        <v>581</v>
      </c>
      <c r="B86" s="99" t="s">
        <v>132</v>
      </c>
      <c r="C86" s="89" t="s">
        <v>583</v>
      </c>
      <c r="D86" s="119">
        <f>SUM('дод 2'!E146)</f>
        <v>834585</v>
      </c>
      <c r="E86" s="119">
        <f>SUM('дод 2'!F146)</f>
        <v>0</v>
      </c>
      <c r="F86" s="119">
        <f>SUM('дод 2'!G146)</f>
        <v>0</v>
      </c>
      <c r="G86" s="119">
        <f>SUM('дод 2'!H146)</f>
        <v>638549.68999999994</v>
      </c>
      <c r="H86" s="119">
        <f>SUM('дод 2'!I146)</f>
        <v>0</v>
      </c>
      <c r="I86" s="119">
        <f>SUM('дод 2'!J146)</f>
        <v>0</v>
      </c>
      <c r="J86" s="164">
        <f t="shared" si="23"/>
        <v>76.511043213093927</v>
      </c>
      <c r="K86" s="119">
        <f>SUM('дод 2'!L146)</f>
        <v>0</v>
      </c>
      <c r="L86" s="119">
        <f>SUM('дод 2'!M146)</f>
        <v>0</v>
      </c>
      <c r="M86" s="119">
        <f>SUM('дод 2'!N146)</f>
        <v>0</v>
      </c>
      <c r="N86" s="119">
        <f>SUM('дод 2'!O146)</f>
        <v>0</v>
      </c>
      <c r="O86" s="119">
        <f>SUM('дод 2'!P146)</f>
        <v>0</v>
      </c>
      <c r="P86" s="119">
        <f>SUM('дод 2'!Q146)</f>
        <v>0</v>
      </c>
      <c r="Q86" s="119">
        <f>SUM('дод 2'!R146)</f>
        <v>0</v>
      </c>
      <c r="R86" s="119">
        <f>SUM('дод 2'!S146)</f>
        <v>0</v>
      </c>
      <c r="S86" s="119">
        <f>SUM('дод 2'!T146)</f>
        <v>0</v>
      </c>
      <c r="T86" s="119">
        <f>SUM('дод 2'!U146)</f>
        <v>0</v>
      </c>
      <c r="U86" s="119">
        <f>SUM('дод 2'!V146)</f>
        <v>0</v>
      </c>
      <c r="V86" s="119">
        <f>SUM('дод 2'!W146)</f>
        <v>0</v>
      </c>
      <c r="W86" s="164"/>
      <c r="X86" s="119">
        <f>SUM('дод 2'!Y146)</f>
        <v>638549.68999999994</v>
      </c>
      <c r="Y86" s="187"/>
      <c r="Z86" s="167"/>
    </row>
    <row r="87" spans="1:26" ht="22.5" customHeight="1" x14ac:dyDescent="0.25">
      <c r="A87" s="99"/>
      <c r="B87" s="99"/>
      <c r="C87" s="7" t="s">
        <v>342</v>
      </c>
      <c r="D87" s="119">
        <f>SUM('дод 2'!E147)</f>
        <v>834585</v>
      </c>
      <c r="E87" s="119">
        <f>SUM('дод 2'!F147)</f>
        <v>0</v>
      </c>
      <c r="F87" s="119">
        <f>SUM('дод 2'!G147)</f>
        <v>0</v>
      </c>
      <c r="G87" s="119">
        <f>SUM('дод 2'!H147)</f>
        <v>638549.68999999994</v>
      </c>
      <c r="H87" s="119">
        <f>SUM('дод 2'!I147)</f>
        <v>0</v>
      </c>
      <c r="I87" s="119">
        <f>SUM('дод 2'!J147)</f>
        <v>0</v>
      </c>
      <c r="J87" s="164">
        <f t="shared" si="23"/>
        <v>76.511043213093927</v>
      </c>
      <c r="K87" s="119">
        <f>SUM('дод 2'!L147)</f>
        <v>0</v>
      </c>
      <c r="L87" s="119">
        <f>SUM('дод 2'!M147)</f>
        <v>0</v>
      </c>
      <c r="M87" s="119">
        <f>SUM('дод 2'!N147)</f>
        <v>0</v>
      </c>
      <c r="N87" s="119">
        <f>SUM('дод 2'!O147)</f>
        <v>0</v>
      </c>
      <c r="O87" s="119">
        <f>SUM('дод 2'!P147)</f>
        <v>0</v>
      </c>
      <c r="P87" s="119">
        <f>SUM('дод 2'!Q147)</f>
        <v>0</v>
      </c>
      <c r="Q87" s="119">
        <f>SUM('дод 2'!R147)</f>
        <v>0</v>
      </c>
      <c r="R87" s="119">
        <f>SUM('дод 2'!S147)</f>
        <v>0</v>
      </c>
      <c r="S87" s="119">
        <f>SUM('дод 2'!T147)</f>
        <v>0</v>
      </c>
      <c r="T87" s="119">
        <f>SUM('дод 2'!U147)</f>
        <v>0</v>
      </c>
      <c r="U87" s="119">
        <f>SUM('дод 2'!V147)</f>
        <v>0</v>
      </c>
      <c r="V87" s="119">
        <f>SUM('дод 2'!W147)</f>
        <v>0</v>
      </c>
      <c r="W87" s="164"/>
      <c r="X87" s="119">
        <f>SUM('дод 2'!Y147)</f>
        <v>638549.68999999994</v>
      </c>
      <c r="Y87" s="187"/>
      <c r="Z87" s="167"/>
    </row>
    <row r="88" spans="1:26" ht="40.5" customHeight="1" x14ac:dyDescent="0.25">
      <c r="A88" s="99" t="s">
        <v>133</v>
      </c>
      <c r="B88" s="99" t="s">
        <v>78</v>
      </c>
      <c r="C88" s="7" t="s">
        <v>49</v>
      </c>
      <c r="D88" s="119">
        <f>'дод 2'!E148</f>
        <v>686000</v>
      </c>
      <c r="E88" s="119">
        <f>'дод 2'!F148</f>
        <v>0</v>
      </c>
      <c r="F88" s="119">
        <f>'дод 2'!G148</f>
        <v>0</v>
      </c>
      <c r="G88" s="119">
        <f>'дод 2'!H148</f>
        <v>685801.19</v>
      </c>
      <c r="H88" s="119">
        <f>'дод 2'!I148</f>
        <v>0</v>
      </c>
      <c r="I88" s="119">
        <f>'дод 2'!J148</f>
        <v>0</v>
      </c>
      <c r="J88" s="164">
        <f t="shared" si="23"/>
        <v>99.971018950437312</v>
      </c>
      <c r="K88" s="119">
        <f>'дод 2'!L148</f>
        <v>0</v>
      </c>
      <c r="L88" s="119">
        <f>'дод 2'!M148</f>
        <v>0</v>
      </c>
      <c r="M88" s="119">
        <f>'дод 2'!N148</f>
        <v>0</v>
      </c>
      <c r="N88" s="119">
        <f>'дод 2'!O148</f>
        <v>0</v>
      </c>
      <c r="O88" s="119">
        <f>'дод 2'!P148</f>
        <v>0</v>
      </c>
      <c r="P88" s="119">
        <f>'дод 2'!Q148</f>
        <v>0</v>
      </c>
      <c r="Q88" s="119">
        <f>'дод 2'!R148</f>
        <v>0</v>
      </c>
      <c r="R88" s="119">
        <f>'дод 2'!S148</f>
        <v>0</v>
      </c>
      <c r="S88" s="119">
        <f>'дод 2'!T148</f>
        <v>0</v>
      </c>
      <c r="T88" s="119">
        <f>'дод 2'!U148</f>
        <v>0</v>
      </c>
      <c r="U88" s="119">
        <f>'дод 2'!V148</f>
        <v>0</v>
      </c>
      <c r="V88" s="119">
        <f>'дод 2'!W148</f>
        <v>0</v>
      </c>
      <c r="W88" s="164"/>
      <c r="X88" s="119">
        <f>'дод 2'!Y148</f>
        <v>685801.19</v>
      </c>
      <c r="Y88" s="187"/>
      <c r="Z88" s="167"/>
    </row>
    <row r="89" spans="1:26" ht="40.5" customHeight="1" x14ac:dyDescent="0.25">
      <c r="A89" s="99" t="s">
        <v>459</v>
      </c>
      <c r="B89" s="99" t="s">
        <v>72</v>
      </c>
      <c r="C89" s="7" t="s">
        <v>465</v>
      </c>
      <c r="D89" s="119">
        <f>'дод 2'!E149</f>
        <v>70995980</v>
      </c>
      <c r="E89" s="119">
        <f>'дод 2'!F149</f>
        <v>0</v>
      </c>
      <c r="F89" s="119">
        <f>'дод 2'!G149</f>
        <v>0</v>
      </c>
      <c r="G89" s="119">
        <f>'дод 2'!H149</f>
        <v>63024685.789999999</v>
      </c>
      <c r="H89" s="119">
        <f>'дод 2'!I149</f>
        <v>0</v>
      </c>
      <c r="I89" s="119">
        <f>'дод 2'!J149</f>
        <v>0</v>
      </c>
      <c r="J89" s="164">
        <f t="shared" si="23"/>
        <v>88.772189340861274</v>
      </c>
      <c r="K89" s="119">
        <f>'дод 2'!L149</f>
        <v>0</v>
      </c>
      <c r="L89" s="119">
        <f>'дод 2'!M149</f>
        <v>0</v>
      </c>
      <c r="M89" s="119">
        <f>'дод 2'!N149</f>
        <v>0</v>
      </c>
      <c r="N89" s="119">
        <f>'дод 2'!O149</f>
        <v>0</v>
      </c>
      <c r="O89" s="119">
        <f>'дод 2'!P149</f>
        <v>0</v>
      </c>
      <c r="P89" s="119">
        <f>'дод 2'!Q149</f>
        <v>0</v>
      </c>
      <c r="Q89" s="119">
        <f>'дод 2'!R149</f>
        <v>0</v>
      </c>
      <c r="R89" s="119">
        <f>'дод 2'!S149</f>
        <v>0</v>
      </c>
      <c r="S89" s="119">
        <f>'дод 2'!T149</f>
        <v>0</v>
      </c>
      <c r="T89" s="119">
        <f>'дод 2'!U149</f>
        <v>0</v>
      </c>
      <c r="U89" s="119">
        <f>'дод 2'!V149</f>
        <v>0</v>
      </c>
      <c r="V89" s="119">
        <f>'дод 2'!W149</f>
        <v>0</v>
      </c>
      <c r="W89" s="164"/>
      <c r="X89" s="119">
        <f>'дод 2'!Y149</f>
        <v>63024685.789999999</v>
      </c>
      <c r="Y89" s="187"/>
      <c r="Z89" s="167"/>
    </row>
    <row r="90" spans="1:26" ht="27" customHeight="1" x14ac:dyDescent="0.25">
      <c r="A90" s="99"/>
      <c r="B90" s="99"/>
      <c r="C90" s="7" t="s">
        <v>342</v>
      </c>
      <c r="D90" s="119">
        <f>'дод 2'!E150</f>
        <v>70995980</v>
      </c>
      <c r="E90" s="119">
        <f>'дод 2'!F150</f>
        <v>0</v>
      </c>
      <c r="F90" s="119">
        <f>'дод 2'!G150</f>
        <v>0</v>
      </c>
      <c r="G90" s="119">
        <f>'дод 2'!H150</f>
        <v>63024685.789999999</v>
      </c>
      <c r="H90" s="119">
        <f>'дод 2'!I150</f>
        <v>0</v>
      </c>
      <c r="I90" s="119">
        <f>'дод 2'!J150</f>
        <v>0</v>
      </c>
      <c r="J90" s="164">
        <f t="shared" si="23"/>
        <v>88.772189340861274</v>
      </c>
      <c r="K90" s="119">
        <f>'дод 2'!L150</f>
        <v>0</v>
      </c>
      <c r="L90" s="119">
        <f>'дод 2'!M150</f>
        <v>0</v>
      </c>
      <c r="M90" s="119">
        <f>'дод 2'!N150</f>
        <v>0</v>
      </c>
      <c r="N90" s="119">
        <f>'дод 2'!O150</f>
        <v>0</v>
      </c>
      <c r="O90" s="119">
        <f>'дод 2'!P150</f>
        <v>0</v>
      </c>
      <c r="P90" s="119">
        <f>'дод 2'!Q150</f>
        <v>0</v>
      </c>
      <c r="Q90" s="119">
        <f>'дод 2'!R150</f>
        <v>0</v>
      </c>
      <c r="R90" s="119">
        <f>'дод 2'!S150</f>
        <v>0</v>
      </c>
      <c r="S90" s="119">
        <f>'дод 2'!T150</f>
        <v>0</v>
      </c>
      <c r="T90" s="119">
        <f>'дод 2'!U150</f>
        <v>0</v>
      </c>
      <c r="U90" s="119">
        <f>'дод 2'!V150</f>
        <v>0</v>
      </c>
      <c r="V90" s="119">
        <f>'дод 2'!W150</f>
        <v>0</v>
      </c>
      <c r="W90" s="164"/>
      <c r="X90" s="119">
        <f>'дод 2'!Y150</f>
        <v>63024685.789999999</v>
      </c>
      <c r="Y90" s="187"/>
      <c r="Z90" s="167"/>
    </row>
    <row r="91" spans="1:26" ht="51.75" customHeight="1" x14ac:dyDescent="0.25">
      <c r="A91" s="99" t="s">
        <v>460</v>
      </c>
      <c r="B91" s="99" t="s">
        <v>72</v>
      </c>
      <c r="C91" s="7" t="s">
        <v>466</v>
      </c>
      <c r="D91" s="119">
        <f>'дод 2'!E151</f>
        <v>11172650</v>
      </c>
      <c r="E91" s="119">
        <f>'дод 2'!F151</f>
        <v>0</v>
      </c>
      <c r="F91" s="119">
        <f>'дод 2'!G151</f>
        <v>0</v>
      </c>
      <c r="G91" s="119">
        <f>'дод 2'!H151</f>
        <v>11109753.73</v>
      </c>
      <c r="H91" s="119">
        <f>'дод 2'!I151</f>
        <v>0</v>
      </c>
      <c r="I91" s="119">
        <f>'дод 2'!J151</f>
        <v>0</v>
      </c>
      <c r="J91" s="164">
        <f t="shared" si="23"/>
        <v>99.437051460486103</v>
      </c>
      <c r="K91" s="119">
        <f>'дод 2'!L151</f>
        <v>0</v>
      </c>
      <c r="L91" s="119">
        <f>'дод 2'!M151</f>
        <v>0</v>
      </c>
      <c r="M91" s="119">
        <f>'дод 2'!N151</f>
        <v>0</v>
      </c>
      <c r="N91" s="119">
        <f>'дод 2'!O151</f>
        <v>0</v>
      </c>
      <c r="O91" s="119">
        <f>'дод 2'!P151</f>
        <v>0</v>
      </c>
      <c r="P91" s="119">
        <f>'дод 2'!Q151</f>
        <v>0</v>
      </c>
      <c r="Q91" s="119">
        <f>'дод 2'!R151</f>
        <v>0</v>
      </c>
      <c r="R91" s="119">
        <f>'дод 2'!S151</f>
        <v>0</v>
      </c>
      <c r="S91" s="119">
        <f>'дод 2'!T151</f>
        <v>0</v>
      </c>
      <c r="T91" s="119">
        <f>'дод 2'!U151</f>
        <v>0</v>
      </c>
      <c r="U91" s="119">
        <f>'дод 2'!V151</f>
        <v>0</v>
      </c>
      <c r="V91" s="119">
        <f>'дод 2'!W151</f>
        <v>0</v>
      </c>
      <c r="W91" s="164"/>
      <c r="X91" s="119">
        <f>'дод 2'!Y151</f>
        <v>11109753.73</v>
      </c>
      <c r="Y91" s="187"/>
      <c r="Z91" s="167"/>
    </row>
    <row r="92" spans="1:26" ht="27" customHeight="1" x14ac:dyDescent="0.25">
      <c r="A92" s="99"/>
      <c r="B92" s="99"/>
      <c r="C92" s="7" t="s">
        <v>342</v>
      </c>
      <c r="D92" s="119">
        <f>'дод 2'!E152</f>
        <v>11172650</v>
      </c>
      <c r="E92" s="119">
        <f>'дод 2'!F152</f>
        <v>0</v>
      </c>
      <c r="F92" s="119">
        <f>'дод 2'!G152</f>
        <v>0</v>
      </c>
      <c r="G92" s="119">
        <f>'дод 2'!H152</f>
        <v>11109753.73</v>
      </c>
      <c r="H92" s="119">
        <f>'дод 2'!I152</f>
        <v>0</v>
      </c>
      <c r="I92" s="119">
        <f>'дод 2'!J152</f>
        <v>0</v>
      </c>
      <c r="J92" s="164">
        <f t="shared" si="23"/>
        <v>99.437051460486103</v>
      </c>
      <c r="K92" s="119">
        <f>'дод 2'!L152</f>
        <v>0</v>
      </c>
      <c r="L92" s="119">
        <f>'дод 2'!M152</f>
        <v>0</v>
      </c>
      <c r="M92" s="119">
        <f>'дод 2'!N152</f>
        <v>0</v>
      </c>
      <c r="N92" s="119">
        <f>'дод 2'!O152</f>
        <v>0</v>
      </c>
      <c r="O92" s="119">
        <f>'дод 2'!P152</f>
        <v>0</v>
      </c>
      <c r="P92" s="119">
        <f>'дод 2'!Q152</f>
        <v>0</v>
      </c>
      <c r="Q92" s="119">
        <f>'дод 2'!R152</f>
        <v>0</v>
      </c>
      <c r="R92" s="119">
        <f>'дод 2'!S152</f>
        <v>0</v>
      </c>
      <c r="S92" s="119">
        <f>'дод 2'!T152</f>
        <v>0</v>
      </c>
      <c r="T92" s="119">
        <f>'дод 2'!U152</f>
        <v>0</v>
      </c>
      <c r="U92" s="119">
        <f>'дод 2'!V152</f>
        <v>0</v>
      </c>
      <c r="V92" s="119">
        <f>'дод 2'!W152</f>
        <v>0</v>
      </c>
      <c r="W92" s="164"/>
      <c r="X92" s="119">
        <f>'дод 2'!Y152</f>
        <v>11109753.73</v>
      </c>
      <c r="Y92" s="187"/>
      <c r="Z92" s="167"/>
    </row>
    <row r="93" spans="1:26" ht="37.5" customHeight="1" x14ac:dyDescent="0.25">
      <c r="A93" s="99" t="s">
        <v>461</v>
      </c>
      <c r="B93" s="99" t="s">
        <v>72</v>
      </c>
      <c r="C93" s="7" t="s">
        <v>467</v>
      </c>
      <c r="D93" s="119">
        <f>'дод 2'!E153</f>
        <v>12253970</v>
      </c>
      <c r="E93" s="119">
        <f>'дод 2'!F153</f>
        <v>0</v>
      </c>
      <c r="F93" s="119">
        <f>'дод 2'!G153</f>
        <v>0</v>
      </c>
      <c r="G93" s="119">
        <f>'дод 2'!H153</f>
        <v>10515222.199999999</v>
      </c>
      <c r="H93" s="119">
        <f>'дод 2'!I153</f>
        <v>0</v>
      </c>
      <c r="I93" s="119">
        <f>'дод 2'!J153</f>
        <v>0</v>
      </c>
      <c r="J93" s="164">
        <f t="shared" si="23"/>
        <v>85.810738887070883</v>
      </c>
      <c r="K93" s="119">
        <f>'дод 2'!L153</f>
        <v>0</v>
      </c>
      <c r="L93" s="119">
        <f>'дод 2'!M153</f>
        <v>0</v>
      </c>
      <c r="M93" s="119">
        <f>'дод 2'!N153</f>
        <v>0</v>
      </c>
      <c r="N93" s="119">
        <f>'дод 2'!O153</f>
        <v>0</v>
      </c>
      <c r="O93" s="119">
        <f>'дод 2'!P153</f>
        <v>0</v>
      </c>
      <c r="P93" s="119">
        <f>'дод 2'!Q153</f>
        <v>0</v>
      </c>
      <c r="Q93" s="119">
        <f>'дод 2'!R153</f>
        <v>0</v>
      </c>
      <c r="R93" s="119">
        <f>'дод 2'!S153</f>
        <v>0</v>
      </c>
      <c r="S93" s="119">
        <f>'дод 2'!T153</f>
        <v>0</v>
      </c>
      <c r="T93" s="119">
        <f>'дод 2'!U153</f>
        <v>0</v>
      </c>
      <c r="U93" s="119">
        <f>'дод 2'!V153</f>
        <v>0</v>
      </c>
      <c r="V93" s="119">
        <f>'дод 2'!W153</f>
        <v>0</v>
      </c>
      <c r="W93" s="164"/>
      <c r="X93" s="119">
        <f>'дод 2'!Y153</f>
        <v>10515222.199999999</v>
      </c>
      <c r="Y93" s="187"/>
      <c r="Z93" s="167"/>
    </row>
    <row r="94" spans="1:26" ht="27" customHeight="1" x14ac:dyDescent="0.25">
      <c r="A94" s="99"/>
      <c r="B94" s="99"/>
      <c r="C94" s="7" t="s">
        <v>342</v>
      </c>
      <c r="D94" s="119">
        <f>'дод 2'!E154</f>
        <v>12253970</v>
      </c>
      <c r="E94" s="119">
        <f>'дод 2'!F154</f>
        <v>0</v>
      </c>
      <c r="F94" s="119">
        <f>'дод 2'!G154</f>
        <v>0</v>
      </c>
      <c r="G94" s="119">
        <f>'дод 2'!H154</f>
        <v>10515222.199999999</v>
      </c>
      <c r="H94" s="119">
        <f>'дод 2'!I154</f>
        <v>0</v>
      </c>
      <c r="I94" s="119">
        <f>'дод 2'!J154</f>
        <v>0</v>
      </c>
      <c r="J94" s="164">
        <f t="shared" si="23"/>
        <v>85.810738887070883</v>
      </c>
      <c r="K94" s="119">
        <f>'дод 2'!L154</f>
        <v>0</v>
      </c>
      <c r="L94" s="119">
        <f>'дод 2'!M154</f>
        <v>0</v>
      </c>
      <c r="M94" s="119">
        <f>'дод 2'!N154</f>
        <v>0</v>
      </c>
      <c r="N94" s="119">
        <f>'дод 2'!O154</f>
        <v>0</v>
      </c>
      <c r="O94" s="119">
        <f>'дод 2'!P154</f>
        <v>0</v>
      </c>
      <c r="P94" s="119">
        <f>'дод 2'!Q154</f>
        <v>0</v>
      </c>
      <c r="Q94" s="119">
        <f>'дод 2'!R154</f>
        <v>0</v>
      </c>
      <c r="R94" s="119">
        <f>'дод 2'!S154</f>
        <v>0</v>
      </c>
      <c r="S94" s="119">
        <f>'дод 2'!T154</f>
        <v>0</v>
      </c>
      <c r="T94" s="119">
        <f>'дод 2'!U154</f>
        <v>0</v>
      </c>
      <c r="U94" s="119">
        <f>'дод 2'!V154</f>
        <v>0</v>
      </c>
      <c r="V94" s="119">
        <f>'дод 2'!W154</f>
        <v>0</v>
      </c>
      <c r="W94" s="164"/>
      <c r="X94" s="119">
        <f>'дод 2'!Y154</f>
        <v>10515222.199999999</v>
      </c>
      <c r="Y94" s="187"/>
      <c r="Z94" s="167"/>
    </row>
    <row r="95" spans="1:26" ht="57.75" customHeight="1" x14ac:dyDescent="0.25">
      <c r="A95" s="99" t="s">
        <v>462</v>
      </c>
      <c r="B95" s="99" t="s">
        <v>132</v>
      </c>
      <c r="C95" s="7" t="s">
        <v>468</v>
      </c>
      <c r="D95" s="119">
        <f>'дод 2'!E155</f>
        <v>1859870</v>
      </c>
      <c r="E95" s="119">
        <f>'дод 2'!F155</f>
        <v>0</v>
      </c>
      <c r="F95" s="119">
        <f>'дод 2'!G155</f>
        <v>0</v>
      </c>
      <c r="G95" s="119">
        <f>'дод 2'!H155</f>
        <v>1105748.68</v>
      </c>
      <c r="H95" s="119">
        <f>'дод 2'!I155</f>
        <v>0</v>
      </c>
      <c r="I95" s="119">
        <f>'дод 2'!J155</f>
        <v>0</v>
      </c>
      <c r="J95" s="164">
        <f t="shared" si="23"/>
        <v>59.453009081279873</v>
      </c>
      <c r="K95" s="119">
        <f>'дод 2'!L155</f>
        <v>0</v>
      </c>
      <c r="L95" s="119">
        <f>'дод 2'!M155</f>
        <v>0</v>
      </c>
      <c r="M95" s="119">
        <f>'дод 2'!N155</f>
        <v>0</v>
      </c>
      <c r="N95" s="119">
        <f>'дод 2'!O155</f>
        <v>0</v>
      </c>
      <c r="O95" s="119">
        <f>'дод 2'!P155</f>
        <v>0</v>
      </c>
      <c r="P95" s="119">
        <f>'дод 2'!Q155</f>
        <v>0</v>
      </c>
      <c r="Q95" s="119">
        <f>'дод 2'!R155</f>
        <v>0</v>
      </c>
      <c r="R95" s="119">
        <f>'дод 2'!S155</f>
        <v>0</v>
      </c>
      <c r="S95" s="119">
        <f>'дод 2'!T155</f>
        <v>0</v>
      </c>
      <c r="T95" s="119">
        <f>'дод 2'!U155</f>
        <v>0</v>
      </c>
      <c r="U95" s="119">
        <f>'дод 2'!V155</f>
        <v>0</v>
      </c>
      <c r="V95" s="119">
        <f>'дод 2'!W155</f>
        <v>0</v>
      </c>
      <c r="W95" s="164"/>
      <c r="X95" s="119">
        <f>'дод 2'!Y155</f>
        <v>1105748.68</v>
      </c>
      <c r="Y95" s="187"/>
      <c r="Z95" s="167"/>
    </row>
    <row r="96" spans="1:26" ht="27" customHeight="1" x14ac:dyDescent="0.25">
      <c r="A96" s="99"/>
      <c r="B96" s="99"/>
      <c r="C96" s="7" t="s">
        <v>342</v>
      </c>
      <c r="D96" s="119">
        <f>'дод 2'!E156</f>
        <v>1859870</v>
      </c>
      <c r="E96" s="119">
        <f>'дод 2'!F156</f>
        <v>0</v>
      </c>
      <c r="F96" s="119">
        <f>'дод 2'!G156</f>
        <v>0</v>
      </c>
      <c r="G96" s="119">
        <f>'дод 2'!H156</f>
        <v>1105748.68</v>
      </c>
      <c r="H96" s="119">
        <f>'дод 2'!I156</f>
        <v>0</v>
      </c>
      <c r="I96" s="119">
        <f>'дод 2'!J156</f>
        <v>0</v>
      </c>
      <c r="J96" s="164">
        <f t="shared" si="23"/>
        <v>59.453009081279873</v>
      </c>
      <c r="K96" s="119">
        <f>'дод 2'!L156</f>
        <v>0</v>
      </c>
      <c r="L96" s="119">
        <f>'дод 2'!M156</f>
        <v>0</v>
      </c>
      <c r="M96" s="119">
        <f>'дод 2'!N156</f>
        <v>0</v>
      </c>
      <c r="N96" s="119">
        <f>'дод 2'!O156</f>
        <v>0</v>
      </c>
      <c r="O96" s="119">
        <f>'дод 2'!P156</f>
        <v>0</v>
      </c>
      <c r="P96" s="119">
        <f>'дод 2'!Q156</f>
        <v>0</v>
      </c>
      <c r="Q96" s="119">
        <f>'дод 2'!R156</f>
        <v>0</v>
      </c>
      <c r="R96" s="119">
        <f>'дод 2'!S156</f>
        <v>0</v>
      </c>
      <c r="S96" s="119">
        <f>'дод 2'!T156</f>
        <v>0</v>
      </c>
      <c r="T96" s="119">
        <f>'дод 2'!U156</f>
        <v>0</v>
      </c>
      <c r="U96" s="119">
        <f>'дод 2'!V156</f>
        <v>0</v>
      </c>
      <c r="V96" s="119">
        <f>'дод 2'!W156</f>
        <v>0</v>
      </c>
      <c r="W96" s="164"/>
      <c r="X96" s="119">
        <f>'дод 2'!Y156</f>
        <v>1105748.68</v>
      </c>
      <c r="Y96" s="187">
        <v>20</v>
      </c>
      <c r="Z96" s="167"/>
    </row>
    <row r="97" spans="1:26" ht="64.5" customHeight="1" x14ac:dyDescent="0.25">
      <c r="A97" s="99" t="s">
        <v>463</v>
      </c>
      <c r="B97" s="99" t="s">
        <v>72</v>
      </c>
      <c r="C97" s="7" t="s">
        <v>469</v>
      </c>
      <c r="D97" s="119">
        <f>'дод 2'!E157</f>
        <v>190380</v>
      </c>
      <c r="E97" s="119">
        <f>'дод 2'!F157</f>
        <v>0</v>
      </c>
      <c r="F97" s="119">
        <f>'дод 2'!G157</f>
        <v>0</v>
      </c>
      <c r="G97" s="119">
        <f>'дод 2'!H157</f>
        <v>187879.44</v>
      </c>
      <c r="H97" s="119">
        <f>'дод 2'!I157</f>
        <v>0</v>
      </c>
      <c r="I97" s="119">
        <f>'дод 2'!J157</f>
        <v>0</v>
      </c>
      <c r="J97" s="164">
        <f t="shared" si="23"/>
        <v>98.686542704065545</v>
      </c>
      <c r="K97" s="119">
        <f>'дод 2'!L157</f>
        <v>0</v>
      </c>
      <c r="L97" s="119">
        <f>'дод 2'!M157</f>
        <v>0</v>
      </c>
      <c r="M97" s="119">
        <f>'дод 2'!N157</f>
        <v>0</v>
      </c>
      <c r="N97" s="119">
        <f>'дод 2'!O157</f>
        <v>0</v>
      </c>
      <c r="O97" s="119">
        <f>'дод 2'!P157</f>
        <v>0</v>
      </c>
      <c r="P97" s="119">
        <f>'дод 2'!Q157</f>
        <v>0</v>
      </c>
      <c r="Q97" s="119">
        <f>'дод 2'!R157</f>
        <v>0</v>
      </c>
      <c r="R97" s="119">
        <f>'дод 2'!S157</f>
        <v>0</v>
      </c>
      <c r="S97" s="119">
        <f>'дод 2'!T157</f>
        <v>0</v>
      </c>
      <c r="T97" s="119">
        <f>'дод 2'!U157</f>
        <v>0</v>
      </c>
      <c r="U97" s="119">
        <f>'дод 2'!V157</f>
        <v>0</v>
      </c>
      <c r="V97" s="119">
        <f>'дод 2'!W157</f>
        <v>0</v>
      </c>
      <c r="W97" s="164"/>
      <c r="X97" s="119">
        <f>'дод 2'!Y157</f>
        <v>187879.44</v>
      </c>
      <c r="Y97" s="187"/>
      <c r="Z97" s="167"/>
    </row>
    <row r="98" spans="1:26" ht="27" customHeight="1" x14ac:dyDescent="0.25">
      <c r="A98" s="99"/>
      <c r="B98" s="99"/>
      <c r="C98" s="7" t="s">
        <v>342</v>
      </c>
      <c r="D98" s="119">
        <f>'дод 2'!E158</f>
        <v>190380</v>
      </c>
      <c r="E98" s="119">
        <f>'дод 2'!F158</f>
        <v>0</v>
      </c>
      <c r="F98" s="119">
        <f>'дод 2'!G158</f>
        <v>0</v>
      </c>
      <c r="G98" s="119">
        <f>'дод 2'!H158</f>
        <v>187879.44</v>
      </c>
      <c r="H98" s="119">
        <f>'дод 2'!I158</f>
        <v>0</v>
      </c>
      <c r="I98" s="119">
        <f>'дод 2'!J158</f>
        <v>0</v>
      </c>
      <c r="J98" s="164">
        <f t="shared" si="23"/>
        <v>98.686542704065545</v>
      </c>
      <c r="K98" s="119">
        <f>'дод 2'!L158</f>
        <v>0</v>
      </c>
      <c r="L98" s="119">
        <f>'дод 2'!M158</f>
        <v>0</v>
      </c>
      <c r="M98" s="119">
        <f>'дод 2'!N158</f>
        <v>0</v>
      </c>
      <c r="N98" s="119">
        <f>'дод 2'!O158</f>
        <v>0</v>
      </c>
      <c r="O98" s="119">
        <f>'дод 2'!P158</f>
        <v>0</v>
      </c>
      <c r="P98" s="119">
        <f>'дод 2'!Q158</f>
        <v>0</v>
      </c>
      <c r="Q98" s="119">
        <f>'дод 2'!R158</f>
        <v>0</v>
      </c>
      <c r="R98" s="119">
        <f>'дод 2'!S158</f>
        <v>0</v>
      </c>
      <c r="S98" s="119">
        <f>'дод 2'!T158</f>
        <v>0</v>
      </c>
      <c r="T98" s="119">
        <f>'дод 2'!U158</f>
        <v>0</v>
      </c>
      <c r="U98" s="119">
        <f>'дод 2'!V158</f>
        <v>0</v>
      </c>
      <c r="V98" s="119">
        <f>'дод 2'!W158</f>
        <v>0</v>
      </c>
      <c r="W98" s="164"/>
      <c r="X98" s="119">
        <f>'дод 2'!Y158</f>
        <v>187879.44</v>
      </c>
      <c r="Y98" s="187"/>
      <c r="Z98" s="167"/>
    </row>
    <row r="99" spans="1:26" ht="167.25" customHeight="1" x14ac:dyDescent="0.25">
      <c r="A99" s="99" t="s">
        <v>579</v>
      </c>
      <c r="B99" s="99" t="s">
        <v>132</v>
      </c>
      <c r="C99" s="89" t="s">
        <v>584</v>
      </c>
      <c r="D99" s="119">
        <f>SUM('дод 2'!E159)</f>
        <v>253550</v>
      </c>
      <c r="E99" s="119">
        <f>SUM('дод 2'!F159)</f>
        <v>0</v>
      </c>
      <c r="F99" s="119">
        <f>SUM('дод 2'!G159)</f>
        <v>0</v>
      </c>
      <c r="G99" s="119">
        <f>SUM('дод 2'!H159)</f>
        <v>63006.5</v>
      </c>
      <c r="H99" s="119">
        <f>SUM('дод 2'!I159)</f>
        <v>0</v>
      </c>
      <c r="I99" s="119">
        <f>SUM('дод 2'!J159)</f>
        <v>0</v>
      </c>
      <c r="J99" s="164">
        <f t="shared" si="23"/>
        <v>24.849733780319465</v>
      </c>
      <c r="K99" s="119">
        <f>SUM('дод 2'!L159)</f>
        <v>0</v>
      </c>
      <c r="L99" s="119">
        <f>SUM('дод 2'!M159)</f>
        <v>0</v>
      </c>
      <c r="M99" s="119">
        <f>SUM('дод 2'!N159)</f>
        <v>0</v>
      </c>
      <c r="N99" s="119">
        <f>SUM('дод 2'!O159)</f>
        <v>0</v>
      </c>
      <c r="O99" s="119">
        <f>SUM('дод 2'!P159)</f>
        <v>0</v>
      </c>
      <c r="P99" s="119">
        <f>SUM('дод 2'!Q159)</f>
        <v>0</v>
      </c>
      <c r="Q99" s="119">
        <f>SUM('дод 2'!R159)</f>
        <v>0</v>
      </c>
      <c r="R99" s="119">
        <f>SUM('дод 2'!S159)</f>
        <v>0</v>
      </c>
      <c r="S99" s="119">
        <f>SUM('дод 2'!T159)</f>
        <v>0</v>
      </c>
      <c r="T99" s="119">
        <f>SUM('дод 2'!U159)</f>
        <v>0</v>
      </c>
      <c r="U99" s="119">
        <f>SUM('дод 2'!V159)</f>
        <v>0</v>
      </c>
      <c r="V99" s="119">
        <f>SUM('дод 2'!W159)</f>
        <v>0</v>
      </c>
      <c r="W99" s="164"/>
      <c r="X99" s="119">
        <f>SUM('дод 2'!Y159)</f>
        <v>63006.5</v>
      </c>
      <c r="Y99" s="187"/>
      <c r="Z99" s="167"/>
    </row>
    <row r="100" spans="1:26" ht="19.5" customHeight="1" x14ac:dyDescent="0.25">
      <c r="A100" s="99"/>
      <c r="B100" s="99"/>
      <c r="C100" s="7" t="s">
        <v>342</v>
      </c>
      <c r="D100" s="119">
        <f>SUM('дод 2'!E160)</f>
        <v>253550</v>
      </c>
      <c r="E100" s="119">
        <f>SUM('дод 2'!F160)</f>
        <v>0</v>
      </c>
      <c r="F100" s="119">
        <f>SUM('дод 2'!G160)</f>
        <v>0</v>
      </c>
      <c r="G100" s="119">
        <f>SUM('дод 2'!H160)</f>
        <v>63006.5</v>
      </c>
      <c r="H100" s="119">
        <f>SUM('дод 2'!I160)</f>
        <v>0</v>
      </c>
      <c r="I100" s="119">
        <f>SUM('дод 2'!J160)</f>
        <v>0</v>
      </c>
      <c r="J100" s="164">
        <f t="shared" si="23"/>
        <v>24.849733780319465</v>
      </c>
      <c r="K100" s="119">
        <f>SUM('дод 2'!L160)</f>
        <v>0</v>
      </c>
      <c r="L100" s="119">
        <f>SUM('дод 2'!M160)</f>
        <v>0</v>
      </c>
      <c r="M100" s="119">
        <f>SUM('дод 2'!N160)</f>
        <v>0</v>
      </c>
      <c r="N100" s="119">
        <f>SUM('дод 2'!O160)</f>
        <v>0</v>
      </c>
      <c r="O100" s="119">
        <f>SUM('дод 2'!P160)</f>
        <v>0</v>
      </c>
      <c r="P100" s="119">
        <f>SUM('дод 2'!Q160)</f>
        <v>0</v>
      </c>
      <c r="Q100" s="119">
        <f>SUM('дод 2'!R160)</f>
        <v>0</v>
      </c>
      <c r="R100" s="119">
        <f>SUM('дод 2'!S160)</f>
        <v>0</v>
      </c>
      <c r="S100" s="119">
        <f>SUM('дод 2'!T160)</f>
        <v>0</v>
      </c>
      <c r="T100" s="119">
        <f>SUM('дод 2'!U160)</f>
        <v>0</v>
      </c>
      <c r="U100" s="119">
        <f>SUM('дод 2'!V160)</f>
        <v>0</v>
      </c>
      <c r="V100" s="119">
        <f>SUM('дод 2'!W160)</f>
        <v>0</v>
      </c>
      <c r="W100" s="164"/>
      <c r="X100" s="119">
        <f>SUM('дод 2'!Y160)</f>
        <v>63006.5</v>
      </c>
      <c r="Y100" s="187"/>
      <c r="Z100" s="167"/>
    </row>
    <row r="101" spans="1:26" ht="35.25" customHeight="1" x14ac:dyDescent="0.25">
      <c r="A101" s="99">
        <v>3087</v>
      </c>
      <c r="B101" s="99">
        <v>1040</v>
      </c>
      <c r="C101" s="89" t="s">
        <v>594</v>
      </c>
      <c r="D101" s="119">
        <f>SUM('дод 2'!E161)</f>
        <v>15300000</v>
      </c>
      <c r="E101" s="119">
        <f>SUM('дод 2'!F161)</f>
        <v>0</v>
      </c>
      <c r="F101" s="119">
        <f>SUM('дод 2'!G161)</f>
        <v>0</v>
      </c>
      <c r="G101" s="119">
        <f>SUM('дод 2'!H161)</f>
        <v>13037300</v>
      </c>
      <c r="H101" s="119">
        <f>SUM('дод 2'!I161)</f>
        <v>0</v>
      </c>
      <c r="I101" s="119">
        <f>SUM('дод 2'!J161)</f>
        <v>0</v>
      </c>
      <c r="J101" s="164">
        <f t="shared" si="23"/>
        <v>85.211111111111109</v>
      </c>
      <c r="K101" s="119">
        <f>SUM('дод 2'!L161)</f>
        <v>0</v>
      </c>
      <c r="L101" s="119">
        <f>SUM('дод 2'!M161)</f>
        <v>0</v>
      </c>
      <c r="M101" s="119">
        <f>SUM('дод 2'!N161)</f>
        <v>0</v>
      </c>
      <c r="N101" s="119">
        <f>SUM('дод 2'!O161)</f>
        <v>0</v>
      </c>
      <c r="O101" s="119">
        <f>SUM('дод 2'!P161)</f>
        <v>0</v>
      </c>
      <c r="P101" s="119">
        <f>SUM('дод 2'!Q161)</f>
        <v>0</v>
      </c>
      <c r="Q101" s="119">
        <f>SUM('дод 2'!R161)</f>
        <v>0</v>
      </c>
      <c r="R101" s="119">
        <f>SUM('дод 2'!S161)</f>
        <v>0</v>
      </c>
      <c r="S101" s="119">
        <f>SUM('дод 2'!T161)</f>
        <v>0</v>
      </c>
      <c r="T101" s="119">
        <f>SUM('дод 2'!U161)</f>
        <v>0</v>
      </c>
      <c r="U101" s="119">
        <f>SUM('дод 2'!V161)</f>
        <v>0</v>
      </c>
      <c r="V101" s="119">
        <f>SUM('дод 2'!W161)</f>
        <v>0</v>
      </c>
      <c r="W101" s="164"/>
      <c r="X101" s="119">
        <f>SUM('дод 2'!Y161)</f>
        <v>13037300</v>
      </c>
      <c r="Y101" s="187"/>
      <c r="Z101" s="167"/>
    </row>
    <row r="102" spans="1:26" ht="22.5" customHeight="1" x14ac:dyDescent="0.25">
      <c r="A102" s="99"/>
      <c r="B102" s="99"/>
      <c r="C102" s="89" t="s">
        <v>342</v>
      </c>
      <c r="D102" s="119">
        <f>SUM('дод 2'!E162)</f>
        <v>15300000</v>
      </c>
      <c r="E102" s="119">
        <f>SUM('дод 2'!F162)</f>
        <v>0</v>
      </c>
      <c r="F102" s="119">
        <f>SUM('дод 2'!G162)</f>
        <v>0</v>
      </c>
      <c r="G102" s="119">
        <f>SUM('дод 2'!H162)</f>
        <v>13037300</v>
      </c>
      <c r="H102" s="119">
        <f>SUM('дод 2'!I162)</f>
        <v>0</v>
      </c>
      <c r="I102" s="119">
        <f>SUM('дод 2'!J162)</f>
        <v>0</v>
      </c>
      <c r="J102" s="164">
        <f t="shared" si="23"/>
        <v>85.211111111111109</v>
      </c>
      <c r="K102" s="119">
        <f>SUM('дод 2'!L162)</f>
        <v>0</v>
      </c>
      <c r="L102" s="119">
        <f>SUM('дод 2'!M162)</f>
        <v>0</v>
      </c>
      <c r="M102" s="119">
        <f>SUM('дод 2'!N162)</f>
        <v>0</v>
      </c>
      <c r="N102" s="119">
        <f>SUM('дод 2'!O162)</f>
        <v>0</v>
      </c>
      <c r="O102" s="119">
        <f>SUM('дод 2'!P162)</f>
        <v>0</v>
      </c>
      <c r="P102" s="119">
        <f>SUM('дод 2'!Q162)</f>
        <v>0</v>
      </c>
      <c r="Q102" s="119">
        <f>SUM('дод 2'!R162)</f>
        <v>0</v>
      </c>
      <c r="R102" s="119">
        <f>SUM('дод 2'!S162)</f>
        <v>0</v>
      </c>
      <c r="S102" s="119">
        <f>SUM('дод 2'!T162)</f>
        <v>0</v>
      </c>
      <c r="T102" s="119">
        <f>SUM('дод 2'!U162)</f>
        <v>0</v>
      </c>
      <c r="U102" s="119">
        <f>SUM('дод 2'!V162)</f>
        <v>0</v>
      </c>
      <c r="V102" s="119">
        <f>SUM('дод 2'!W162)</f>
        <v>0</v>
      </c>
      <c r="W102" s="164"/>
      <c r="X102" s="119">
        <f>SUM('дод 2'!Y162)</f>
        <v>13037300</v>
      </c>
      <c r="Y102" s="187"/>
      <c r="Z102" s="167"/>
    </row>
    <row r="103" spans="1:26" ht="40.5" customHeight="1" x14ac:dyDescent="0.25">
      <c r="A103" s="99" t="s">
        <v>416</v>
      </c>
      <c r="B103" s="99" t="s">
        <v>76</v>
      </c>
      <c r="C103" s="7" t="s">
        <v>417</v>
      </c>
      <c r="D103" s="119">
        <f>'дод 2'!E163</f>
        <v>215500</v>
      </c>
      <c r="E103" s="119">
        <f>'дод 2'!F163</f>
        <v>0</v>
      </c>
      <c r="F103" s="119">
        <f>'дод 2'!G163</f>
        <v>0</v>
      </c>
      <c r="G103" s="119">
        <f>'дод 2'!H163</f>
        <v>130537.16</v>
      </c>
      <c r="H103" s="119">
        <f>'дод 2'!I163</f>
        <v>0</v>
      </c>
      <c r="I103" s="119">
        <f>'дод 2'!J163</f>
        <v>0</v>
      </c>
      <c r="J103" s="164">
        <f t="shared" si="23"/>
        <v>60.574088167053361</v>
      </c>
      <c r="K103" s="119">
        <f>'дод 2'!L163</f>
        <v>0</v>
      </c>
      <c r="L103" s="119">
        <f>'дод 2'!M163</f>
        <v>0</v>
      </c>
      <c r="M103" s="119">
        <f>'дод 2'!N163</f>
        <v>0</v>
      </c>
      <c r="N103" s="119">
        <f>'дод 2'!O163</f>
        <v>0</v>
      </c>
      <c r="O103" s="119">
        <f>'дод 2'!P163</f>
        <v>0</v>
      </c>
      <c r="P103" s="119">
        <f>'дод 2'!Q163</f>
        <v>0</v>
      </c>
      <c r="Q103" s="119">
        <f>'дод 2'!R163</f>
        <v>0</v>
      </c>
      <c r="R103" s="119">
        <f>'дод 2'!S163</f>
        <v>0</v>
      </c>
      <c r="S103" s="119">
        <f>'дод 2'!T163</f>
        <v>0</v>
      </c>
      <c r="T103" s="119">
        <f>'дод 2'!U163</f>
        <v>0</v>
      </c>
      <c r="U103" s="119">
        <f>'дод 2'!V163</f>
        <v>0</v>
      </c>
      <c r="V103" s="119">
        <f>'дод 2'!W163</f>
        <v>0</v>
      </c>
      <c r="W103" s="164"/>
      <c r="X103" s="119">
        <f>'дод 2'!Y163</f>
        <v>130537.16</v>
      </c>
      <c r="Y103" s="187"/>
      <c r="Z103" s="167"/>
    </row>
    <row r="104" spans="1:26" ht="74.25" customHeight="1" x14ac:dyDescent="0.25">
      <c r="A104" s="99" t="s">
        <v>134</v>
      </c>
      <c r="B104" s="99" t="s">
        <v>74</v>
      </c>
      <c r="C104" s="7" t="s">
        <v>50</v>
      </c>
      <c r="D104" s="119">
        <f>'дод 2'!E164</f>
        <v>11565600</v>
      </c>
      <c r="E104" s="119">
        <f>'дод 2'!F164</f>
        <v>8737044</v>
      </c>
      <c r="F104" s="119">
        <f>'дод 2'!G164</f>
        <v>254614</v>
      </c>
      <c r="G104" s="119">
        <f>'дод 2'!H164</f>
        <v>11491903.460000001</v>
      </c>
      <c r="H104" s="119">
        <f>'дод 2'!I164</f>
        <v>8737031.1999999993</v>
      </c>
      <c r="I104" s="119">
        <f>'дод 2'!J164</f>
        <v>218600.2</v>
      </c>
      <c r="J104" s="164">
        <f t="shared" si="23"/>
        <v>99.362795358649791</v>
      </c>
      <c r="K104" s="119">
        <f>'дод 2'!L164</f>
        <v>105530</v>
      </c>
      <c r="L104" s="119">
        <f>'дод 2'!M164</f>
        <v>10000</v>
      </c>
      <c r="M104" s="119">
        <f>'дод 2'!N164</f>
        <v>95530</v>
      </c>
      <c r="N104" s="119">
        <f>'дод 2'!O164</f>
        <v>75100</v>
      </c>
      <c r="O104" s="119">
        <f>'дод 2'!P164</f>
        <v>0</v>
      </c>
      <c r="P104" s="119">
        <f>'дод 2'!Q164</f>
        <v>10000</v>
      </c>
      <c r="Q104" s="119">
        <f>'дод 2'!R164</f>
        <v>120592.9</v>
      </c>
      <c r="R104" s="119">
        <f>'дод 2'!S164</f>
        <v>0</v>
      </c>
      <c r="S104" s="119">
        <f>'дод 2'!T164</f>
        <v>120592.9</v>
      </c>
      <c r="T104" s="119">
        <f>'дод 2'!U164</f>
        <v>58743.81</v>
      </c>
      <c r="U104" s="119">
        <f>'дод 2'!V164</f>
        <v>0</v>
      </c>
      <c r="V104" s="119">
        <f>'дод 2'!W164</f>
        <v>0</v>
      </c>
      <c r="W104" s="164">
        <f t="shared" ref="W104:W140" si="24">Q104/K104*100</f>
        <v>114.27357149625699</v>
      </c>
      <c r="X104" s="119">
        <f>'дод 2'!Y164</f>
        <v>11612496.360000001</v>
      </c>
      <c r="Y104" s="187"/>
      <c r="Z104" s="167"/>
    </row>
    <row r="105" spans="1:26" ht="69.75" customHeight="1" x14ac:dyDescent="0.25">
      <c r="A105" s="99" t="s">
        <v>576</v>
      </c>
      <c r="B105" s="99" t="s">
        <v>132</v>
      </c>
      <c r="C105" s="87" t="s">
        <v>585</v>
      </c>
      <c r="D105" s="119">
        <f>SUM('дод 2'!E196)</f>
        <v>88440</v>
      </c>
      <c r="E105" s="119">
        <f>SUM('дод 2'!F196)</f>
        <v>0</v>
      </c>
      <c r="F105" s="119">
        <f>SUM('дод 2'!G196)</f>
        <v>0</v>
      </c>
      <c r="G105" s="119">
        <f>SUM('дод 2'!H196)</f>
        <v>88440</v>
      </c>
      <c r="H105" s="119">
        <f>SUM('дод 2'!I196)</f>
        <v>0</v>
      </c>
      <c r="I105" s="119">
        <f>SUM('дод 2'!J196)</f>
        <v>0</v>
      </c>
      <c r="J105" s="164">
        <f t="shared" si="23"/>
        <v>100</v>
      </c>
      <c r="K105" s="119">
        <f>SUM('дод 2'!L196)</f>
        <v>40300</v>
      </c>
      <c r="L105" s="119">
        <f>SUM('дод 2'!M196)</f>
        <v>40300</v>
      </c>
      <c r="M105" s="119">
        <f>SUM('дод 2'!N196)</f>
        <v>0</v>
      </c>
      <c r="N105" s="119">
        <f>SUM('дод 2'!O196)</f>
        <v>0</v>
      </c>
      <c r="O105" s="119">
        <f>SUM('дод 2'!P196)</f>
        <v>0</v>
      </c>
      <c r="P105" s="119">
        <f>SUM('дод 2'!Q196)</f>
        <v>40300</v>
      </c>
      <c r="Q105" s="119">
        <f>SUM('дод 2'!R196)</f>
        <v>40300</v>
      </c>
      <c r="R105" s="119">
        <f>SUM('дод 2'!S196)</f>
        <v>40300</v>
      </c>
      <c r="S105" s="119">
        <f>SUM('дод 2'!T196)</f>
        <v>0</v>
      </c>
      <c r="T105" s="119">
        <f>SUM('дод 2'!U196)</f>
        <v>0</v>
      </c>
      <c r="U105" s="119">
        <f>SUM('дод 2'!V196)</f>
        <v>0</v>
      </c>
      <c r="V105" s="119">
        <f>SUM('дод 2'!W196)</f>
        <v>40300</v>
      </c>
      <c r="W105" s="164">
        <f t="shared" si="24"/>
        <v>100</v>
      </c>
      <c r="X105" s="119">
        <f>SUM('дод 2'!Y196)</f>
        <v>128740</v>
      </c>
      <c r="Y105" s="187"/>
      <c r="Z105" s="167"/>
    </row>
    <row r="106" spans="1:26" s="5" customFormat="1" ht="43.5" customHeight="1" x14ac:dyDescent="0.25">
      <c r="A106" s="99" t="s">
        <v>135</v>
      </c>
      <c r="B106" s="99" t="s">
        <v>132</v>
      </c>
      <c r="C106" s="7" t="s">
        <v>52</v>
      </c>
      <c r="D106" s="119">
        <f>'дод 2'!E197</f>
        <v>94600</v>
      </c>
      <c r="E106" s="119">
        <f>'дод 2'!F197</f>
        <v>0</v>
      </c>
      <c r="F106" s="119">
        <f>'дод 2'!G197</f>
        <v>0</v>
      </c>
      <c r="G106" s="119">
        <f>'дод 2'!H197</f>
        <v>94556.54</v>
      </c>
      <c r="H106" s="119">
        <f>'дод 2'!I197</f>
        <v>0</v>
      </c>
      <c r="I106" s="119">
        <f>'дод 2'!J197</f>
        <v>0</v>
      </c>
      <c r="J106" s="164">
        <f t="shared" si="23"/>
        <v>99.954059196617322</v>
      </c>
      <c r="K106" s="119">
        <f>'дод 2'!L197</f>
        <v>0</v>
      </c>
      <c r="L106" s="119">
        <f>'дод 2'!M197</f>
        <v>0</v>
      </c>
      <c r="M106" s="119">
        <f>'дод 2'!N197</f>
        <v>0</v>
      </c>
      <c r="N106" s="119">
        <f>'дод 2'!O197</f>
        <v>0</v>
      </c>
      <c r="O106" s="119">
        <f>'дод 2'!P197</f>
        <v>0</v>
      </c>
      <c r="P106" s="119">
        <f>'дод 2'!Q197</f>
        <v>0</v>
      </c>
      <c r="Q106" s="119">
        <f>'дод 2'!R197</f>
        <v>0</v>
      </c>
      <c r="R106" s="119">
        <f>'дод 2'!S197</f>
        <v>0</v>
      </c>
      <c r="S106" s="119">
        <f>'дод 2'!T197</f>
        <v>0</v>
      </c>
      <c r="T106" s="119">
        <f>'дод 2'!U197</f>
        <v>0</v>
      </c>
      <c r="U106" s="119">
        <f>'дод 2'!V197</f>
        <v>0</v>
      </c>
      <c r="V106" s="119">
        <f>'дод 2'!W197</f>
        <v>0</v>
      </c>
      <c r="W106" s="164"/>
      <c r="X106" s="119">
        <f>'дод 2'!Y197</f>
        <v>94556.54</v>
      </c>
      <c r="Y106" s="187"/>
      <c r="Z106" s="167"/>
    </row>
    <row r="107" spans="1:26" s="5" customFormat="1" ht="42.75" customHeight="1" x14ac:dyDescent="0.25">
      <c r="A107" s="99" t="s">
        <v>169</v>
      </c>
      <c r="B107" s="99" t="s">
        <v>132</v>
      </c>
      <c r="C107" s="7" t="s">
        <v>170</v>
      </c>
      <c r="D107" s="119">
        <f>'дод 2'!E18</f>
        <v>2260500</v>
      </c>
      <c r="E107" s="119">
        <f>'дод 2'!F18</f>
        <v>1720950</v>
      </c>
      <c r="F107" s="119">
        <f>'дод 2'!G18</f>
        <v>53714</v>
      </c>
      <c r="G107" s="119">
        <f>'дод 2'!H18</f>
        <v>2240972.23</v>
      </c>
      <c r="H107" s="119">
        <f>'дод 2'!I18</f>
        <v>1720705.66</v>
      </c>
      <c r="I107" s="119">
        <f>'дод 2'!J18</f>
        <v>42864.6</v>
      </c>
      <c r="J107" s="164">
        <f t="shared" si="23"/>
        <v>99.13613050210131</v>
      </c>
      <c r="K107" s="119">
        <f>'дод 2'!L18</f>
        <v>0</v>
      </c>
      <c r="L107" s="119">
        <f>'дод 2'!M18</f>
        <v>0</v>
      </c>
      <c r="M107" s="119">
        <f>'дод 2'!N18</f>
        <v>0</v>
      </c>
      <c r="N107" s="119">
        <f>'дод 2'!O18</f>
        <v>0</v>
      </c>
      <c r="O107" s="119">
        <f>'дод 2'!P18</f>
        <v>0</v>
      </c>
      <c r="P107" s="119">
        <f>'дод 2'!Q18</f>
        <v>0</v>
      </c>
      <c r="Q107" s="119">
        <f>'дод 2'!R18</f>
        <v>0</v>
      </c>
      <c r="R107" s="119">
        <f>'дод 2'!S18</f>
        <v>0</v>
      </c>
      <c r="S107" s="119">
        <f>'дод 2'!T18</f>
        <v>0</v>
      </c>
      <c r="T107" s="119">
        <f>'дод 2'!U18</f>
        <v>0</v>
      </c>
      <c r="U107" s="119">
        <f>'дод 2'!V18</f>
        <v>0</v>
      </c>
      <c r="V107" s="119">
        <f>'дод 2'!W18</f>
        <v>0</v>
      </c>
      <c r="W107" s="164"/>
      <c r="X107" s="119">
        <f>'дод 2'!Y18</f>
        <v>2240972.23</v>
      </c>
      <c r="Y107" s="187"/>
      <c r="Z107" s="167"/>
    </row>
    <row r="108" spans="1:26" s="5" customFormat="1" ht="57" customHeight="1" x14ac:dyDescent="0.25">
      <c r="A108" s="102" t="s">
        <v>139</v>
      </c>
      <c r="B108" s="102" t="s">
        <v>132</v>
      </c>
      <c r="C108" s="7" t="s">
        <v>190</v>
      </c>
      <c r="D108" s="119">
        <f>'дод 2'!E19</f>
        <v>850000</v>
      </c>
      <c r="E108" s="119">
        <f>'дод 2'!F19</f>
        <v>0</v>
      </c>
      <c r="F108" s="119">
        <f>'дод 2'!G19</f>
        <v>0</v>
      </c>
      <c r="G108" s="119">
        <f>'дод 2'!H19</f>
        <v>713618.81</v>
      </c>
      <c r="H108" s="119">
        <f>'дод 2'!I19</f>
        <v>0</v>
      </c>
      <c r="I108" s="119">
        <f>'дод 2'!J19</f>
        <v>0</v>
      </c>
      <c r="J108" s="164">
        <f t="shared" si="23"/>
        <v>83.955154117647069</v>
      </c>
      <c r="K108" s="119">
        <f>'дод 2'!L19</f>
        <v>0</v>
      </c>
      <c r="L108" s="119">
        <f>'дод 2'!M19</f>
        <v>0</v>
      </c>
      <c r="M108" s="119">
        <f>'дод 2'!N19</f>
        <v>0</v>
      </c>
      <c r="N108" s="119">
        <f>'дод 2'!O19</f>
        <v>0</v>
      </c>
      <c r="O108" s="119">
        <f>'дод 2'!P19</f>
        <v>0</v>
      </c>
      <c r="P108" s="119">
        <f>'дод 2'!Q19</f>
        <v>0</v>
      </c>
      <c r="Q108" s="119">
        <f>'дод 2'!R19</f>
        <v>0</v>
      </c>
      <c r="R108" s="119">
        <f>'дод 2'!S19</f>
        <v>0</v>
      </c>
      <c r="S108" s="119">
        <f>'дод 2'!T19</f>
        <v>0</v>
      </c>
      <c r="T108" s="119">
        <f>'дод 2'!U19</f>
        <v>0</v>
      </c>
      <c r="U108" s="119">
        <f>'дод 2'!V19</f>
        <v>0</v>
      </c>
      <c r="V108" s="119">
        <f>'дод 2'!W19</f>
        <v>0</v>
      </c>
      <c r="W108" s="164"/>
      <c r="X108" s="119">
        <f>'дод 2'!Y19</f>
        <v>713618.81</v>
      </c>
      <c r="Y108" s="187"/>
      <c r="Z108" s="167"/>
    </row>
    <row r="109" spans="1:26" ht="75" customHeight="1" x14ac:dyDescent="0.25">
      <c r="A109" s="99" t="s">
        <v>140</v>
      </c>
      <c r="B109" s="99" t="s">
        <v>132</v>
      </c>
      <c r="C109" s="10" t="s">
        <v>35</v>
      </c>
      <c r="D109" s="119">
        <f>'дод 2'!E72+'дод 2'!E20</f>
        <v>9769034</v>
      </c>
      <c r="E109" s="119">
        <f>'дод 2'!F72+'дод 2'!F20</f>
        <v>0</v>
      </c>
      <c r="F109" s="119">
        <f>'дод 2'!G72+'дод 2'!G20</f>
        <v>0</v>
      </c>
      <c r="G109" s="119">
        <f>'дод 2'!H72+'дод 2'!H20</f>
        <v>9718826.1699999999</v>
      </c>
      <c r="H109" s="119">
        <f>'дод 2'!I72+'дод 2'!I20</f>
        <v>0</v>
      </c>
      <c r="I109" s="119">
        <f>'дод 2'!J72+'дод 2'!J20</f>
        <v>0</v>
      </c>
      <c r="J109" s="164">
        <f t="shared" si="23"/>
        <v>99.486051230858649</v>
      </c>
      <c r="K109" s="119">
        <f>'дод 2'!L72+'дод 2'!L20</f>
        <v>0</v>
      </c>
      <c r="L109" s="119">
        <f>'дод 2'!M72+'дод 2'!M20</f>
        <v>0</v>
      </c>
      <c r="M109" s="119">
        <f>'дод 2'!N72+'дод 2'!N20</f>
        <v>0</v>
      </c>
      <c r="N109" s="119">
        <f>'дод 2'!O72+'дод 2'!O20</f>
        <v>0</v>
      </c>
      <c r="O109" s="119">
        <f>'дод 2'!P72+'дод 2'!P20</f>
        <v>0</v>
      </c>
      <c r="P109" s="119">
        <f>'дод 2'!Q72+'дод 2'!Q20</f>
        <v>0</v>
      </c>
      <c r="Q109" s="119">
        <f>'дод 2'!R72+'дод 2'!R20</f>
        <v>1276046.8500000001</v>
      </c>
      <c r="R109" s="119">
        <f>'дод 2'!S72+'дод 2'!S20</f>
        <v>0</v>
      </c>
      <c r="S109" s="119">
        <f>'дод 2'!T72+'дод 2'!T20</f>
        <v>1276046.8500000001</v>
      </c>
      <c r="T109" s="119">
        <f>'дод 2'!U72+'дод 2'!U20</f>
        <v>0</v>
      </c>
      <c r="U109" s="119">
        <f>'дод 2'!V72+'дод 2'!V20</f>
        <v>0</v>
      </c>
      <c r="V109" s="119">
        <f>'дод 2'!W72+'дод 2'!W20</f>
        <v>0</v>
      </c>
      <c r="W109" s="164"/>
      <c r="X109" s="119">
        <f>'дод 2'!Y72+'дод 2'!Y20</f>
        <v>10994873.02</v>
      </c>
      <c r="Y109" s="187"/>
      <c r="Z109" s="167"/>
    </row>
    <row r="110" spans="1:26" ht="92.25" customHeight="1" x14ac:dyDescent="0.25">
      <c r="A110" s="99" t="s">
        <v>141</v>
      </c>
      <c r="B110" s="99">
        <v>1010</v>
      </c>
      <c r="C110" s="7" t="s">
        <v>374</v>
      </c>
      <c r="D110" s="119">
        <f>'дод 2'!E165</f>
        <v>1743118</v>
      </c>
      <c r="E110" s="119">
        <f>'дод 2'!F165</f>
        <v>0</v>
      </c>
      <c r="F110" s="119">
        <f>'дод 2'!G165</f>
        <v>0</v>
      </c>
      <c r="G110" s="119">
        <f>'дод 2'!H165</f>
        <v>1727284.27</v>
      </c>
      <c r="H110" s="119">
        <f>'дод 2'!I165</f>
        <v>0</v>
      </c>
      <c r="I110" s="119">
        <f>'дод 2'!J165</f>
        <v>0</v>
      </c>
      <c r="J110" s="164">
        <f t="shared" si="23"/>
        <v>99.091643250772464</v>
      </c>
      <c r="K110" s="119">
        <f>'дод 2'!L165</f>
        <v>0</v>
      </c>
      <c r="L110" s="119">
        <f>'дод 2'!M165</f>
        <v>0</v>
      </c>
      <c r="M110" s="119">
        <f>'дод 2'!N165</f>
        <v>0</v>
      </c>
      <c r="N110" s="119">
        <f>'дод 2'!O165</f>
        <v>0</v>
      </c>
      <c r="O110" s="119">
        <f>'дод 2'!P165</f>
        <v>0</v>
      </c>
      <c r="P110" s="119">
        <f>'дод 2'!Q165</f>
        <v>0</v>
      </c>
      <c r="Q110" s="119">
        <f>'дод 2'!R165</f>
        <v>0</v>
      </c>
      <c r="R110" s="119">
        <f>'дод 2'!S165</f>
        <v>0</v>
      </c>
      <c r="S110" s="119">
        <f>'дод 2'!T165</f>
        <v>0</v>
      </c>
      <c r="T110" s="119">
        <f>'дод 2'!U165</f>
        <v>0</v>
      </c>
      <c r="U110" s="119">
        <f>'дод 2'!V165</f>
        <v>0</v>
      </c>
      <c r="V110" s="119">
        <f>'дод 2'!W165</f>
        <v>0</v>
      </c>
      <c r="W110" s="164"/>
      <c r="X110" s="119">
        <f>'дод 2'!Y165</f>
        <v>1727284.27</v>
      </c>
      <c r="Y110" s="187"/>
      <c r="Z110" s="167"/>
    </row>
    <row r="111" spans="1:26" s="5" customFormat="1" ht="53.25" customHeight="1" x14ac:dyDescent="0.25">
      <c r="A111" s="99" t="s">
        <v>418</v>
      </c>
      <c r="B111" s="99">
        <v>1010</v>
      </c>
      <c r="C111" s="7" t="s">
        <v>420</v>
      </c>
      <c r="D111" s="119">
        <f>'дод 2'!E166</f>
        <v>205040</v>
      </c>
      <c r="E111" s="119">
        <f>'дод 2'!F166</f>
        <v>0</v>
      </c>
      <c r="F111" s="119">
        <f>'дод 2'!G166</f>
        <v>0</v>
      </c>
      <c r="G111" s="119">
        <f>'дод 2'!H166</f>
        <v>161508.32</v>
      </c>
      <c r="H111" s="119">
        <f>'дод 2'!I166</f>
        <v>0</v>
      </c>
      <c r="I111" s="119">
        <f>'дод 2'!J166</f>
        <v>0</v>
      </c>
      <c r="J111" s="164">
        <f t="shared" si="23"/>
        <v>78.769176746000781</v>
      </c>
      <c r="K111" s="119">
        <f>'дод 2'!L166</f>
        <v>0</v>
      </c>
      <c r="L111" s="119">
        <f>'дод 2'!M166</f>
        <v>0</v>
      </c>
      <c r="M111" s="119">
        <f>'дод 2'!N166</f>
        <v>0</v>
      </c>
      <c r="N111" s="119">
        <f>'дод 2'!O166</f>
        <v>0</v>
      </c>
      <c r="O111" s="119">
        <f>'дод 2'!P166</f>
        <v>0</v>
      </c>
      <c r="P111" s="119">
        <f>'дод 2'!Q166</f>
        <v>0</v>
      </c>
      <c r="Q111" s="119">
        <f>'дод 2'!R166</f>
        <v>0</v>
      </c>
      <c r="R111" s="119">
        <f>'дод 2'!S166</f>
        <v>0</v>
      </c>
      <c r="S111" s="119">
        <f>'дод 2'!T166</f>
        <v>0</v>
      </c>
      <c r="T111" s="119">
        <f>'дод 2'!U166</f>
        <v>0</v>
      </c>
      <c r="U111" s="119">
        <f>'дод 2'!V166</f>
        <v>0</v>
      </c>
      <c r="V111" s="119">
        <f>'дод 2'!W166</f>
        <v>0</v>
      </c>
      <c r="W111" s="164"/>
      <c r="X111" s="119">
        <f>'дод 2'!Y166</f>
        <v>161508.32</v>
      </c>
      <c r="Y111" s="187"/>
      <c r="Z111" s="167"/>
    </row>
    <row r="112" spans="1:26" s="5" customFormat="1" ht="38.25" customHeight="1" x14ac:dyDescent="0.25">
      <c r="A112" s="99" t="s">
        <v>419</v>
      </c>
      <c r="B112" s="99">
        <v>1010</v>
      </c>
      <c r="C112" s="7" t="s">
        <v>421</v>
      </c>
      <c r="D112" s="119">
        <f>'дод 2'!E167</f>
        <v>680</v>
      </c>
      <c r="E112" s="119">
        <f>'дод 2'!F167</f>
        <v>0</v>
      </c>
      <c r="F112" s="119">
        <f>'дод 2'!G167</f>
        <v>0</v>
      </c>
      <c r="G112" s="119">
        <f>'дод 2'!H167</f>
        <v>0</v>
      </c>
      <c r="H112" s="119">
        <f>'дод 2'!I167</f>
        <v>0</v>
      </c>
      <c r="I112" s="119">
        <f>'дод 2'!J167</f>
        <v>0</v>
      </c>
      <c r="J112" s="135">
        <f t="shared" si="23"/>
        <v>0</v>
      </c>
      <c r="K112" s="119">
        <f>'дод 2'!L167</f>
        <v>0</v>
      </c>
      <c r="L112" s="119">
        <f>'дод 2'!M167</f>
        <v>0</v>
      </c>
      <c r="M112" s="119">
        <f>'дод 2'!N167</f>
        <v>0</v>
      </c>
      <c r="N112" s="119">
        <f>'дод 2'!O167</f>
        <v>0</v>
      </c>
      <c r="O112" s="119">
        <f>'дод 2'!P167</f>
        <v>0</v>
      </c>
      <c r="P112" s="119">
        <f>'дод 2'!Q167</f>
        <v>0</v>
      </c>
      <c r="Q112" s="119">
        <f>'дод 2'!R167</f>
        <v>0</v>
      </c>
      <c r="R112" s="119">
        <f>'дод 2'!S167</f>
        <v>0</v>
      </c>
      <c r="S112" s="119">
        <f>'дод 2'!T167</f>
        <v>0</v>
      </c>
      <c r="T112" s="119">
        <f>'дод 2'!U167</f>
        <v>0</v>
      </c>
      <c r="U112" s="119">
        <f>'дод 2'!V167</f>
        <v>0</v>
      </c>
      <c r="V112" s="119">
        <f>'дод 2'!W167</f>
        <v>0</v>
      </c>
      <c r="W112" s="164"/>
      <c r="X112" s="119">
        <f>'дод 2'!Y167</f>
        <v>0</v>
      </c>
      <c r="Y112" s="187"/>
      <c r="Z112" s="167"/>
    </row>
    <row r="113" spans="1:26" ht="77.25" customHeight="1" x14ac:dyDescent="0.25">
      <c r="A113" s="99" t="s">
        <v>136</v>
      </c>
      <c r="B113" s="99" t="s">
        <v>77</v>
      </c>
      <c r="C113" s="7" t="s">
        <v>563</v>
      </c>
      <c r="D113" s="119">
        <f>'дод 2'!E168</f>
        <v>1866590</v>
      </c>
      <c r="E113" s="119">
        <f>'дод 2'!F168</f>
        <v>0</v>
      </c>
      <c r="F113" s="119">
        <f>'дод 2'!G168</f>
        <v>0</v>
      </c>
      <c r="G113" s="119">
        <f>'дод 2'!H168</f>
        <v>1677705.74</v>
      </c>
      <c r="H113" s="119">
        <f>'дод 2'!I168</f>
        <v>0</v>
      </c>
      <c r="I113" s="119">
        <f>'дод 2'!J168</f>
        <v>0</v>
      </c>
      <c r="J113" s="164">
        <f t="shared" si="23"/>
        <v>89.880784746516369</v>
      </c>
      <c r="K113" s="119">
        <f>'дод 2'!L168</f>
        <v>0</v>
      </c>
      <c r="L113" s="119">
        <f>'дод 2'!M168</f>
        <v>0</v>
      </c>
      <c r="M113" s="119">
        <f>'дод 2'!N168</f>
        <v>0</v>
      </c>
      <c r="N113" s="119">
        <f>'дод 2'!O168</f>
        <v>0</v>
      </c>
      <c r="O113" s="119">
        <f>'дод 2'!P168</f>
        <v>0</v>
      </c>
      <c r="P113" s="119">
        <f>'дод 2'!Q168</f>
        <v>0</v>
      </c>
      <c r="Q113" s="119">
        <f>'дод 2'!R168</f>
        <v>0</v>
      </c>
      <c r="R113" s="119">
        <f>'дод 2'!S168</f>
        <v>0</v>
      </c>
      <c r="S113" s="119">
        <f>'дод 2'!T168</f>
        <v>0</v>
      </c>
      <c r="T113" s="119">
        <f>'дод 2'!U168</f>
        <v>0</v>
      </c>
      <c r="U113" s="119">
        <f>'дод 2'!V168</f>
        <v>0</v>
      </c>
      <c r="V113" s="119">
        <f>'дод 2'!W168</f>
        <v>0</v>
      </c>
      <c r="W113" s="164"/>
      <c r="X113" s="119">
        <f>'дод 2'!Y168</f>
        <v>1677705.74</v>
      </c>
      <c r="Y113" s="187"/>
      <c r="Z113" s="167"/>
    </row>
    <row r="114" spans="1:26" s="5" customFormat="1" ht="36.75" customHeight="1" x14ac:dyDescent="0.25">
      <c r="A114" s="99" t="s">
        <v>375</v>
      </c>
      <c r="B114" s="99" t="s">
        <v>76</v>
      </c>
      <c r="C114" s="7" t="s">
        <v>31</v>
      </c>
      <c r="D114" s="119">
        <f>'дод 2'!E169</f>
        <v>2166057</v>
      </c>
      <c r="E114" s="119">
        <f>'дод 2'!F169</f>
        <v>0</v>
      </c>
      <c r="F114" s="119">
        <f>'дод 2'!G169</f>
        <v>0</v>
      </c>
      <c r="G114" s="119">
        <f>'дод 2'!H169</f>
        <v>2001617.25</v>
      </c>
      <c r="H114" s="119">
        <f>'дод 2'!I169</f>
        <v>0</v>
      </c>
      <c r="I114" s="119">
        <f>'дод 2'!J169</f>
        <v>0</v>
      </c>
      <c r="J114" s="164">
        <f t="shared" si="23"/>
        <v>92.408336899721476</v>
      </c>
      <c r="K114" s="119">
        <f>'дод 2'!L169</f>
        <v>0</v>
      </c>
      <c r="L114" s="119">
        <f>'дод 2'!M169</f>
        <v>0</v>
      </c>
      <c r="M114" s="119">
        <f>'дод 2'!N169</f>
        <v>0</v>
      </c>
      <c r="N114" s="119">
        <f>'дод 2'!O169</f>
        <v>0</v>
      </c>
      <c r="O114" s="119">
        <f>'дод 2'!P169</f>
        <v>0</v>
      </c>
      <c r="P114" s="119">
        <f>'дод 2'!Q169</f>
        <v>0</v>
      </c>
      <c r="Q114" s="119">
        <f>'дод 2'!R169</f>
        <v>0</v>
      </c>
      <c r="R114" s="119">
        <f>'дод 2'!S169</f>
        <v>0</v>
      </c>
      <c r="S114" s="119">
        <f>'дод 2'!T169</f>
        <v>0</v>
      </c>
      <c r="T114" s="119">
        <f>'дод 2'!U169</f>
        <v>0</v>
      </c>
      <c r="U114" s="119">
        <f>'дод 2'!V169</f>
        <v>0</v>
      </c>
      <c r="V114" s="119">
        <f>'дод 2'!W169</f>
        <v>0</v>
      </c>
      <c r="W114" s="164"/>
      <c r="X114" s="119">
        <f>'дод 2'!Y169</f>
        <v>2001617.25</v>
      </c>
      <c r="Y114" s="187"/>
      <c r="Z114" s="167"/>
    </row>
    <row r="115" spans="1:26" s="5" customFormat="1" ht="55.5" customHeight="1" x14ac:dyDescent="0.25">
      <c r="A115" s="99" t="s">
        <v>376</v>
      </c>
      <c r="B115" s="99" t="s">
        <v>76</v>
      </c>
      <c r="C115" s="7" t="s">
        <v>412</v>
      </c>
      <c r="D115" s="119">
        <f>'дод 2'!E170</f>
        <v>1385920</v>
      </c>
      <c r="E115" s="119">
        <f>'дод 2'!F170</f>
        <v>0</v>
      </c>
      <c r="F115" s="119">
        <f>'дод 2'!G170</f>
        <v>0</v>
      </c>
      <c r="G115" s="119">
        <f>'дод 2'!H170</f>
        <v>1352887.08</v>
      </c>
      <c r="H115" s="119">
        <f>'дод 2'!I170</f>
        <v>0</v>
      </c>
      <c r="I115" s="119">
        <f>'дод 2'!J170</f>
        <v>0</v>
      </c>
      <c r="J115" s="164">
        <f t="shared" si="23"/>
        <v>97.616534864927274</v>
      </c>
      <c r="K115" s="119">
        <f>'дод 2'!L170</f>
        <v>0</v>
      </c>
      <c r="L115" s="119">
        <f>'дод 2'!M170</f>
        <v>0</v>
      </c>
      <c r="M115" s="119">
        <f>'дод 2'!N170</f>
        <v>0</v>
      </c>
      <c r="N115" s="119">
        <f>'дод 2'!O170</f>
        <v>0</v>
      </c>
      <c r="O115" s="119">
        <f>'дод 2'!P170</f>
        <v>0</v>
      </c>
      <c r="P115" s="119">
        <f>'дод 2'!Q170</f>
        <v>0</v>
      </c>
      <c r="Q115" s="119">
        <f>'дод 2'!R170</f>
        <v>0</v>
      </c>
      <c r="R115" s="119">
        <f>'дод 2'!S170</f>
        <v>0</v>
      </c>
      <c r="S115" s="119">
        <f>'дод 2'!T170</f>
        <v>0</v>
      </c>
      <c r="T115" s="119">
        <f>'дод 2'!U170</f>
        <v>0</v>
      </c>
      <c r="U115" s="119">
        <f>'дод 2'!V170</f>
        <v>0</v>
      </c>
      <c r="V115" s="119">
        <f>'дод 2'!W170</f>
        <v>0</v>
      </c>
      <c r="W115" s="164"/>
      <c r="X115" s="119">
        <f>'дод 2'!Y170</f>
        <v>1352887.08</v>
      </c>
      <c r="Y115" s="187"/>
      <c r="Z115" s="167"/>
    </row>
    <row r="116" spans="1:26" ht="43.5" customHeight="1" x14ac:dyDescent="0.25">
      <c r="A116" s="99" t="s">
        <v>137</v>
      </c>
      <c r="B116" s="99" t="s">
        <v>80</v>
      </c>
      <c r="C116" s="7" t="s">
        <v>191</v>
      </c>
      <c r="D116" s="119">
        <f>'дод 2'!E171</f>
        <v>81525</v>
      </c>
      <c r="E116" s="119">
        <f>'дод 2'!F171</f>
        <v>0</v>
      </c>
      <c r="F116" s="119">
        <f>'дод 2'!G171</f>
        <v>0</v>
      </c>
      <c r="G116" s="119">
        <f>'дод 2'!H171</f>
        <v>81524.63</v>
      </c>
      <c r="H116" s="119">
        <f>'дод 2'!I171</f>
        <v>0</v>
      </c>
      <c r="I116" s="119">
        <f>'дод 2'!J171</f>
        <v>0</v>
      </c>
      <c r="J116" s="164">
        <f t="shared" si="23"/>
        <v>99.99954615148728</v>
      </c>
      <c r="K116" s="119">
        <f>'дод 2'!L171</f>
        <v>0</v>
      </c>
      <c r="L116" s="119">
        <f>'дод 2'!M171</f>
        <v>0</v>
      </c>
      <c r="M116" s="119">
        <f>'дод 2'!N171</f>
        <v>0</v>
      </c>
      <c r="N116" s="119">
        <f>'дод 2'!O171</f>
        <v>0</v>
      </c>
      <c r="O116" s="119">
        <f>'дод 2'!P171</f>
        <v>0</v>
      </c>
      <c r="P116" s="119">
        <f>'дод 2'!Q171</f>
        <v>0</v>
      </c>
      <c r="Q116" s="119">
        <f>'дод 2'!R171</f>
        <v>0</v>
      </c>
      <c r="R116" s="119">
        <f>'дод 2'!S171</f>
        <v>0</v>
      </c>
      <c r="S116" s="119">
        <f>'дод 2'!T171</f>
        <v>0</v>
      </c>
      <c r="T116" s="119">
        <f>'дод 2'!U171</f>
        <v>0</v>
      </c>
      <c r="U116" s="119">
        <f>'дод 2'!V171</f>
        <v>0</v>
      </c>
      <c r="V116" s="119">
        <f>'дод 2'!W171</f>
        <v>0</v>
      </c>
      <c r="W116" s="164"/>
      <c r="X116" s="119">
        <f>'дод 2'!Y171</f>
        <v>81524.63</v>
      </c>
      <c r="Y116" s="187"/>
      <c r="Z116" s="167"/>
    </row>
    <row r="117" spans="1:26" ht="27.75" customHeight="1" x14ac:dyDescent="0.25">
      <c r="A117" s="99" t="s">
        <v>377</v>
      </c>
      <c r="B117" s="99" t="s">
        <v>138</v>
      </c>
      <c r="C117" s="7" t="s">
        <v>59</v>
      </c>
      <c r="D117" s="119">
        <f>'дод 2'!E172+'дод 2'!E215</f>
        <v>680000</v>
      </c>
      <c r="E117" s="119">
        <f>'дод 2'!F172+'дод 2'!F215</f>
        <v>245900</v>
      </c>
      <c r="F117" s="119">
        <f>'дод 2'!G172+'дод 2'!G215</f>
        <v>0</v>
      </c>
      <c r="G117" s="119">
        <f>'дод 2'!H172+'дод 2'!H215</f>
        <v>652411.11</v>
      </c>
      <c r="H117" s="119">
        <f>'дод 2'!I172+'дод 2'!I215</f>
        <v>239033.69</v>
      </c>
      <c r="I117" s="119">
        <f>'дод 2'!J172+'дод 2'!J215</f>
        <v>0</v>
      </c>
      <c r="J117" s="164">
        <f t="shared" si="23"/>
        <v>95.942810294117635</v>
      </c>
      <c r="K117" s="119">
        <f>'дод 2'!L172+'дод 2'!L215</f>
        <v>0</v>
      </c>
      <c r="L117" s="119">
        <f>'дод 2'!M172+'дод 2'!M215</f>
        <v>0</v>
      </c>
      <c r="M117" s="119">
        <f>'дод 2'!N172+'дод 2'!N215</f>
        <v>0</v>
      </c>
      <c r="N117" s="119">
        <f>'дод 2'!O172+'дод 2'!O215</f>
        <v>0</v>
      </c>
      <c r="O117" s="119">
        <f>'дод 2'!P172+'дод 2'!P215</f>
        <v>0</v>
      </c>
      <c r="P117" s="119">
        <f>'дод 2'!Q172+'дод 2'!Q215</f>
        <v>0</v>
      </c>
      <c r="Q117" s="119">
        <f>'дод 2'!R172+'дод 2'!R215</f>
        <v>0</v>
      </c>
      <c r="R117" s="119">
        <f>'дод 2'!S172+'дод 2'!S215</f>
        <v>0</v>
      </c>
      <c r="S117" s="119">
        <f>'дод 2'!T172+'дод 2'!T215</f>
        <v>0</v>
      </c>
      <c r="T117" s="119">
        <f>'дод 2'!U172+'дод 2'!U215</f>
        <v>0</v>
      </c>
      <c r="U117" s="119">
        <f>'дод 2'!V172+'дод 2'!V215</f>
        <v>0</v>
      </c>
      <c r="V117" s="119">
        <f>'дод 2'!W172+'дод 2'!W215</f>
        <v>0</v>
      </c>
      <c r="W117" s="164"/>
      <c r="X117" s="119">
        <f>'дод 2'!Y172+'дод 2'!Y215</f>
        <v>652411.11</v>
      </c>
      <c r="Y117" s="187"/>
      <c r="Z117" s="167"/>
    </row>
    <row r="118" spans="1:26" ht="167.25" customHeight="1" x14ac:dyDescent="0.25">
      <c r="A118" s="99" t="s">
        <v>535</v>
      </c>
      <c r="B118" s="99" t="s">
        <v>77</v>
      </c>
      <c r="C118" s="157" t="s">
        <v>536</v>
      </c>
      <c r="D118" s="119">
        <f>'дод 2'!E173</f>
        <v>0</v>
      </c>
      <c r="E118" s="119">
        <f>'дод 2'!F173</f>
        <v>0</v>
      </c>
      <c r="F118" s="119">
        <f>'дод 2'!G173</f>
        <v>0</v>
      </c>
      <c r="G118" s="119">
        <f>'дод 2'!H173</f>
        <v>0</v>
      </c>
      <c r="H118" s="119">
        <f>'дод 2'!I173</f>
        <v>0</v>
      </c>
      <c r="I118" s="119">
        <f>'дод 2'!J173</f>
        <v>0</v>
      </c>
      <c r="J118" s="135"/>
      <c r="K118" s="119">
        <f>'дод 2'!L173</f>
        <v>2556672.91</v>
      </c>
      <c r="L118" s="119">
        <f>'дод 2'!M173</f>
        <v>2556672.91</v>
      </c>
      <c r="M118" s="119">
        <f>'дод 2'!N173</f>
        <v>0</v>
      </c>
      <c r="N118" s="119">
        <f>'дод 2'!O173</f>
        <v>0</v>
      </c>
      <c r="O118" s="119">
        <f>'дод 2'!P173</f>
        <v>0</v>
      </c>
      <c r="P118" s="119">
        <f>'дод 2'!Q173</f>
        <v>2556672.91</v>
      </c>
      <c r="Q118" s="119">
        <f>'дод 2'!R173</f>
        <v>2273878.33</v>
      </c>
      <c r="R118" s="119">
        <f>'дод 2'!S173</f>
        <v>2273878.33</v>
      </c>
      <c r="S118" s="119">
        <f>'дод 2'!T173</f>
        <v>0</v>
      </c>
      <c r="T118" s="119">
        <f>'дод 2'!U173</f>
        <v>0</v>
      </c>
      <c r="U118" s="119">
        <f>'дод 2'!V173</f>
        <v>0</v>
      </c>
      <c r="V118" s="119">
        <f>'дод 2'!W173</f>
        <v>2273878.33</v>
      </c>
      <c r="W118" s="164">
        <f t="shared" si="24"/>
        <v>88.938961300293983</v>
      </c>
      <c r="X118" s="119">
        <f>'дод 2'!Y173</f>
        <v>2273878.33</v>
      </c>
      <c r="Y118" s="187">
        <v>21</v>
      </c>
      <c r="Z118" s="167"/>
    </row>
    <row r="119" spans="1:26" s="5" customFormat="1" ht="15.75" x14ac:dyDescent="0.25">
      <c r="A119" s="99"/>
      <c r="B119" s="99"/>
      <c r="C119" s="7" t="s">
        <v>342</v>
      </c>
      <c r="D119" s="119">
        <f>'дод 2'!E174</f>
        <v>0</v>
      </c>
      <c r="E119" s="119">
        <f>'дод 2'!F174</f>
        <v>0</v>
      </c>
      <c r="F119" s="119">
        <f>'дод 2'!G174</f>
        <v>0</v>
      </c>
      <c r="G119" s="119">
        <f>'дод 2'!H174</f>
        <v>0</v>
      </c>
      <c r="H119" s="119">
        <f>'дод 2'!I174</f>
        <v>0</v>
      </c>
      <c r="I119" s="119">
        <f>'дод 2'!J174</f>
        <v>0</v>
      </c>
      <c r="J119" s="135"/>
      <c r="K119" s="119">
        <f>'дод 2'!L174</f>
        <v>2556672.91</v>
      </c>
      <c r="L119" s="119">
        <f>'дод 2'!M174</f>
        <v>2556672.91</v>
      </c>
      <c r="M119" s="119">
        <f>'дод 2'!N174</f>
        <v>0</v>
      </c>
      <c r="N119" s="119">
        <f>'дод 2'!O174</f>
        <v>0</v>
      </c>
      <c r="O119" s="119">
        <f>'дод 2'!P174</f>
        <v>0</v>
      </c>
      <c r="P119" s="119">
        <f>'дод 2'!Q174</f>
        <v>2556672.91</v>
      </c>
      <c r="Q119" s="119">
        <f>'дод 2'!R174</f>
        <v>2273878.33</v>
      </c>
      <c r="R119" s="119">
        <f>'дод 2'!S174</f>
        <v>2273878.33</v>
      </c>
      <c r="S119" s="119">
        <f>'дод 2'!T174</f>
        <v>0</v>
      </c>
      <c r="T119" s="119">
        <f>'дод 2'!U174</f>
        <v>0</v>
      </c>
      <c r="U119" s="119">
        <f>'дод 2'!V174</f>
        <v>0</v>
      </c>
      <c r="V119" s="119">
        <f>'дод 2'!W174</f>
        <v>2273878.33</v>
      </c>
      <c r="W119" s="164">
        <f t="shared" si="24"/>
        <v>88.938961300293983</v>
      </c>
      <c r="X119" s="119">
        <f>'дод 2'!Y174</f>
        <v>2273878.33</v>
      </c>
      <c r="Y119" s="187"/>
      <c r="Z119" s="167"/>
    </row>
    <row r="120" spans="1:26" s="5" customFormat="1" ht="181.5" customHeight="1" x14ac:dyDescent="0.25">
      <c r="A120" s="99" t="s">
        <v>542</v>
      </c>
      <c r="B120" s="99" t="s">
        <v>77</v>
      </c>
      <c r="C120" s="157" t="s">
        <v>541</v>
      </c>
      <c r="D120" s="119">
        <f>'дод 2'!E175</f>
        <v>0</v>
      </c>
      <c r="E120" s="119">
        <f>'дод 2'!F175</f>
        <v>0</v>
      </c>
      <c r="F120" s="119">
        <f>'дод 2'!G175</f>
        <v>0</v>
      </c>
      <c r="G120" s="119">
        <f>'дод 2'!H175</f>
        <v>0</v>
      </c>
      <c r="H120" s="119">
        <f>'дод 2'!I175</f>
        <v>0</v>
      </c>
      <c r="I120" s="119">
        <f>'дод 2'!J175</f>
        <v>0</v>
      </c>
      <c r="J120" s="135"/>
      <c r="K120" s="119">
        <f>'дод 2'!L175</f>
        <v>1512988</v>
      </c>
      <c r="L120" s="119">
        <f>'дод 2'!M175</f>
        <v>0</v>
      </c>
      <c r="M120" s="119">
        <f>'дод 2'!N175</f>
        <v>0</v>
      </c>
      <c r="N120" s="119">
        <f>'дод 2'!O175</f>
        <v>0</v>
      </c>
      <c r="O120" s="119">
        <f>'дод 2'!P175</f>
        <v>0</v>
      </c>
      <c r="P120" s="119">
        <f>'дод 2'!Q175</f>
        <v>1512988</v>
      </c>
      <c r="Q120" s="119">
        <f>'дод 2'!R175</f>
        <v>1512987.27</v>
      </c>
      <c r="R120" s="119">
        <f>'дод 2'!S175</f>
        <v>0</v>
      </c>
      <c r="S120" s="119">
        <f>'дод 2'!T175</f>
        <v>0</v>
      </c>
      <c r="T120" s="119">
        <f>'дод 2'!U175</f>
        <v>0</v>
      </c>
      <c r="U120" s="119">
        <f>'дод 2'!V175</f>
        <v>0</v>
      </c>
      <c r="V120" s="119">
        <f>'дод 2'!W175</f>
        <v>1512987.27</v>
      </c>
      <c r="W120" s="164">
        <f t="shared" si="24"/>
        <v>99.999951751104447</v>
      </c>
      <c r="X120" s="119">
        <f>'дод 2'!Y175</f>
        <v>1512987.27</v>
      </c>
      <c r="Y120" s="187"/>
      <c r="Z120" s="167"/>
    </row>
    <row r="121" spans="1:26" s="5" customFormat="1" ht="15.75" x14ac:dyDescent="0.25">
      <c r="A121" s="99"/>
      <c r="B121" s="99"/>
      <c r="C121" s="7" t="s">
        <v>342</v>
      </c>
      <c r="D121" s="119">
        <f>'дод 2'!E176</f>
        <v>0</v>
      </c>
      <c r="E121" s="119">
        <f>'дод 2'!F176</f>
        <v>0</v>
      </c>
      <c r="F121" s="119">
        <f>'дод 2'!G176</f>
        <v>0</v>
      </c>
      <c r="G121" s="119">
        <f>'дод 2'!H176</f>
        <v>0</v>
      </c>
      <c r="H121" s="119">
        <f>'дод 2'!I176</f>
        <v>0</v>
      </c>
      <c r="I121" s="119">
        <f>'дод 2'!J176</f>
        <v>0</v>
      </c>
      <c r="J121" s="135"/>
      <c r="K121" s="119">
        <f>'дод 2'!L176</f>
        <v>1512988</v>
      </c>
      <c r="L121" s="119">
        <f>'дод 2'!M176</f>
        <v>0</v>
      </c>
      <c r="M121" s="119">
        <f>'дод 2'!N176</f>
        <v>0</v>
      </c>
      <c r="N121" s="119">
        <f>'дод 2'!O176</f>
        <v>0</v>
      </c>
      <c r="O121" s="119">
        <f>'дод 2'!P176</f>
        <v>0</v>
      </c>
      <c r="P121" s="119">
        <f>'дод 2'!Q176</f>
        <v>1512988</v>
      </c>
      <c r="Q121" s="119">
        <f>'дод 2'!R176</f>
        <v>1512987.27</v>
      </c>
      <c r="R121" s="119">
        <f>'дод 2'!S176</f>
        <v>0</v>
      </c>
      <c r="S121" s="119">
        <f>'дод 2'!T176</f>
        <v>0</v>
      </c>
      <c r="T121" s="119">
        <f>'дод 2'!U176</f>
        <v>0</v>
      </c>
      <c r="U121" s="119">
        <f>'дод 2'!V176</f>
        <v>0</v>
      </c>
      <c r="V121" s="119">
        <f>'дод 2'!W176</f>
        <v>1512987.27</v>
      </c>
      <c r="W121" s="164">
        <f t="shared" si="24"/>
        <v>99.999951751104447</v>
      </c>
      <c r="X121" s="119">
        <f>'дод 2'!Y176</f>
        <v>1512987.27</v>
      </c>
      <c r="Y121" s="187"/>
      <c r="Z121" s="167"/>
    </row>
    <row r="122" spans="1:26" s="5" customFormat="1" ht="206.25" customHeight="1" x14ac:dyDescent="0.25">
      <c r="A122" s="99" t="s">
        <v>544</v>
      </c>
      <c r="B122" s="99" t="s">
        <v>77</v>
      </c>
      <c r="C122" s="157" t="s">
        <v>543</v>
      </c>
      <c r="D122" s="119">
        <f>'дод 2'!E177</f>
        <v>0</v>
      </c>
      <c r="E122" s="119">
        <f>'дод 2'!F177</f>
        <v>0</v>
      </c>
      <c r="F122" s="119">
        <f>'дод 2'!G177</f>
        <v>0</v>
      </c>
      <c r="G122" s="119">
        <f>'дод 2'!H177</f>
        <v>0</v>
      </c>
      <c r="H122" s="119">
        <f>'дод 2'!I177</f>
        <v>0</v>
      </c>
      <c r="I122" s="119">
        <f>'дод 2'!J177</f>
        <v>0</v>
      </c>
      <c r="J122" s="135"/>
      <c r="K122" s="119">
        <f>'дод 2'!L177</f>
        <v>1462158</v>
      </c>
      <c r="L122" s="119">
        <f>'дод 2'!M177</f>
        <v>1462158</v>
      </c>
      <c r="M122" s="119">
        <f>'дод 2'!N177</f>
        <v>0</v>
      </c>
      <c r="N122" s="119">
        <f>'дод 2'!O177</f>
        <v>0</v>
      </c>
      <c r="O122" s="119">
        <f>'дод 2'!P177</f>
        <v>0</v>
      </c>
      <c r="P122" s="119">
        <f>'дод 2'!Q177</f>
        <v>1462158</v>
      </c>
      <c r="Q122" s="119">
        <f>'дод 2'!R177</f>
        <v>1293750.75</v>
      </c>
      <c r="R122" s="119">
        <f>'дод 2'!S177</f>
        <v>1293750.75</v>
      </c>
      <c r="S122" s="119">
        <f>'дод 2'!T177</f>
        <v>0</v>
      </c>
      <c r="T122" s="119">
        <f>'дод 2'!U177</f>
        <v>0</v>
      </c>
      <c r="U122" s="119">
        <f>'дод 2'!V177</f>
        <v>0</v>
      </c>
      <c r="V122" s="119">
        <f>'дод 2'!W177</f>
        <v>1293750.75</v>
      </c>
      <c r="W122" s="164">
        <f t="shared" si="24"/>
        <v>88.482280984681552</v>
      </c>
      <c r="X122" s="119">
        <f>'дод 2'!Y177</f>
        <v>1293750.75</v>
      </c>
      <c r="Y122" s="187"/>
      <c r="Z122" s="167"/>
    </row>
    <row r="123" spans="1:26" s="5" customFormat="1" ht="15.75" x14ac:dyDescent="0.25">
      <c r="A123" s="99"/>
      <c r="B123" s="99"/>
      <c r="C123" s="7" t="s">
        <v>342</v>
      </c>
      <c r="D123" s="119">
        <f>'дод 2'!E178</f>
        <v>0</v>
      </c>
      <c r="E123" s="119">
        <f>'дод 2'!F178</f>
        <v>0</v>
      </c>
      <c r="F123" s="119">
        <f>'дод 2'!G178</f>
        <v>0</v>
      </c>
      <c r="G123" s="119">
        <f>'дод 2'!H178</f>
        <v>0</v>
      </c>
      <c r="H123" s="119">
        <f>'дод 2'!I178</f>
        <v>0</v>
      </c>
      <c r="I123" s="119">
        <f>'дод 2'!J178</f>
        <v>0</v>
      </c>
      <c r="J123" s="135"/>
      <c r="K123" s="119">
        <f>'дод 2'!L178</f>
        <v>1462158</v>
      </c>
      <c r="L123" s="119">
        <f>'дод 2'!M178</f>
        <v>1462158</v>
      </c>
      <c r="M123" s="119">
        <f>'дод 2'!N178</f>
        <v>0</v>
      </c>
      <c r="N123" s="119">
        <f>'дод 2'!O178</f>
        <v>0</v>
      </c>
      <c r="O123" s="119">
        <f>'дод 2'!P178</f>
        <v>0</v>
      </c>
      <c r="P123" s="119">
        <f>'дод 2'!Q178</f>
        <v>1462158</v>
      </c>
      <c r="Q123" s="119">
        <f>'дод 2'!R178</f>
        <v>1293750.75</v>
      </c>
      <c r="R123" s="119">
        <f>'дод 2'!S178</f>
        <v>1293750.75</v>
      </c>
      <c r="S123" s="119">
        <f>'дод 2'!T178</f>
        <v>0</v>
      </c>
      <c r="T123" s="119">
        <f>'дод 2'!U178</f>
        <v>0</v>
      </c>
      <c r="U123" s="119">
        <f>'дод 2'!V178</f>
        <v>0</v>
      </c>
      <c r="V123" s="119">
        <f>'дод 2'!W178</f>
        <v>1293750.75</v>
      </c>
      <c r="W123" s="164">
        <f t="shared" si="24"/>
        <v>88.482280984681552</v>
      </c>
      <c r="X123" s="119">
        <f>'дод 2'!Y178</f>
        <v>1293750.75</v>
      </c>
      <c r="Y123" s="187"/>
      <c r="Z123" s="167"/>
    </row>
    <row r="124" spans="1:26" s="5" customFormat="1" ht="176.25" customHeight="1" x14ac:dyDescent="0.25">
      <c r="A124" s="99">
        <v>3224</v>
      </c>
      <c r="B124" s="99">
        <v>1060</v>
      </c>
      <c r="C124" s="87" t="s">
        <v>599</v>
      </c>
      <c r="D124" s="119">
        <f>SUM('дод 2'!E179)</f>
        <v>0</v>
      </c>
      <c r="E124" s="119">
        <f>SUM('дод 2'!F179)</f>
        <v>0</v>
      </c>
      <c r="F124" s="119">
        <f>SUM('дод 2'!G179)</f>
        <v>0</v>
      </c>
      <c r="G124" s="119">
        <f>SUM('дод 2'!H179)</f>
        <v>0</v>
      </c>
      <c r="H124" s="119">
        <f>SUM('дод 2'!I179)</f>
        <v>0</v>
      </c>
      <c r="I124" s="119">
        <f>SUM('дод 2'!J179)</f>
        <v>0</v>
      </c>
      <c r="J124" s="135"/>
      <c r="K124" s="119">
        <f>SUM('дод 2'!L179)</f>
        <v>823359</v>
      </c>
      <c r="L124" s="119">
        <f>SUM('дод 2'!M179)</f>
        <v>823359</v>
      </c>
      <c r="M124" s="119">
        <f>SUM('дод 2'!N179)</f>
        <v>0</v>
      </c>
      <c r="N124" s="119">
        <f>SUM('дод 2'!O179)</f>
        <v>0</v>
      </c>
      <c r="O124" s="119">
        <f>SUM('дод 2'!P179)</f>
        <v>0</v>
      </c>
      <c r="P124" s="119">
        <f>SUM('дод 2'!Q179)</f>
        <v>823359</v>
      </c>
      <c r="Q124" s="119">
        <f>SUM('дод 2'!R179)</f>
        <v>823358.97</v>
      </c>
      <c r="R124" s="119">
        <f>SUM('дод 2'!S179)</f>
        <v>823358.97</v>
      </c>
      <c r="S124" s="119">
        <f>SUM('дод 2'!T179)</f>
        <v>0</v>
      </c>
      <c r="T124" s="119">
        <f>SUM('дод 2'!U179)</f>
        <v>0</v>
      </c>
      <c r="U124" s="119">
        <f>SUM('дод 2'!V179)</f>
        <v>0</v>
      </c>
      <c r="V124" s="119">
        <f>SUM('дод 2'!W179)</f>
        <v>823358.97</v>
      </c>
      <c r="W124" s="164">
        <f t="shared" si="24"/>
        <v>99.999996356388891</v>
      </c>
      <c r="X124" s="119">
        <f>SUM('дод 2'!Y179)</f>
        <v>823358.97</v>
      </c>
      <c r="Y124" s="187"/>
      <c r="Z124" s="167"/>
    </row>
    <row r="125" spans="1:26" s="5" customFormat="1" ht="15.75" x14ac:dyDescent="0.25">
      <c r="A125" s="99"/>
      <c r="B125" s="99"/>
      <c r="C125" s="7" t="s">
        <v>342</v>
      </c>
      <c r="D125" s="119">
        <f>SUM('дод 2'!E180)</f>
        <v>0</v>
      </c>
      <c r="E125" s="119">
        <f>SUM('дод 2'!F180)</f>
        <v>0</v>
      </c>
      <c r="F125" s="119">
        <f>SUM('дод 2'!G180)</f>
        <v>0</v>
      </c>
      <c r="G125" s="119">
        <f>SUM('дод 2'!H180)</f>
        <v>0</v>
      </c>
      <c r="H125" s="119">
        <f>SUM('дод 2'!I180)</f>
        <v>0</v>
      </c>
      <c r="I125" s="119">
        <f>SUM('дод 2'!J180)</f>
        <v>0</v>
      </c>
      <c r="J125" s="135"/>
      <c r="K125" s="119">
        <f>SUM('дод 2'!L180)</f>
        <v>823359</v>
      </c>
      <c r="L125" s="119">
        <f>SUM('дод 2'!M180)</f>
        <v>823359</v>
      </c>
      <c r="M125" s="119">
        <f>SUM('дод 2'!N180)</f>
        <v>0</v>
      </c>
      <c r="N125" s="119">
        <f>SUM('дод 2'!O180)</f>
        <v>0</v>
      </c>
      <c r="O125" s="119">
        <f>SUM('дод 2'!P180)</f>
        <v>0</v>
      </c>
      <c r="P125" s="119">
        <f>SUM('дод 2'!Q180)</f>
        <v>823359</v>
      </c>
      <c r="Q125" s="119">
        <f>SUM('дод 2'!R180)</f>
        <v>823358.97</v>
      </c>
      <c r="R125" s="119">
        <f>SUM('дод 2'!S180)</f>
        <v>823358.97</v>
      </c>
      <c r="S125" s="119">
        <f>SUM('дод 2'!T180)</f>
        <v>0</v>
      </c>
      <c r="T125" s="119">
        <f>SUM('дод 2'!U180)</f>
        <v>0</v>
      </c>
      <c r="U125" s="119">
        <f>SUM('дод 2'!V180)</f>
        <v>0</v>
      </c>
      <c r="V125" s="119">
        <f>SUM('дод 2'!W180)</f>
        <v>823358.97</v>
      </c>
      <c r="W125" s="164">
        <f t="shared" si="24"/>
        <v>99.999996356388891</v>
      </c>
      <c r="X125" s="119">
        <f>SUM('дод 2'!Y180)</f>
        <v>823358.97</v>
      </c>
      <c r="Y125" s="187"/>
      <c r="Z125" s="167"/>
    </row>
    <row r="126" spans="1:26" ht="175.5" customHeight="1" x14ac:dyDescent="0.25">
      <c r="A126" s="99" t="s">
        <v>464</v>
      </c>
      <c r="B126" s="99" t="s">
        <v>132</v>
      </c>
      <c r="C126" s="7" t="s">
        <v>567</v>
      </c>
      <c r="D126" s="119">
        <f>'дод 2'!E181</f>
        <v>3120900</v>
      </c>
      <c r="E126" s="119">
        <f>'дод 2'!F181</f>
        <v>0</v>
      </c>
      <c r="F126" s="119">
        <f>'дод 2'!G181</f>
        <v>0</v>
      </c>
      <c r="G126" s="119">
        <f>'дод 2'!H181</f>
        <v>2948129.98</v>
      </c>
      <c r="H126" s="119">
        <f>'дод 2'!I181</f>
        <v>0</v>
      </c>
      <c r="I126" s="119">
        <f>'дод 2'!J181</f>
        <v>0</v>
      </c>
      <c r="J126" s="164">
        <f t="shared" si="23"/>
        <v>94.464096254285622</v>
      </c>
      <c r="K126" s="119">
        <f>'дод 2'!L181</f>
        <v>0</v>
      </c>
      <c r="L126" s="119">
        <f>'дод 2'!M181</f>
        <v>0</v>
      </c>
      <c r="M126" s="119">
        <f>'дод 2'!N181</f>
        <v>0</v>
      </c>
      <c r="N126" s="119">
        <f>'дод 2'!O181</f>
        <v>0</v>
      </c>
      <c r="O126" s="119">
        <f>'дод 2'!P181</f>
        <v>0</v>
      </c>
      <c r="P126" s="119">
        <f>'дод 2'!Q181</f>
        <v>0</v>
      </c>
      <c r="Q126" s="119">
        <f>'дод 2'!R181</f>
        <v>0</v>
      </c>
      <c r="R126" s="119">
        <f>'дод 2'!S181</f>
        <v>0</v>
      </c>
      <c r="S126" s="119">
        <f>'дод 2'!T181</f>
        <v>0</v>
      </c>
      <c r="T126" s="119">
        <f>'дод 2'!U181</f>
        <v>0</v>
      </c>
      <c r="U126" s="119">
        <f>'дод 2'!V181</f>
        <v>0</v>
      </c>
      <c r="V126" s="119">
        <f>'дод 2'!W181</f>
        <v>0</v>
      </c>
      <c r="W126" s="164"/>
      <c r="X126" s="119">
        <f>'дод 2'!Y181</f>
        <v>2948129.98</v>
      </c>
      <c r="Y126" s="187"/>
      <c r="Z126" s="167"/>
    </row>
    <row r="127" spans="1:26" ht="27.75" customHeight="1" x14ac:dyDescent="0.25">
      <c r="A127" s="99"/>
      <c r="B127" s="99"/>
      <c r="C127" s="7" t="s">
        <v>342</v>
      </c>
      <c r="D127" s="119">
        <f>'дод 2'!E182</f>
        <v>3120900</v>
      </c>
      <c r="E127" s="119">
        <f>'дод 2'!F182</f>
        <v>0</v>
      </c>
      <c r="F127" s="119">
        <f>'дод 2'!G182</f>
        <v>0</v>
      </c>
      <c r="G127" s="119">
        <f>'дод 2'!H182</f>
        <v>2948129.98</v>
      </c>
      <c r="H127" s="119">
        <f>'дод 2'!I182</f>
        <v>0</v>
      </c>
      <c r="I127" s="119">
        <f>'дод 2'!J182</f>
        <v>0</v>
      </c>
      <c r="J127" s="164">
        <f t="shared" si="23"/>
        <v>94.464096254285622</v>
      </c>
      <c r="K127" s="119">
        <f>'дод 2'!L182</f>
        <v>0</v>
      </c>
      <c r="L127" s="119">
        <f>'дод 2'!M182</f>
        <v>0</v>
      </c>
      <c r="M127" s="119">
        <f>'дод 2'!N182</f>
        <v>0</v>
      </c>
      <c r="N127" s="119">
        <f>'дод 2'!O182</f>
        <v>0</v>
      </c>
      <c r="O127" s="119">
        <f>'дод 2'!P182</f>
        <v>0</v>
      </c>
      <c r="P127" s="119">
        <f>'дод 2'!Q182</f>
        <v>0</v>
      </c>
      <c r="Q127" s="119">
        <f>'дод 2'!R182</f>
        <v>0</v>
      </c>
      <c r="R127" s="119">
        <f>'дод 2'!S182</f>
        <v>0</v>
      </c>
      <c r="S127" s="119">
        <f>'дод 2'!T182</f>
        <v>0</v>
      </c>
      <c r="T127" s="119">
        <f>'дод 2'!U182</f>
        <v>0</v>
      </c>
      <c r="U127" s="119">
        <f>'дод 2'!V182</f>
        <v>0</v>
      </c>
      <c r="V127" s="119">
        <f>'дод 2'!W182</f>
        <v>0</v>
      </c>
      <c r="W127" s="164"/>
      <c r="X127" s="119">
        <f>'дод 2'!Y182</f>
        <v>2948129.98</v>
      </c>
      <c r="Y127" s="187"/>
      <c r="Z127" s="167"/>
    </row>
    <row r="128" spans="1:26" s="5" customFormat="1" ht="32.25" customHeight="1" x14ac:dyDescent="0.25">
      <c r="A128" s="99" t="s">
        <v>378</v>
      </c>
      <c r="B128" s="99" t="s">
        <v>80</v>
      </c>
      <c r="C128" s="7" t="s">
        <v>380</v>
      </c>
      <c r="D128" s="119">
        <f>'дод 2'!E183+'дод 2'!E21</f>
        <v>6144683</v>
      </c>
      <c r="E128" s="119">
        <f>'дод 2'!F183+'дод 2'!F21</f>
        <v>3603427</v>
      </c>
      <c r="F128" s="119">
        <f>'дод 2'!G183+'дод 2'!G21</f>
        <v>660624</v>
      </c>
      <c r="G128" s="119">
        <f>'дод 2'!H183+'дод 2'!H21</f>
        <v>5774854.1000000006</v>
      </c>
      <c r="H128" s="119">
        <f>'дод 2'!I183+'дод 2'!I21</f>
        <v>3601996.52</v>
      </c>
      <c r="I128" s="119">
        <f>'дод 2'!J183+'дод 2'!J21</f>
        <v>459978.61</v>
      </c>
      <c r="J128" s="164">
        <f t="shared" si="23"/>
        <v>93.98131848298766</v>
      </c>
      <c r="K128" s="119">
        <f>'дод 2'!L183+'дод 2'!L21</f>
        <v>779000</v>
      </c>
      <c r="L128" s="119">
        <f>'дод 2'!M183+'дод 2'!M21</f>
        <v>779000</v>
      </c>
      <c r="M128" s="119">
        <f>'дод 2'!N183+'дод 2'!N21</f>
        <v>0</v>
      </c>
      <c r="N128" s="119">
        <f>'дод 2'!O183+'дод 2'!O21</f>
        <v>0</v>
      </c>
      <c r="O128" s="119">
        <f>'дод 2'!P183+'дод 2'!P21</f>
        <v>0</v>
      </c>
      <c r="P128" s="119">
        <f>'дод 2'!Q183+'дод 2'!Q21</f>
        <v>779000</v>
      </c>
      <c r="Q128" s="119">
        <f>'дод 2'!R183+'дод 2'!R21</f>
        <v>323829.48</v>
      </c>
      <c r="R128" s="119">
        <f>'дод 2'!S183+'дод 2'!S21</f>
        <v>278852.28999999998</v>
      </c>
      <c r="S128" s="119">
        <f>'дод 2'!T183+'дод 2'!T21</f>
        <v>44977.19</v>
      </c>
      <c r="T128" s="119">
        <f>'дод 2'!U183+'дод 2'!U21</f>
        <v>0</v>
      </c>
      <c r="U128" s="119">
        <f>'дод 2'!V183+'дод 2'!V21</f>
        <v>0</v>
      </c>
      <c r="V128" s="119">
        <f>'дод 2'!W183+'дод 2'!W21</f>
        <v>278852.28999999998</v>
      </c>
      <c r="W128" s="164">
        <f t="shared" si="24"/>
        <v>41.569894736842102</v>
      </c>
      <c r="X128" s="119">
        <f>'дод 2'!Y183+'дод 2'!Y21</f>
        <v>6098683.5800000001</v>
      </c>
      <c r="Y128" s="187"/>
      <c r="Z128" s="167"/>
    </row>
    <row r="129" spans="1:26" s="5" customFormat="1" ht="41.25" customHeight="1" x14ac:dyDescent="0.25">
      <c r="A129" s="99" t="s">
        <v>379</v>
      </c>
      <c r="B129" s="99" t="s">
        <v>80</v>
      </c>
      <c r="C129" s="7" t="s">
        <v>381</v>
      </c>
      <c r="D129" s="119">
        <f>'дод 2'!E73+'дод 2'!E184+'дод 2'!E22</f>
        <v>37316823</v>
      </c>
      <c r="E129" s="119">
        <f>'дод 2'!F73+'дод 2'!F184+'дод 2'!F22</f>
        <v>0</v>
      </c>
      <c r="F129" s="119">
        <f>'дод 2'!G73+'дод 2'!G184+'дод 2'!G22</f>
        <v>0</v>
      </c>
      <c r="G129" s="119">
        <f>'дод 2'!H73+'дод 2'!H184+'дод 2'!H22</f>
        <v>27180559.510000002</v>
      </c>
      <c r="H129" s="119">
        <f>'дод 2'!I73+'дод 2'!I184+'дод 2'!I22</f>
        <v>0</v>
      </c>
      <c r="I129" s="119">
        <f>'дод 2'!J73+'дод 2'!J184+'дод 2'!J22</f>
        <v>0</v>
      </c>
      <c r="J129" s="164">
        <f t="shared" si="23"/>
        <v>72.837281753594084</v>
      </c>
      <c r="K129" s="119">
        <f>'дод 2'!L73+'дод 2'!L184+'дод 2'!L22</f>
        <v>42000</v>
      </c>
      <c r="L129" s="119">
        <f>'дод 2'!M73+'дод 2'!M184+'дод 2'!M22</f>
        <v>42000</v>
      </c>
      <c r="M129" s="119">
        <f>'дод 2'!N73+'дод 2'!N184+'дод 2'!N22</f>
        <v>0</v>
      </c>
      <c r="N129" s="119">
        <f>'дод 2'!O73+'дод 2'!O184+'дод 2'!O22</f>
        <v>0</v>
      </c>
      <c r="O129" s="119">
        <f>'дод 2'!P73+'дод 2'!P184+'дод 2'!P22</f>
        <v>0</v>
      </c>
      <c r="P129" s="119">
        <f>'дод 2'!Q73+'дод 2'!Q184+'дод 2'!Q22</f>
        <v>42000</v>
      </c>
      <c r="Q129" s="119">
        <f>'дод 2'!R73+'дод 2'!R184+'дод 2'!R22</f>
        <v>32400</v>
      </c>
      <c r="R129" s="119">
        <f>'дод 2'!S73+'дод 2'!S184+'дод 2'!S22</f>
        <v>32400</v>
      </c>
      <c r="S129" s="119">
        <f>'дод 2'!T73+'дод 2'!T184+'дод 2'!T22</f>
        <v>0</v>
      </c>
      <c r="T129" s="119">
        <f>'дод 2'!U73+'дод 2'!U184+'дод 2'!U22</f>
        <v>0</v>
      </c>
      <c r="U129" s="119">
        <f>'дод 2'!V73+'дод 2'!V184+'дод 2'!V22</f>
        <v>0</v>
      </c>
      <c r="V129" s="119">
        <f>'дод 2'!W73+'дод 2'!W184+'дод 2'!W22</f>
        <v>32400</v>
      </c>
      <c r="W129" s="164">
        <f t="shared" si="24"/>
        <v>77.142857142857153</v>
      </c>
      <c r="X129" s="119">
        <f>'дод 2'!Y73+'дод 2'!Y184+'дод 2'!Y22</f>
        <v>27212959.510000002</v>
      </c>
      <c r="Y129" s="187"/>
      <c r="Z129" s="167"/>
    </row>
    <row r="130" spans="1:26" s="12" customFormat="1" ht="19.5" customHeight="1" x14ac:dyDescent="0.25">
      <c r="A130" s="100" t="s">
        <v>100</v>
      </c>
      <c r="B130" s="103"/>
      <c r="C130" s="6" t="s">
        <v>101</v>
      </c>
      <c r="D130" s="118">
        <f>D131+D132+D133+D134</f>
        <v>28021067</v>
      </c>
      <c r="E130" s="118">
        <f t="shared" ref="E130:X130" si="25">E131+E132+E133+E134</f>
        <v>15984150</v>
      </c>
      <c r="F130" s="118">
        <f t="shared" si="25"/>
        <v>2129687</v>
      </c>
      <c r="G130" s="118">
        <f>G131+G132+G133+G134</f>
        <v>27169496.039999999</v>
      </c>
      <c r="H130" s="118">
        <f t="shared" si="25"/>
        <v>15940853.359999999</v>
      </c>
      <c r="I130" s="118">
        <f t="shared" si="25"/>
        <v>1999708.12</v>
      </c>
      <c r="J130" s="135">
        <f t="shared" si="23"/>
        <v>96.960961693571477</v>
      </c>
      <c r="K130" s="118">
        <f t="shared" si="25"/>
        <v>2134853</v>
      </c>
      <c r="L130" s="118">
        <f t="shared" si="25"/>
        <v>2106853</v>
      </c>
      <c r="M130" s="118">
        <f t="shared" si="25"/>
        <v>28000</v>
      </c>
      <c r="N130" s="118">
        <f t="shared" si="25"/>
        <v>5000</v>
      </c>
      <c r="O130" s="118">
        <f t="shared" si="25"/>
        <v>0</v>
      </c>
      <c r="P130" s="118">
        <f t="shared" si="25"/>
        <v>2106853</v>
      </c>
      <c r="Q130" s="118">
        <f t="shared" si="25"/>
        <v>2265225.35</v>
      </c>
      <c r="R130" s="118">
        <f t="shared" si="25"/>
        <v>1999636.3</v>
      </c>
      <c r="S130" s="118">
        <f t="shared" si="25"/>
        <v>34076.720000000001</v>
      </c>
      <c r="T130" s="118">
        <f t="shared" si="25"/>
        <v>9655.74</v>
      </c>
      <c r="U130" s="118">
        <f t="shared" si="25"/>
        <v>0</v>
      </c>
      <c r="V130" s="118">
        <f t="shared" si="25"/>
        <v>2231148.63</v>
      </c>
      <c r="W130" s="135">
        <f t="shared" si="24"/>
        <v>106.10685372716529</v>
      </c>
      <c r="X130" s="118">
        <f t="shared" si="25"/>
        <v>29434721.390000001</v>
      </c>
      <c r="Y130" s="187"/>
      <c r="Z130" s="167"/>
    </row>
    <row r="131" spans="1:26" ht="22.5" customHeight="1" x14ac:dyDescent="0.25">
      <c r="A131" s="99" t="s">
        <v>102</v>
      </c>
      <c r="B131" s="99" t="s">
        <v>103</v>
      </c>
      <c r="C131" s="7" t="s">
        <v>25</v>
      </c>
      <c r="D131" s="119">
        <f>'дод 2'!E205</f>
        <v>17754990</v>
      </c>
      <c r="E131" s="119">
        <f>'дод 2'!F205</f>
        <v>12497600</v>
      </c>
      <c r="F131" s="119">
        <f>'дод 2'!G205</f>
        <v>1594679</v>
      </c>
      <c r="G131" s="119">
        <f>'дод 2'!H205</f>
        <v>17414954.789999999</v>
      </c>
      <c r="H131" s="119">
        <f>'дод 2'!I205</f>
        <v>12461968.859999999</v>
      </c>
      <c r="I131" s="119">
        <f>'дод 2'!J205</f>
        <v>1511080.95</v>
      </c>
      <c r="J131" s="164">
        <f t="shared" si="23"/>
        <v>98.084847076793608</v>
      </c>
      <c r="K131" s="119">
        <f>'дод 2'!L205</f>
        <v>386020</v>
      </c>
      <c r="L131" s="119">
        <f>'дод 2'!M205</f>
        <v>358020</v>
      </c>
      <c r="M131" s="119">
        <f>'дод 2'!N205</f>
        <v>28000</v>
      </c>
      <c r="N131" s="119">
        <f>'дод 2'!O205</f>
        <v>5000</v>
      </c>
      <c r="O131" s="119">
        <f>'дод 2'!P205</f>
        <v>0</v>
      </c>
      <c r="P131" s="119">
        <f>'дод 2'!Q205</f>
        <v>358020</v>
      </c>
      <c r="Q131" s="119">
        <f>'дод 2'!R205</f>
        <v>541880.35</v>
      </c>
      <c r="R131" s="119">
        <f>'дод 2'!S205</f>
        <v>276291.3</v>
      </c>
      <c r="S131" s="119">
        <f>'дод 2'!T205</f>
        <v>34076.720000000001</v>
      </c>
      <c r="T131" s="119">
        <f>'дод 2'!U205</f>
        <v>9655.74</v>
      </c>
      <c r="U131" s="119">
        <f>'дод 2'!V205</f>
        <v>0</v>
      </c>
      <c r="V131" s="119">
        <f>'дод 2'!W205</f>
        <v>507803.63</v>
      </c>
      <c r="W131" s="164">
        <f t="shared" si="24"/>
        <v>140.37623698253975</v>
      </c>
      <c r="X131" s="119">
        <f>'дод 2'!Y205</f>
        <v>17956835.140000001</v>
      </c>
      <c r="Y131" s="187"/>
      <c r="Z131" s="167"/>
    </row>
    <row r="132" spans="1:26" ht="33.75" customHeight="1" x14ac:dyDescent="0.25">
      <c r="A132" s="99" t="s">
        <v>484</v>
      </c>
      <c r="B132" s="99" t="s">
        <v>485</v>
      </c>
      <c r="C132" s="7" t="s">
        <v>486</v>
      </c>
      <c r="D132" s="119">
        <f>'дод 2'!E23</f>
        <v>3195567</v>
      </c>
      <c r="E132" s="119">
        <f>'дод 2'!F23</f>
        <v>1132340</v>
      </c>
      <c r="F132" s="119">
        <f>'дод 2'!G23</f>
        <v>410229</v>
      </c>
      <c r="G132" s="119">
        <f>'дод 2'!H23</f>
        <v>3068524.74</v>
      </c>
      <c r="H132" s="119">
        <f>'дод 2'!I23</f>
        <v>1132300.45</v>
      </c>
      <c r="I132" s="119">
        <f>'дод 2'!J23</f>
        <v>381595.57</v>
      </c>
      <c r="J132" s="164">
        <f t="shared" si="23"/>
        <v>96.024421957042378</v>
      </c>
      <c r="K132" s="119">
        <f>'дод 2'!L23</f>
        <v>1725833</v>
      </c>
      <c r="L132" s="119">
        <f>'дод 2'!M23</f>
        <v>1725833</v>
      </c>
      <c r="M132" s="119">
        <f>'дод 2'!N23</f>
        <v>0</v>
      </c>
      <c r="N132" s="119">
        <f>'дод 2'!O23</f>
        <v>0</v>
      </c>
      <c r="O132" s="119">
        <f>'дод 2'!P23</f>
        <v>0</v>
      </c>
      <c r="P132" s="119">
        <f>'дод 2'!Q23</f>
        <v>1725833</v>
      </c>
      <c r="Q132" s="119">
        <f>'дод 2'!R23</f>
        <v>1701030</v>
      </c>
      <c r="R132" s="119">
        <f>'дод 2'!S23</f>
        <v>1701030</v>
      </c>
      <c r="S132" s="119">
        <f>'дод 2'!T23</f>
        <v>0</v>
      </c>
      <c r="T132" s="119">
        <f>'дод 2'!U23</f>
        <v>0</v>
      </c>
      <c r="U132" s="119">
        <f>'дод 2'!V23</f>
        <v>0</v>
      </c>
      <c r="V132" s="119">
        <f>'дод 2'!W23</f>
        <v>1701030</v>
      </c>
      <c r="W132" s="164">
        <f t="shared" si="24"/>
        <v>98.562838930533843</v>
      </c>
      <c r="X132" s="119">
        <f>'дод 2'!Y23</f>
        <v>4769554.74</v>
      </c>
      <c r="Y132" s="187"/>
      <c r="Z132" s="167"/>
    </row>
    <row r="133" spans="1:26" s="5" customFormat="1" ht="39.75" customHeight="1" x14ac:dyDescent="0.25">
      <c r="A133" s="99" t="s">
        <v>382</v>
      </c>
      <c r="B133" s="99" t="s">
        <v>104</v>
      </c>
      <c r="C133" s="7" t="s">
        <v>384</v>
      </c>
      <c r="D133" s="119">
        <f>'дод 2'!E24+'дод 2'!E206</f>
        <v>4240010</v>
      </c>
      <c r="E133" s="119">
        <f>'дод 2'!F24+'дод 2'!F206</f>
        <v>2354210</v>
      </c>
      <c r="F133" s="119">
        <f>'дод 2'!G24+'дод 2'!G206</f>
        <v>124779</v>
      </c>
      <c r="G133" s="119">
        <f>'дод 2'!H24+'дод 2'!H206</f>
        <v>4078605.1899999995</v>
      </c>
      <c r="H133" s="119">
        <f>'дод 2'!I24+'дод 2'!I206</f>
        <v>2346584.0499999998</v>
      </c>
      <c r="I133" s="119">
        <f>'дод 2'!J24+'дод 2'!J206</f>
        <v>107031.59999999999</v>
      </c>
      <c r="J133" s="164">
        <f t="shared" si="23"/>
        <v>96.193291761104334</v>
      </c>
      <c r="K133" s="119">
        <f>'дод 2'!L24+'дод 2'!L206</f>
        <v>23000</v>
      </c>
      <c r="L133" s="119">
        <f>'дод 2'!M24+'дод 2'!M206</f>
        <v>23000</v>
      </c>
      <c r="M133" s="119">
        <f>'дод 2'!N24+'дод 2'!N206</f>
        <v>0</v>
      </c>
      <c r="N133" s="119">
        <f>'дод 2'!O24+'дод 2'!O206</f>
        <v>0</v>
      </c>
      <c r="O133" s="119">
        <f>'дод 2'!P24+'дод 2'!P206</f>
        <v>0</v>
      </c>
      <c r="P133" s="119">
        <f>'дод 2'!Q24+'дод 2'!Q206</f>
        <v>23000</v>
      </c>
      <c r="Q133" s="119">
        <f>'дод 2'!R24+'дод 2'!R206</f>
        <v>22315</v>
      </c>
      <c r="R133" s="119">
        <f>'дод 2'!S24+'дод 2'!S206</f>
        <v>22315</v>
      </c>
      <c r="S133" s="119">
        <f>'дод 2'!T24+'дод 2'!T206</f>
        <v>0</v>
      </c>
      <c r="T133" s="119">
        <f>'дод 2'!U24+'дод 2'!U206</f>
        <v>0</v>
      </c>
      <c r="U133" s="119">
        <f>'дод 2'!V24+'дод 2'!V206</f>
        <v>0</v>
      </c>
      <c r="V133" s="119">
        <f>'дод 2'!W24+'дод 2'!W206</f>
        <v>22315</v>
      </c>
      <c r="W133" s="164">
        <f t="shared" si="24"/>
        <v>97.021739130434781</v>
      </c>
      <c r="X133" s="119">
        <f>'дод 2'!Y24+'дод 2'!Y206</f>
        <v>4100920.1899999995</v>
      </c>
      <c r="Y133" s="187"/>
      <c r="Z133" s="167"/>
    </row>
    <row r="134" spans="1:26" s="5" customFormat="1" ht="24" customHeight="1" x14ac:dyDescent="0.25">
      <c r="A134" s="99" t="s">
        <v>383</v>
      </c>
      <c r="B134" s="99" t="s">
        <v>104</v>
      </c>
      <c r="C134" s="7" t="s">
        <v>385</v>
      </c>
      <c r="D134" s="119">
        <f>'дод 2'!E25+'дод 2'!E207</f>
        <v>2830500</v>
      </c>
      <c r="E134" s="119">
        <f>'дод 2'!F25+'дод 2'!F207</f>
        <v>0</v>
      </c>
      <c r="F134" s="119">
        <f>'дод 2'!G25+'дод 2'!G207</f>
        <v>0</v>
      </c>
      <c r="G134" s="119">
        <f>'дод 2'!H25+'дод 2'!H207</f>
        <v>2607411.3199999998</v>
      </c>
      <c r="H134" s="119">
        <f>'дод 2'!I25+'дод 2'!I207</f>
        <v>0</v>
      </c>
      <c r="I134" s="119">
        <f>'дод 2'!J25+'дод 2'!J207</f>
        <v>0</v>
      </c>
      <c r="J134" s="164">
        <f t="shared" si="23"/>
        <v>92.118400282635577</v>
      </c>
      <c r="K134" s="119">
        <f>'дод 2'!L25+'дод 2'!L207</f>
        <v>0</v>
      </c>
      <c r="L134" s="119">
        <f>'дод 2'!M25+'дод 2'!M207</f>
        <v>0</v>
      </c>
      <c r="M134" s="119">
        <f>'дод 2'!N25+'дод 2'!N207</f>
        <v>0</v>
      </c>
      <c r="N134" s="119">
        <f>'дод 2'!O25+'дод 2'!O207</f>
        <v>0</v>
      </c>
      <c r="O134" s="119">
        <f>'дод 2'!P25+'дод 2'!P207</f>
        <v>0</v>
      </c>
      <c r="P134" s="119">
        <f>'дод 2'!Q25+'дод 2'!Q207</f>
        <v>0</v>
      </c>
      <c r="Q134" s="119">
        <f>'дод 2'!R25+'дод 2'!R207</f>
        <v>0</v>
      </c>
      <c r="R134" s="119">
        <f>'дод 2'!S25+'дод 2'!S207</f>
        <v>0</v>
      </c>
      <c r="S134" s="119">
        <f>'дод 2'!T25+'дод 2'!T207</f>
        <v>0</v>
      </c>
      <c r="T134" s="119">
        <f>'дод 2'!U25+'дод 2'!U207</f>
        <v>0</v>
      </c>
      <c r="U134" s="119">
        <f>'дод 2'!V25+'дод 2'!V207</f>
        <v>0</v>
      </c>
      <c r="V134" s="119">
        <f>'дод 2'!W25+'дод 2'!W207</f>
        <v>0</v>
      </c>
      <c r="W134" s="164"/>
      <c r="X134" s="119">
        <f>'дод 2'!Y25+'дод 2'!Y207</f>
        <v>2607411.3199999998</v>
      </c>
      <c r="Y134" s="187"/>
      <c r="Z134" s="167"/>
    </row>
    <row r="135" spans="1:26" s="12" customFormat="1" ht="21.75" customHeight="1" x14ac:dyDescent="0.25">
      <c r="A135" s="100" t="s">
        <v>107</v>
      </c>
      <c r="B135" s="103"/>
      <c r="C135" s="6" t="s">
        <v>108</v>
      </c>
      <c r="D135" s="118">
        <f>D136+D137+D138+D139+D140+D141</f>
        <v>35983080</v>
      </c>
      <c r="E135" s="118">
        <f t="shared" ref="E135:X135" si="26">E136+E137+E138+E139+E140+E141</f>
        <v>13017594</v>
      </c>
      <c r="F135" s="118">
        <f t="shared" si="26"/>
        <v>1422229</v>
      </c>
      <c r="G135" s="118">
        <f>G136+G137+G138+G139+G140+G141</f>
        <v>35109045.350000001</v>
      </c>
      <c r="H135" s="118">
        <f t="shared" si="26"/>
        <v>13015834.499999998</v>
      </c>
      <c r="I135" s="118">
        <f t="shared" si="26"/>
        <v>1265769.4300000002</v>
      </c>
      <c r="J135" s="135">
        <f t="shared" si="23"/>
        <v>97.570984334859617</v>
      </c>
      <c r="K135" s="118">
        <f t="shared" si="26"/>
        <v>1734389</v>
      </c>
      <c r="L135" s="118">
        <f t="shared" si="26"/>
        <v>1484000</v>
      </c>
      <c r="M135" s="118">
        <f t="shared" si="26"/>
        <v>250389</v>
      </c>
      <c r="N135" s="118">
        <f t="shared" si="26"/>
        <v>158895</v>
      </c>
      <c r="O135" s="118">
        <f t="shared" si="26"/>
        <v>55055</v>
      </c>
      <c r="P135" s="118">
        <f t="shared" si="26"/>
        <v>1484000</v>
      </c>
      <c r="Q135" s="118">
        <f t="shared" si="26"/>
        <v>1636974.46</v>
      </c>
      <c r="R135" s="118">
        <f t="shared" si="26"/>
        <v>1463517.6600000001</v>
      </c>
      <c r="S135" s="118">
        <f t="shared" si="26"/>
        <v>173456.8</v>
      </c>
      <c r="T135" s="118">
        <f t="shared" si="26"/>
        <v>28050.69</v>
      </c>
      <c r="U135" s="118">
        <f t="shared" si="26"/>
        <v>17193.689999999999</v>
      </c>
      <c r="V135" s="118">
        <f t="shared" si="26"/>
        <v>1463517.6600000001</v>
      </c>
      <c r="W135" s="135">
        <f t="shared" si="24"/>
        <v>94.383351139796204</v>
      </c>
      <c r="X135" s="118">
        <f t="shared" si="26"/>
        <v>36746019.810000002</v>
      </c>
      <c r="Y135" s="187"/>
      <c r="Z135" s="167"/>
    </row>
    <row r="136" spans="1:26" s="5" customFormat="1" ht="36" customHeight="1" x14ac:dyDescent="0.25">
      <c r="A136" s="99" t="s">
        <v>109</v>
      </c>
      <c r="B136" s="99" t="s">
        <v>110</v>
      </c>
      <c r="C136" s="7" t="s">
        <v>36</v>
      </c>
      <c r="D136" s="119">
        <f>'дод 2'!E26</f>
        <v>860000</v>
      </c>
      <c r="E136" s="119">
        <f>'дод 2'!F26</f>
        <v>0</v>
      </c>
      <c r="F136" s="119">
        <f>'дод 2'!G26</f>
        <v>0</v>
      </c>
      <c r="G136" s="119">
        <f>'дод 2'!H26</f>
        <v>740373.39</v>
      </c>
      <c r="H136" s="119">
        <f>'дод 2'!I26</f>
        <v>0</v>
      </c>
      <c r="I136" s="119">
        <f>'дод 2'!J26</f>
        <v>0</v>
      </c>
      <c r="J136" s="164">
        <f t="shared" si="23"/>
        <v>86.08992906976745</v>
      </c>
      <c r="K136" s="119">
        <f>'дод 2'!L26</f>
        <v>0</v>
      </c>
      <c r="L136" s="119">
        <f>'дод 2'!M26</f>
        <v>0</v>
      </c>
      <c r="M136" s="119">
        <f>'дод 2'!N26</f>
        <v>0</v>
      </c>
      <c r="N136" s="119">
        <f>'дод 2'!O26</f>
        <v>0</v>
      </c>
      <c r="O136" s="119">
        <f>'дод 2'!P26</f>
        <v>0</v>
      </c>
      <c r="P136" s="119">
        <f>'дод 2'!Q26</f>
        <v>0</v>
      </c>
      <c r="Q136" s="119">
        <f>'дод 2'!R26</f>
        <v>0</v>
      </c>
      <c r="R136" s="119">
        <f>'дод 2'!S26</f>
        <v>0</v>
      </c>
      <c r="S136" s="119">
        <f>'дод 2'!T26</f>
        <v>0</v>
      </c>
      <c r="T136" s="119">
        <f>'дод 2'!U26</f>
        <v>0</v>
      </c>
      <c r="U136" s="119">
        <f>'дод 2'!V26</f>
        <v>0</v>
      </c>
      <c r="V136" s="119">
        <f>'дод 2'!W26</f>
        <v>0</v>
      </c>
      <c r="W136" s="164"/>
      <c r="X136" s="119">
        <f>'дод 2'!Y26</f>
        <v>740373.39</v>
      </c>
      <c r="Y136" s="187"/>
      <c r="Z136" s="167"/>
    </row>
    <row r="137" spans="1:26" s="5" customFormat="1" ht="39.75" customHeight="1" x14ac:dyDescent="0.25">
      <c r="A137" s="99" t="s">
        <v>111</v>
      </c>
      <c r="B137" s="99" t="s">
        <v>110</v>
      </c>
      <c r="C137" s="7" t="s">
        <v>27</v>
      </c>
      <c r="D137" s="119">
        <f>'дод 2'!E27</f>
        <v>1004500</v>
      </c>
      <c r="E137" s="119">
        <f>'дод 2'!F27</f>
        <v>0</v>
      </c>
      <c r="F137" s="119">
        <f>'дод 2'!G27</f>
        <v>0</v>
      </c>
      <c r="G137" s="119">
        <f>'дод 2'!H27</f>
        <v>919629.69</v>
      </c>
      <c r="H137" s="119">
        <f>'дод 2'!I27</f>
        <v>0</v>
      </c>
      <c r="I137" s="119">
        <f>'дод 2'!J27</f>
        <v>0</v>
      </c>
      <c r="J137" s="164">
        <f t="shared" si="23"/>
        <v>91.550989547038313</v>
      </c>
      <c r="K137" s="119">
        <f>'дод 2'!L27</f>
        <v>0</v>
      </c>
      <c r="L137" s="119">
        <f>'дод 2'!M27</f>
        <v>0</v>
      </c>
      <c r="M137" s="119">
        <f>'дод 2'!N27</f>
        <v>0</v>
      </c>
      <c r="N137" s="119">
        <f>'дод 2'!O27</f>
        <v>0</v>
      </c>
      <c r="O137" s="119">
        <f>'дод 2'!P27</f>
        <v>0</v>
      </c>
      <c r="P137" s="119">
        <f>'дод 2'!Q27</f>
        <v>0</v>
      </c>
      <c r="Q137" s="119">
        <f>'дод 2'!R27</f>
        <v>0</v>
      </c>
      <c r="R137" s="119">
        <f>'дод 2'!S27</f>
        <v>0</v>
      </c>
      <c r="S137" s="119">
        <f>'дод 2'!T27</f>
        <v>0</v>
      </c>
      <c r="T137" s="119">
        <f>'дод 2'!U27</f>
        <v>0</v>
      </c>
      <c r="U137" s="119">
        <f>'дод 2'!V27</f>
        <v>0</v>
      </c>
      <c r="V137" s="119">
        <f>'дод 2'!W27</f>
        <v>0</v>
      </c>
      <c r="W137" s="164"/>
      <c r="X137" s="119">
        <f>'дод 2'!Y27</f>
        <v>919629.69</v>
      </c>
      <c r="Y137" s="187"/>
      <c r="Z137" s="167"/>
    </row>
    <row r="138" spans="1:26" s="5" customFormat="1" ht="36.75" customHeight="1" x14ac:dyDescent="0.25">
      <c r="A138" s="99" t="s">
        <v>149</v>
      </c>
      <c r="B138" s="99" t="s">
        <v>110</v>
      </c>
      <c r="C138" s="7" t="s">
        <v>37</v>
      </c>
      <c r="D138" s="119">
        <f>'дод 2'!E74+'дод 2'!E28</f>
        <v>15079600</v>
      </c>
      <c r="E138" s="119">
        <f>'дод 2'!F74+'дод 2'!F28</f>
        <v>10920039</v>
      </c>
      <c r="F138" s="119">
        <f>'дод 2'!G74+'дод 2'!G28</f>
        <v>908324</v>
      </c>
      <c r="G138" s="119">
        <f>'дод 2'!H74+'дод 2'!H28</f>
        <v>14906994.52</v>
      </c>
      <c r="H138" s="119">
        <f>'дод 2'!I74+'дод 2'!I28</f>
        <v>10918356.469999999</v>
      </c>
      <c r="I138" s="119">
        <f>'дод 2'!J74+'дод 2'!J28</f>
        <v>811330.21000000008</v>
      </c>
      <c r="J138" s="164">
        <f t="shared" si="23"/>
        <v>98.855370964747067</v>
      </c>
      <c r="K138" s="119">
        <f>'дод 2'!L74+'дод 2'!L28</f>
        <v>550000</v>
      </c>
      <c r="L138" s="119">
        <f>'дод 2'!M74+'дод 2'!M28</f>
        <v>550000</v>
      </c>
      <c r="M138" s="119">
        <f>'дод 2'!N74+'дод 2'!N28</f>
        <v>0</v>
      </c>
      <c r="N138" s="119">
        <f>'дод 2'!O74+'дод 2'!O28</f>
        <v>0</v>
      </c>
      <c r="O138" s="119">
        <f>'дод 2'!P74+'дод 2'!P28</f>
        <v>0</v>
      </c>
      <c r="P138" s="119">
        <f>'дод 2'!Q74+'дод 2'!Q28</f>
        <v>550000</v>
      </c>
      <c r="Q138" s="119">
        <f>'дод 2'!R74+'дод 2'!R28</f>
        <v>621757.65999999992</v>
      </c>
      <c r="R138" s="119">
        <f>'дод 2'!S74+'дод 2'!S28</f>
        <v>529517.66</v>
      </c>
      <c r="S138" s="119">
        <f>'дод 2'!T74+'дод 2'!T28</f>
        <v>92240</v>
      </c>
      <c r="T138" s="119">
        <f>'дод 2'!U74+'дод 2'!U28</f>
        <v>0</v>
      </c>
      <c r="U138" s="119">
        <f>'дод 2'!V74+'дод 2'!V28</f>
        <v>0</v>
      </c>
      <c r="V138" s="119">
        <f>'дод 2'!W74+'дод 2'!W28</f>
        <v>529517.66</v>
      </c>
      <c r="W138" s="164">
        <f t="shared" si="24"/>
        <v>113.04684727272725</v>
      </c>
      <c r="X138" s="119">
        <f>'дод 2'!Y74+'дод 2'!Y28</f>
        <v>15528752.18</v>
      </c>
      <c r="Y138" s="187">
        <v>22</v>
      </c>
      <c r="Z138" s="167"/>
    </row>
    <row r="139" spans="1:26" s="5" customFormat="1" ht="39" customHeight="1" x14ac:dyDescent="0.25">
      <c r="A139" s="99" t="s">
        <v>150</v>
      </c>
      <c r="B139" s="99" t="s">
        <v>110</v>
      </c>
      <c r="C139" s="7" t="s">
        <v>38</v>
      </c>
      <c r="D139" s="119">
        <f>'дод 2'!E29</f>
        <v>9116300</v>
      </c>
      <c r="E139" s="119">
        <f>'дод 2'!F29</f>
        <v>0</v>
      </c>
      <c r="F139" s="119">
        <f>'дод 2'!G29</f>
        <v>0</v>
      </c>
      <c r="G139" s="119">
        <f>'дод 2'!H29</f>
        <v>9100729.6600000001</v>
      </c>
      <c r="H139" s="119">
        <f>'дод 2'!I29</f>
        <v>0</v>
      </c>
      <c r="I139" s="119">
        <f>'дод 2'!J29</f>
        <v>0</v>
      </c>
      <c r="J139" s="164">
        <f t="shared" si="23"/>
        <v>99.829203295196521</v>
      </c>
      <c r="K139" s="119">
        <f>'дод 2'!L29</f>
        <v>292000</v>
      </c>
      <c r="L139" s="119">
        <f>'дод 2'!M29</f>
        <v>292000</v>
      </c>
      <c r="M139" s="119">
        <f>'дод 2'!N29</f>
        <v>0</v>
      </c>
      <c r="N139" s="119">
        <f>'дод 2'!O29</f>
        <v>0</v>
      </c>
      <c r="O139" s="119">
        <f>'дод 2'!P29</f>
        <v>0</v>
      </c>
      <c r="P139" s="119">
        <f>'дод 2'!Q29</f>
        <v>292000</v>
      </c>
      <c r="Q139" s="119">
        <f>'дод 2'!R29</f>
        <v>292000</v>
      </c>
      <c r="R139" s="119">
        <f>'дод 2'!S29</f>
        <v>292000</v>
      </c>
      <c r="S139" s="119">
        <f>'дод 2'!T29</f>
        <v>0</v>
      </c>
      <c r="T139" s="119">
        <f>'дод 2'!U29</f>
        <v>0</v>
      </c>
      <c r="U139" s="119">
        <f>'дод 2'!V29</f>
        <v>0</v>
      </c>
      <c r="V139" s="119">
        <f>'дод 2'!W29</f>
        <v>292000</v>
      </c>
      <c r="W139" s="164">
        <f t="shared" si="24"/>
        <v>100</v>
      </c>
      <c r="X139" s="119">
        <f>'дод 2'!Y29</f>
        <v>9392729.6600000001</v>
      </c>
      <c r="Y139" s="187"/>
      <c r="Z139" s="167"/>
    </row>
    <row r="140" spans="1:26" s="5" customFormat="1" ht="52.5" customHeight="1" x14ac:dyDescent="0.25">
      <c r="A140" s="99" t="s">
        <v>145</v>
      </c>
      <c r="B140" s="99" t="s">
        <v>110</v>
      </c>
      <c r="C140" s="7" t="s">
        <v>146</v>
      </c>
      <c r="D140" s="119">
        <f>'дод 2'!E30</f>
        <v>3524500</v>
      </c>
      <c r="E140" s="119">
        <f>'дод 2'!F30</f>
        <v>2097555</v>
      </c>
      <c r="F140" s="119">
        <f>'дод 2'!G30</f>
        <v>513905</v>
      </c>
      <c r="G140" s="119">
        <f>'дод 2'!H30</f>
        <v>3457727.48</v>
      </c>
      <c r="H140" s="119">
        <f>'дод 2'!I30</f>
        <v>2097478.0299999998</v>
      </c>
      <c r="I140" s="119">
        <f>'дод 2'!J30</f>
        <v>454439.22</v>
      </c>
      <c r="J140" s="164">
        <f t="shared" si="23"/>
        <v>98.105475386579656</v>
      </c>
      <c r="K140" s="119">
        <f>'дод 2'!L30</f>
        <v>892389</v>
      </c>
      <c r="L140" s="119">
        <f>'дод 2'!M30</f>
        <v>642000</v>
      </c>
      <c r="M140" s="119">
        <f>'дод 2'!N30</f>
        <v>250389</v>
      </c>
      <c r="N140" s="119">
        <f>'дод 2'!O30</f>
        <v>158895</v>
      </c>
      <c r="O140" s="119">
        <f>'дод 2'!P30</f>
        <v>55055</v>
      </c>
      <c r="P140" s="119">
        <f>'дод 2'!Q30</f>
        <v>642000</v>
      </c>
      <c r="Q140" s="119">
        <f>'дод 2'!R30</f>
        <v>723216.8</v>
      </c>
      <c r="R140" s="119">
        <f>'дод 2'!S30</f>
        <v>642000</v>
      </c>
      <c r="S140" s="119">
        <f>'дод 2'!T30</f>
        <v>81216.800000000003</v>
      </c>
      <c r="T140" s="119">
        <f>'дод 2'!U30</f>
        <v>28050.69</v>
      </c>
      <c r="U140" s="119">
        <f>'дод 2'!V30</f>
        <v>17193.689999999999</v>
      </c>
      <c r="V140" s="119">
        <f>'дод 2'!W30</f>
        <v>642000</v>
      </c>
      <c r="W140" s="164">
        <f t="shared" si="24"/>
        <v>81.042773947236029</v>
      </c>
      <c r="X140" s="119">
        <f>'дод 2'!Y30</f>
        <v>4180944.2800000003</v>
      </c>
      <c r="Y140" s="187"/>
      <c r="Z140" s="167"/>
    </row>
    <row r="141" spans="1:26" s="5" customFormat="1" ht="49.5" customHeight="1" x14ac:dyDescent="0.25">
      <c r="A141" s="99" t="s">
        <v>148</v>
      </c>
      <c r="B141" s="99" t="s">
        <v>110</v>
      </c>
      <c r="C141" s="7" t="s">
        <v>147</v>
      </c>
      <c r="D141" s="119">
        <f>'дод 2'!E31</f>
        <v>6398180</v>
      </c>
      <c r="E141" s="119">
        <f>'дод 2'!F31</f>
        <v>0</v>
      </c>
      <c r="F141" s="119">
        <f>'дод 2'!G31</f>
        <v>0</v>
      </c>
      <c r="G141" s="119">
        <f>'дод 2'!H31</f>
        <v>5983590.6100000003</v>
      </c>
      <c r="H141" s="119">
        <f>'дод 2'!I31</f>
        <v>0</v>
      </c>
      <c r="I141" s="119">
        <f>'дод 2'!J31</f>
        <v>0</v>
      </c>
      <c r="J141" s="164">
        <f t="shared" ref="J141:J204" si="27">G141/D141*100</f>
        <v>93.520198087581164</v>
      </c>
      <c r="K141" s="119">
        <f>'дод 2'!L31</f>
        <v>0</v>
      </c>
      <c r="L141" s="119">
        <f>'дод 2'!M31</f>
        <v>0</v>
      </c>
      <c r="M141" s="119">
        <f>'дод 2'!N31</f>
        <v>0</v>
      </c>
      <c r="N141" s="119">
        <f>'дод 2'!O31</f>
        <v>0</v>
      </c>
      <c r="O141" s="119">
        <f>'дод 2'!P31</f>
        <v>0</v>
      </c>
      <c r="P141" s="119">
        <f>'дод 2'!Q31</f>
        <v>0</v>
      </c>
      <c r="Q141" s="119">
        <f>'дод 2'!R31</f>
        <v>0</v>
      </c>
      <c r="R141" s="119">
        <f>'дод 2'!S31</f>
        <v>0</v>
      </c>
      <c r="S141" s="119">
        <f>'дод 2'!T31</f>
        <v>0</v>
      </c>
      <c r="T141" s="119">
        <f>'дод 2'!U31</f>
        <v>0</v>
      </c>
      <c r="U141" s="119">
        <f>'дод 2'!V31</f>
        <v>0</v>
      </c>
      <c r="V141" s="119">
        <f>'дод 2'!W31</f>
        <v>0</v>
      </c>
      <c r="W141" s="164"/>
      <c r="X141" s="119">
        <f>'дод 2'!Y31</f>
        <v>5983590.6100000003</v>
      </c>
      <c r="Y141" s="187"/>
      <c r="Z141" s="167"/>
    </row>
    <row r="142" spans="1:26" s="12" customFormat="1" ht="27" customHeight="1" x14ac:dyDescent="0.25">
      <c r="A142" s="100" t="s">
        <v>95</v>
      </c>
      <c r="B142" s="103"/>
      <c r="C142" s="6" t="s">
        <v>96</v>
      </c>
      <c r="D142" s="118">
        <f>D144+D145+D146+D147+D148+D149+D150+D151+D153+D154+D156+D157</f>
        <v>248851294.55000001</v>
      </c>
      <c r="E142" s="118">
        <f t="shared" ref="E142:X142" si="28">E144+E145+E146+E147+E148+E149+E150+E151+E153+E154+E156+E157</f>
        <v>0</v>
      </c>
      <c r="F142" s="118">
        <f t="shared" si="28"/>
        <v>26305297.59</v>
      </c>
      <c r="G142" s="118">
        <f>G144+G145+G146+G147+G148+G149+G150+G151+G153+G154+G156+G157</f>
        <v>245294006.21000001</v>
      </c>
      <c r="H142" s="118">
        <f t="shared" ref="H142:I142" si="29">H144+H145+H146+H147+H148+H149+H150+H151+H153+H154+H156+H157</f>
        <v>0</v>
      </c>
      <c r="I142" s="118">
        <f t="shared" si="29"/>
        <v>25972594.940000001</v>
      </c>
      <c r="J142" s="135">
        <f t="shared" si="27"/>
        <v>98.570516441783965</v>
      </c>
      <c r="K142" s="118">
        <f t="shared" si="28"/>
        <v>173462097.84</v>
      </c>
      <c r="L142" s="118">
        <f t="shared" si="28"/>
        <v>173411414.03</v>
      </c>
      <c r="M142" s="118">
        <f t="shared" si="28"/>
        <v>0</v>
      </c>
      <c r="N142" s="118">
        <f t="shared" si="28"/>
        <v>0</v>
      </c>
      <c r="O142" s="118">
        <f t="shared" si="28"/>
        <v>0</v>
      </c>
      <c r="P142" s="118">
        <f t="shared" si="28"/>
        <v>173462097.84</v>
      </c>
      <c r="Q142" s="118">
        <f t="shared" ref="Q142:V142" si="30">Q144+Q145+Q146+Q147+Q148+Q149+Q150+Q151+Q153+Q154+Q156+Q157</f>
        <v>139097559.90000001</v>
      </c>
      <c r="R142" s="118">
        <f t="shared" si="30"/>
        <v>139053422.94</v>
      </c>
      <c r="S142" s="118">
        <f t="shared" si="30"/>
        <v>0</v>
      </c>
      <c r="T142" s="118">
        <f t="shared" si="30"/>
        <v>0</v>
      </c>
      <c r="U142" s="118">
        <f t="shared" si="30"/>
        <v>0</v>
      </c>
      <c r="V142" s="118">
        <f t="shared" si="30"/>
        <v>139097559.90000001</v>
      </c>
      <c r="W142" s="135">
        <f t="shared" ref="W142:W205" si="31">Q142/K142*100</f>
        <v>80.189022058468609</v>
      </c>
      <c r="X142" s="118">
        <f t="shared" si="28"/>
        <v>384391566.11000001</v>
      </c>
      <c r="Y142" s="187"/>
      <c r="Z142" s="167"/>
    </row>
    <row r="143" spans="1:26" s="12" customFormat="1" ht="15.75" x14ac:dyDescent="0.25">
      <c r="A143" s="100"/>
      <c r="B143" s="103"/>
      <c r="C143" s="6" t="s">
        <v>342</v>
      </c>
      <c r="D143" s="118">
        <f>D152+D155</f>
        <v>0</v>
      </c>
      <c r="E143" s="118">
        <f t="shared" ref="E143:X143" si="32">E152+E155</f>
        <v>0</v>
      </c>
      <c r="F143" s="118">
        <f t="shared" si="32"/>
        <v>0</v>
      </c>
      <c r="G143" s="118">
        <f>G152+G155</f>
        <v>0</v>
      </c>
      <c r="H143" s="118">
        <f t="shared" ref="H143:I143" si="33">H152+H155</f>
        <v>0</v>
      </c>
      <c r="I143" s="118">
        <f t="shared" si="33"/>
        <v>0</v>
      </c>
      <c r="J143" s="135"/>
      <c r="K143" s="118">
        <f t="shared" si="32"/>
        <v>1033788</v>
      </c>
      <c r="L143" s="118">
        <f t="shared" si="32"/>
        <v>1033788</v>
      </c>
      <c r="M143" s="118">
        <f t="shared" si="32"/>
        <v>0</v>
      </c>
      <c r="N143" s="118">
        <f t="shared" si="32"/>
        <v>0</v>
      </c>
      <c r="O143" s="118">
        <f t="shared" si="32"/>
        <v>0</v>
      </c>
      <c r="P143" s="118">
        <f t="shared" si="32"/>
        <v>1033788</v>
      </c>
      <c r="Q143" s="118">
        <f t="shared" ref="Q143:V143" si="34">Q152+Q155</f>
        <v>1033788</v>
      </c>
      <c r="R143" s="118">
        <f t="shared" si="34"/>
        <v>1033788</v>
      </c>
      <c r="S143" s="118">
        <f t="shared" si="34"/>
        <v>0</v>
      </c>
      <c r="T143" s="118">
        <f t="shared" si="34"/>
        <v>0</v>
      </c>
      <c r="U143" s="118">
        <f t="shared" si="34"/>
        <v>0</v>
      </c>
      <c r="V143" s="118">
        <f t="shared" si="34"/>
        <v>1033788</v>
      </c>
      <c r="W143" s="135">
        <f t="shared" si="31"/>
        <v>100</v>
      </c>
      <c r="X143" s="118">
        <f t="shared" si="32"/>
        <v>1033788</v>
      </c>
      <c r="Y143" s="187"/>
      <c r="Z143" s="167"/>
    </row>
    <row r="144" spans="1:26" s="5" customFormat="1" ht="33.75" customHeight="1" x14ac:dyDescent="0.25">
      <c r="A144" s="99" t="s">
        <v>171</v>
      </c>
      <c r="B144" s="99" t="s">
        <v>97</v>
      </c>
      <c r="C144" s="7" t="s">
        <v>172</v>
      </c>
      <c r="D144" s="119">
        <f>'дод 2'!E216</f>
        <v>0</v>
      </c>
      <c r="E144" s="119">
        <f>'дод 2'!F216</f>
        <v>0</v>
      </c>
      <c r="F144" s="119">
        <f>'дод 2'!G216</f>
        <v>0</v>
      </c>
      <c r="G144" s="119">
        <f>'дод 2'!H216</f>
        <v>0</v>
      </c>
      <c r="H144" s="119">
        <f>'дод 2'!I216</f>
        <v>0</v>
      </c>
      <c r="I144" s="119">
        <f>'дод 2'!J216</f>
        <v>0</v>
      </c>
      <c r="J144" s="135"/>
      <c r="K144" s="119">
        <f>'дод 2'!L216</f>
        <v>29229250</v>
      </c>
      <c r="L144" s="119">
        <f>'дод 2'!M216</f>
        <v>29229250</v>
      </c>
      <c r="M144" s="119">
        <f>'дод 2'!N216</f>
        <v>0</v>
      </c>
      <c r="N144" s="119">
        <f>'дод 2'!O216</f>
        <v>0</v>
      </c>
      <c r="O144" s="119">
        <f>'дод 2'!P216</f>
        <v>0</v>
      </c>
      <c r="P144" s="119">
        <f>'дод 2'!Q216</f>
        <v>29229250</v>
      </c>
      <c r="Q144" s="119">
        <f>'дод 2'!R216</f>
        <v>19711648.140000001</v>
      </c>
      <c r="R144" s="119">
        <f>'дод 2'!S216</f>
        <v>19711648.140000001</v>
      </c>
      <c r="S144" s="119">
        <f>'дод 2'!T216</f>
        <v>0</v>
      </c>
      <c r="T144" s="119">
        <f>'дод 2'!U216</f>
        <v>0</v>
      </c>
      <c r="U144" s="119">
        <f>'дод 2'!V216</f>
        <v>0</v>
      </c>
      <c r="V144" s="119">
        <f>'дод 2'!W216</f>
        <v>19711648.140000001</v>
      </c>
      <c r="W144" s="164">
        <f t="shared" si="31"/>
        <v>67.438090748137569</v>
      </c>
      <c r="X144" s="119">
        <f>'дод 2'!Y216</f>
        <v>19711648.140000001</v>
      </c>
      <c r="Y144" s="187"/>
      <c r="Z144" s="167"/>
    </row>
    <row r="145" spans="1:26" s="5" customFormat="1" ht="36.75" customHeight="1" x14ac:dyDescent="0.25">
      <c r="A145" s="99" t="s">
        <v>173</v>
      </c>
      <c r="B145" s="99" t="s">
        <v>99</v>
      </c>
      <c r="C145" s="7" t="s">
        <v>199</v>
      </c>
      <c r="D145" s="119">
        <f>'дод 2'!E217</f>
        <v>52042357.600000001</v>
      </c>
      <c r="E145" s="119">
        <f>'дод 2'!F217</f>
        <v>0</v>
      </c>
      <c r="F145" s="119">
        <f>'дод 2'!G217</f>
        <v>15000</v>
      </c>
      <c r="G145" s="119">
        <f>'дод 2'!H217</f>
        <v>51012566.630000003</v>
      </c>
      <c r="H145" s="119">
        <f>'дод 2'!I217</f>
        <v>0</v>
      </c>
      <c r="I145" s="119">
        <f>'дод 2'!J217</f>
        <v>0</v>
      </c>
      <c r="J145" s="164">
        <f t="shared" si="27"/>
        <v>98.021244583277678</v>
      </c>
      <c r="K145" s="119">
        <f>'дод 2'!L217</f>
        <v>50000</v>
      </c>
      <c r="L145" s="119">
        <f>'дод 2'!M217</f>
        <v>50000</v>
      </c>
      <c r="M145" s="119">
        <f>'дод 2'!N217</f>
        <v>0</v>
      </c>
      <c r="N145" s="119">
        <f>'дод 2'!O217</f>
        <v>0</v>
      </c>
      <c r="O145" s="119">
        <f>'дод 2'!P217</f>
        <v>0</v>
      </c>
      <c r="P145" s="119">
        <f>'дод 2'!Q217</f>
        <v>50000</v>
      </c>
      <c r="Q145" s="119">
        <f>'дод 2'!R217</f>
        <v>0</v>
      </c>
      <c r="R145" s="119">
        <f>'дод 2'!S217</f>
        <v>0</v>
      </c>
      <c r="S145" s="119">
        <f>'дод 2'!T217</f>
        <v>0</v>
      </c>
      <c r="T145" s="119">
        <f>'дод 2'!U217</f>
        <v>0</v>
      </c>
      <c r="U145" s="119">
        <f>'дод 2'!V217</f>
        <v>0</v>
      </c>
      <c r="V145" s="119">
        <f>'дод 2'!W217</f>
        <v>0</v>
      </c>
      <c r="W145" s="164">
        <f t="shared" si="31"/>
        <v>0</v>
      </c>
      <c r="X145" s="119">
        <f>'дод 2'!Y217</f>
        <v>51012566.630000003</v>
      </c>
      <c r="Y145" s="187"/>
      <c r="Z145" s="167"/>
    </row>
    <row r="146" spans="1:26" s="5" customFormat="1" ht="36.75" customHeight="1" x14ac:dyDescent="0.25">
      <c r="A146" s="102" t="s">
        <v>334</v>
      </c>
      <c r="B146" s="102" t="s">
        <v>99</v>
      </c>
      <c r="C146" s="7" t="s">
        <v>335</v>
      </c>
      <c r="D146" s="119">
        <f>'дод 2'!E218</f>
        <v>535300</v>
      </c>
      <c r="E146" s="119">
        <f>'дод 2'!F218</f>
        <v>0</v>
      </c>
      <c r="F146" s="119">
        <f>'дод 2'!G218</f>
        <v>0</v>
      </c>
      <c r="G146" s="119">
        <f>'дод 2'!H218</f>
        <v>272192.53999999998</v>
      </c>
      <c r="H146" s="119">
        <f>'дод 2'!I218</f>
        <v>0</v>
      </c>
      <c r="I146" s="119">
        <f>'дод 2'!J218</f>
        <v>0</v>
      </c>
      <c r="J146" s="164">
        <f t="shared" si="27"/>
        <v>50.848597048384079</v>
      </c>
      <c r="K146" s="119">
        <f>'дод 2'!L218</f>
        <v>19775000</v>
      </c>
      <c r="L146" s="119">
        <f>'дод 2'!M218</f>
        <v>19775000</v>
      </c>
      <c r="M146" s="119">
        <f>'дод 2'!N218</f>
        <v>0</v>
      </c>
      <c r="N146" s="119">
        <f>'дод 2'!O218</f>
        <v>0</v>
      </c>
      <c r="O146" s="119">
        <f>'дод 2'!P218</f>
        <v>0</v>
      </c>
      <c r="P146" s="119">
        <f>'дод 2'!Q218</f>
        <v>19775000</v>
      </c>
      <c r="Q146" s="119">
        <f>'дод 2'!R218</f>
        <v>12903834.34</v>
      </c>
      <c r="R146" s="119">
        <f>'дод 2'!S218</f>
        <v>12903834.34</v>
      </c>
      <c r="S146" s="119">
        <f>'дод 2'!T218</f>
        <v>0</v>
      </c>
      <c r="T146" s="119">
        <f>'дод 2'!U218</f>
        <v>0</v>
      </c>
      <c r="U146" s="119">
        <f>'дод 2'!V218</f>
        <v>0</v>
      </c>
      <c r="V146" s="119">
        <f>'дод 2'!W218</f>
        <v>12903834.34</v>
      </c>
      <c r="W146" s="164">
        <f t="shared" si="31"/>
        <v>65.253270998735786</v>
      </c>
      <c r="X146" s="119">
        <f>'дод 2'!Y218</f>
        <v>13176026.879999999</v>
      </c>
      <c r="Y146" s="187"/>
      <c r="Z146" s="167"/>
    </row>
    <row r="147" spans="1:26" s="5" customFormat="1" ht="46.5" customHeight="1" x14ac:dyDescent="0.25">
      <c r="A147" s="102" t="s">
        <v>501</v>
      </c>
      <c r="B147" s="102" t="s">
        <v>99</v>
      </c>
      <c r="C147" s="7" t="s">
        <v>502</v>
      </c>
      <c r="D147" s="119">
        <f>'дод 2'!E219</f>
        <v>0</v>
      </c>
      <c r="E147" s="119">
        <f>'дод 2'!F219</f>
        <v>0</v>
      </c>
      <c r="F147" s="119">
        <f>'дод 2'!G219</f>
        <v>0</v>
      </c>
      <c r="G147" s="119">
        <f>'дод 2'!H219</f>
        <v>0</v>
      </c>
      <c r="H147" s="119">
        <f>'дод 2'!I219</f>
        <v>0</v>
      </c>
      <c r="I147" s="119">
        <f>'дод 2'!J219</f>
        <v>0</v>
      </c>
      <c r="J147" s="135"/>
      <c r="K147" s="119">
        <f>'дод 2'!L219</f>
        <v>1166130</v>
      </c>
      <c r="L147" s="119">
        <f>'дод 2'!M219</f>
        <v>1166130</v>
      </c>
      <c r="M147" s="119">
        <f>'дод 2'!N219</f>
        <v>0</v>
      </c>
      <c r="N147" s="119">
        <f>'дод 2'!O219</f>
        <v>0</v>
      </c>
      <c r="O147" s="119">
        <f>'дод 2'!P219</f>
        <v>0</v>
      </c>
      <c r="P147" s="119">
        <f>'дод 2'!Q219</f>
        <v>1166130</v>
      </c>
      <c r="Q147" s="119">
        <f>'дод 2'!R219</f>
        <v>1123089.51</v>
      </c>
      <c r="R147" s="119">
        <f>'дод 2'!S219</f>
        <v>1123089.51</v>
      </c>
      <c r="S147" s="119">
        <f>'дод 2'!T219</f>
        <v>0</v>
      </c>
      <c r="T147" s="119">
        <f>'дод 2'!U219</f>
        <v>0</v>
      </c>
      <c r="U147" s="119">
        <f>'дод 2'!V219</f>
        <v>0</v>
      </c>
      <c r="V147" s="119">
        <f>'дод 2'!W219</f>
        <v>1123089.51</v>
      </c>
      <c r="W147" s="164">
        <f t="shared" si="31"/>
        <v>96.309117336832088</v>
      </c>
      <c r="X147" s="119">
        <f>'дод 2'!Y219</f>
        <v>1123089.51</v>
      </c>
      <c r="Y147" s="187"/>
      <c r="Z147" s="167"/>
    </row>
    <row r="148" spans="1:26" s="5" customFormat="1" ht="33" customHeight="1" x14ac:dyDescent="0.25">
      <c r="A148" s="99" t="s">
        <v>337</v>
      </c>
      <c r="B148" s="99" t="s">
        <v>99</v>
      </c>
      <c r="C148" s="7" t="s">
        <v>338</v>
      </c>
      <c r="D148" s="119">
        <f>'дод 2'!E220</f>
        <v>50000</v>
      </c>
      <c r="E148" s="119">
        <f>'дод 2'!F220</f>
        <v>0</v>
      </c>
      <c r="F148" s="119">
        <f>'дод 2'!G220</f>
        <v>0</v>
      </c>
      <c r="G148" s="119">
        <f>'дод 2'!H220</f>
        <v>48576.12</v>
      </c>
      <c r="H148" s="119">
        <f>'дод 2'!I220</f>
        <v>0</v>
      </c>
      <c r="I148" s="119">
        <f>'дод 2'!J220</f>
        <v>0</v>
      </c>
      <c r="J148" s="164">
        <f t="shared" si="27"/>
        <v>97.152240000000006</v>
      </c>
      <c r="K148" s="119">
        <f>'дод 2'!L220</f>
        <v>0</v>
      </c>
      <c r="L148" s="119">
        <f>'дод 2'!M220</f>
        <v>0</v>
      </c>
      <c r="M148" s="119">
        <f>'дод 2'!N220</f>
        <v>0</v>
      </c>
      <c r="N148" s="119">
        <f>'дод 2'!O220</f>
        <v>0</v>
      </c>
      <c r="O148" s="119">
        <f>'дод 2'!P220</f>
        <v>0</v>
      </c>
      <c r="P148" s="119">
        <f>'дод 2'!Q220</f>
        <v>0</v>
      </c>
      <c r="Q148" s="119">
        <f>'дод 2'!R220</f>
        <v>0</v>
      </c>
      <c r="R148" s="119">
        <f>'дод 2'!S220</f>
        <v>0</v>
      </c>
      <c r="S148" s="119">
        <f>'дод 2'!T220</f>
        <v>0</v>
      </c>
      <c r="T148" s="119">
        <f>'дод 2'!U220</f>
        <v>0</v>
      </c>
      <c r="U148" s="119">
        <f>'дод 2'!V220</f>
        <v>0</v>
      </c>
      <c r="V148" s="119">
        <f>'дод 2'!W220</f>
        <v>0</v>
      </c>
      <c r="W148" s="164"/>
      <c r="X148" s="119">
        <f>'дод 2'!Y220</f>
        <v>48576.12</v>
      </c>
      <c r="Y148" s="187"/>
      <c r="Z148" s="167"/>
    </row>
    <row r="149" spans="1:26" s="5" customFormat="1" ht="52.5" customHeight="1" x14ac:dyDescent="0.25">
      <c r="A149" s="99" t="s">
        <v>98</v>
      </c>
      <c r="B149" s="99" t="s">
        <v>99</v>
      </c>
      <c r="C149" s="7" t="s">
        <v>176</v>
      </c>
      <c r="D149" s="119">
        <f>'дод 2'!E221</f>
        <v>4721226.95</v>
      </c>
      <c r="E149" s="119">
        <f>'дод 2'!F221</f>
        <v>0</v>
      </c>
      <c r="F149" s="119">
        <f>'дод 2'!G221</f>
        <v>0</v>
      </c>
      <c r="G149" s="119">
        <f>'дод 2'!H221</f>
        <v>4703282.82</v>
      </c>
      <c r="H149" s="119">
        <f>'дод 2'!I221</f>
        <v>0</v>
      </c>
      <c r="I149" s="119">
        <f>'дод 2'!J221</f>
        <v>0</v>
      </c>
      <c r="J149" s="164">
        <f t="shared" si="27"/>
        <v>99.619926553202447</v>
      </c>
      <c r="K149" s="119">
        <f>'дод 2'!L221</f>
        <v>0</v>
      </c>
      <c r="L149" s="119">
        <f>'дод 2'!M221</f>
        <v>0</v>
      </c>
      <c r="M149" s="119">
        <f>'дод 2'!N221</f>
        <v>0</v>
      </c>
      <c r="N149" s="119">
        <f>'дод 2'!O221</f>
        <v>0</v>
      </c>
      <c r="O149" s="119">
        <f>'дод 2'!P221</f>
        <v>0</v>
      </c>
      <c r="P149" s="119">
        <f>'дод 2'!Q221</f>
        <v>0</v>
      </c>
      <c r="Q149" s="119">
        <f>'дод 2'!R221</f>
        <v>0</v>
      </c>
      <c r="R149" s="119">
        <f>'дод 2'!S221</f>
        <v>0</v>
      </c>
      <c r="S149" s="119">
        <f>'дод 2'!T221</f>
        <v>0</v>
      </c>
      <c r="T149" s="119">
        <f>'дод 2'!U221</f>
        <v>0</v>
      </c>
      <c r="U149" s="119">
        <f>'дод 2'!V221</f>
        <v>0</v>
      </c>
      <c r="V149" s="119">
        <f>'дод 2'!W221</f>
        <v>0</v>
      </c>
      <c r="W149" s="164"/>
      <c r="X149" s="119">
        <f>'дод 2'!Y221</f>
        <v>4703282.82</v>
      </c>
      <c r="Y149" s="187"/>
      <c r="Z149" s="167"/>
    </row>
    <row r="150" spans="1:26" ht="30" customHeight="1" x14ac:dyDescent="0.25">
      <c r="A150" s="99" t="s">
        <v>174</v>
      </c>
      <c r="B150" s="99" t="s">
        <v>99</v>
      </c>
      <c r="C150" s="7" t="s">
        <v>175</v>
      </c>
      <c r="D150" s="119">
        <f>'дод 2'!E222+'дод 2'!E250</f>
        <v>186953820</v>
      </c>
      <c r="E150" s="119">
        <f>'дод 2'!F222+'дод 2'!F250</f>
        <v>0</v>
      </c>
      <c r="F150" s="119">
        <f>'дод 2'!G222+'дод 2'!G250</f>
        <v>26250297.59</v>
      </c>
      <c r="G150" s="119">
        <f>'дод 2'!H222+'дод 2'!H250</f>
        <v>185081957.31</v>
      </c>
      <c r="H150" s="119">
        <f>'дод 2'!I222+'дод 2'!I250</f>
        <v>0</v>
      </c>
      <c r="I150" s="119">
        <f>'дод 2'!J222+'дод 2'!J250</f>
        <v>25948735.280000001</v>
      </c>
      <c r="J150" s="164">
        <f t="shared" si="27"/>
        <v>98.998756650171686</v>
      </c>
      <c r="K150" s="119">
        <f>'дод 2'!L222+'дод 2'!L250</f>
        <v>121775865.63</v>
      </c>
      <c r="L150" s="119">
        <f>'дод 2'!M222+'дод 2'!M250</f>
        <v>121775865.63</v>
      </c>
      <c r="M150" s="119">
        <f>'дод 2'!N222+'дод 2'!N250</f>
        <v>0</v>
      </c>
      <c r="N150" s="119">
        <f>'дод 2'!O222+'дод 2'!O250</f>
        <v>0</v>
      </c>
      <c r="O150" s="119">
        <f>'дод 2'!P222+'дод 2'!P250</f>
        <v>0</v>
      </c>
      <c r="P150" s="119">
        <f>'дод 2'!Q222+'дод 2'!Q250</f>
        <v>121775865.63</v>
      </c>
      <c r="Q150" s="119">
        <f>'дод 2'!R222+'дод 2'!R250</f>
        <v>103989912.95</v>
      </c>
      <c r="R150" s="119">
        <f>'дод 2'!S222+'дод 2'!S250</f>
        <v>103989912.95</v>
      </c>
      <c r="S150" s="119">
        <f>'дод 2'!T222+'дод 2'!T250</f>
        <v>0</v>
      </c>
      <c r="T150" s="119">
        <f>'дод 2'!U222+'дод 2'!U250</f>
        <v>0</v>
      </c>
      <c r="U150" s="119">
        <f>'дод 2'!V222+'дод 2'!V250</f>
        <v>0</v>
      </c>
      <c r="V150" s="119">
        <f>'дод 2'!W222+'дод 2'!W250</f>
        <v>103989912.95</v>
      </c>
      <c r="W150" s="164">
        <f t="shared" si="31"/>
        <v>85.394517552402149</v>
      </c>
      <c r="X150" s="119">
        <f>'дод 2'!Y222+'дод 2'!Y250</f>
        <v>289071870.25999999</v>
      </c>
      <c r="Y150" s="187"/>
      <c r="Z150" s="167"/>
    </row>
    <row r="151" spans="1:26" s="5" customFormat="1" ht="208.5" hidden="1" customHeight="1" x14ac:dyDescent="0.25">
      <c r="A151" s="99" t="s">
        <v>522</v>
      </c>
      <c r="B151" s="99" t="s">
        <v>405</v>
      </c>
      <c r="C151" s="7" t="s">
        <v>523</v>
      </c>
      <c r="D151" s="119">
        <f>'дод 2'!E224</f>
        <v>0</v>
      </c>
      <c r="E151" s="119">
        <f>'дод 2'!F224</f>
        <v>0</v>
      </c>
      <c r="F151" s="119">
        <f>'дод 2'!G224</f>
        <v>0</v>
      </c>
      <c r="G151" s="119">
        <f>'дод 2'!H224</f>
        <v>0</v>
      </c>
      <c r="H151" s="119">
        <f>'дод 2'!I224</f>
        <v>0</v>
      </c>
      <c r="I151" s="119">
        <f>'дод 2'!J224</f>
        <v>0</v>
      </c>
      <c r="J151" s="135" t="e">
        <f t="shared" si="27"/>
        <v>#DIV/0!</v>
      </c>
      <c r="K151" s="119">
        <f>'дод 2'!L224</f>
        <v>0</v>
      </c>
      <c r="L151" s="119">
        <f>'дод 2'!M224</f>
        <v>0</v>
      </c>
      <c r="M151" s="119">
        <f>'дод 2'!N224</f>
        <v>0</v>
      </c>
      <c r="N151" s="119">
        <f>'дод 2'!O224</f>
        <v>0</v>
      </c>
      <c r="O151" s="119">
        <f>'дод 2'!P224</f>
        <v>0</v>
      </c>
      <c r="P151" s="119">
        <f>'дод 2'!Q224</f>
        <v>0</v>
      </c>
      <c r="Q151" s="119">
        <f>'дод 2'!R224</f>
        <v>0</v>
      </c>
      <c r="R151" s="119">
        <f>'дод 2'!S224</f>
        <v>0</v>
      </c>
      <c r="S151" s="119">
        <f>'дод 2'!T224</f>
        <v>0</v>
      </c>
      <c r="T151" s="119">
        <f>'дод 2'!U224</f>
        <v>0</v>
      </c>
      <c r="U151" s="119">
        <f>'дод 2'!V224</f>
        <v>0</v>
      </c>
      <c r="V151" s="119">
        <f>'дод 2'!W224</f>
        <v>0</v>
      </c>
      <c r="W151" s="164" t="e">
        <f t="shared" si="31"/>
        <v>#DIV/0!</v>
      </c>
      <c r="X151" s="119">
        <f>'дод 2'!Y224</f>
        <v>0</v>
      </c>
      <c r="Y151" s="187"/>
      <c r="Z151" s="167"/>
    </row>
    <row r="152" spans="1:26" s="5" customFormat="1" ht="27.75" hidden="1" customHeight="1" x14ac:dyDescent="0.25">
      <c r="A152" s="99"/>
      <c r="B152" s="99"/>
      <c r="C152" s="7" t="s">
        <v>342</v>
      </c>
      <c r="D152" s="119">
        <f>'дод 2'!E225</f>
        <v>0</v>
      </c>
      <c r="E152" s="119">
        <f>'дод 2'!F225</f>
        <v>0</v>
      </c>
      <c r="F152" s="119">
        <f>'дод 2'!G225</f>
        <v>0</v>
      </c>
      <c r="G152" s="119">
        <f>'дод 2'!H225</f>
        <v>0</v>
      </c>
      <c r="H152" s="119">
        <f>'дод 2'!I225</f>
        <v>0</v>
      </c>
      <c r="I152" s="119">
        <f>'дод 2'!J225</f>
        <v>0</v>
      </c>
      <c r="J152" s="135" t="e">
        <f t="shared" si="27"/>
        <v>#DIV/0!</v>
      </c>
      <c r="K152" s="119">
        <f>'дод 2'!L225</f>
        <v>0</v>
      </c>
      <c r="L152" s="119">
        <f>'дод 2'!M225</f>
        <v>0</v>
      </c>
      <c r="M152" s="119">
        <f>'дод 2'!N225</f>
        <v>0</v>
      </c>
      <c r="N152" s="119">
        <f>'дод 2'!O225</f>
        <v>0</v>
      </c>
      <c r="O152" s="119">
        <f>'дод 2'!P225</f>
        <v>0</v>
      </c>
      <c r="P152" s="119">
        <f>'дод 2'!Q225</f>
        <v>0</v>
      </c>
      <c r="Q152" s="119">
        <f>'дод 2'!R225</f>
        <v>0</v>
      </c>
      <c r="R152" s="119">
        <f>'дод 2'!S225</f>
        <v>0</v>
      </c>
      <c r="S152" s="119">
        <f>'дод 2'!T225</f>
        <v>0</v>
      </c>
      <c r="T152" s="119">
        <f>'дод 2'!U225</f>
        <v>0</v>
      </c>
      <c r="U152" s="119">
        <f>'дод 2'!V225</f>
        <v>0</v>
      </c>
      <c r="V152" s="119">
        <f>'дод 2'!W225</f>
        <v>0</v>
      </c>
      <c r="W152" s="164" t="e">
        <f t="shared" si="31"/>
        <v>#DIV/0!</v>
      </c>
      <c r="X152" s="119">
        <f>'дод 2'!Y225</f>
        <v>0</v>
      </c>
      <c r="Y152" s="187"/>
      <c r="Z152" s="167"/>
    </row>
    <row r="153" spans="1:26" ht="42.75" hidden="1" customHeight="1" x14ac:dyDescent="0.25">
      <c r="A153" s="99" t="s">
        <v>514</v>
      </c>
      <c r="B153" s="99" t="s">
        <v>97</v>
      </c>
      <c r="C153" s="7" t="s">
        <v>515</v>
      </c>
      <c r="D153" s="119">
        <f>'дод 2'!E251</f>
        <v>0</v>
      </c>
      <c r="E153" s="119">
        <f>'дод 2'!F251</f>
        <v>0</v>
      </c>
      <c r="F153" s="119">
        <f>'дод 2'!G251</f>
        <v>0</v>
      </c>
      <c r="G153" s="119">
        <f>'дод 2'!H251</f>
        <v>0</v>
      </c>
      <c r="H153" s="119">
        <f>'дод 2'!I251</f>
        <v>0</v>
      </c>
      <c r="I153" s="119">
        <f>'дод 2'!J251</f>
        <v>0</v>
      </c>
      <c r="J153" s="135" t="e">
        <f t="shared" si="27"/>
        <v>#DIV/0!</v>
      </c>
      <c r="K153" s="119">
        <f>'дод 2'!L251</f>
        <v>0</v>
      </c>
      <c r="L153" s="119">
        <f>'дод 2'!M251</f>
        <v>0</v>
      </c>
      <c r="M153" s="119">
        <f>'дод 2'!N251</f>
        <v>0</v>
      </c>
      <c r="N153" s="119">
        <f>'дод 2'!O251</f>
        <v>0</v>
      </c>
      <c r="O153" s="119">
        <f>'дод 2'!P251</f>
        <v>0</v>
      </c>
      <c r="P153" s="119">
        <f>'дод 2'!Q251</f>
        <v>0</v>
      </c>
      <c r="Q153" s="119">
        <f>'дод 2'!R251</f>
        <v>0</v>
      </c>
      <c r="R153" s="119">
        <f>'дод 2'!S251</f>
        <v>0</v>
      </c>
      <c r="S153" s="119">
        <f>'дод 2'!T251</f>
        <v>0</v>
      </c>
      <c r="T153" s="119">
        <f>'дод 2'!U251</f>
        <v>0</v>
      </c>
      <c r="U153" s="119">
        <f>'дод 2'!V251</f>
        <v>0</v>
      </c>
      <c r="V153" s="119">
        <f>'дод 2'!W251</f>
        <v>0</v>
      </c>
      <c r="W153" s="164" t="e">
        <f t="shared" si="31"/>
        <v>#DIV/0!</v>
      </c>
      <c r="X153" s="119">
        <f>'дод 2'!Y251</f>
        <v>0</v>
      </c>
      <c r="Y153" s="187"/>
      <c r="Z153" s="167"/>
    </row>
    <row r="154" spans="1:26" ht="63" x14ac:dyDescent="0.25">
      <c r="A154" s="99" t="s">
        <v>547</v>
      </c>
      <c r="B154" s="99" t="s">
        <v>97</v>
      </c>
      <c r="C154" s="7" t="s">
        <v>546</v>
      </c>
      <c r="D154" s="119">
        <f>'дод 2'!E198+'дод 2'!E252+'дод 2'!E185</f>
        <v>0</v>
      </c>
      <c r="E154" s="119">
        <f>'дод 2'!F198+'дод 2'!F252+'дод 2'!F185</f>
        <v>0</v>
      </c>
      <c r="F154" s="119">
        <f>'дод 2'!G198+'дод 2'!G252+'дод 2'!G185</f>
        <v>0</v>
      </c>
      <c r="G154" s="119">
        <f>'дод 2'!H198+'дод 2'!H252+'дод 2'!H185</f>
        <v>0</v>
      </c>
      <c r="H154" s="119">
        <f>'дод 2'!I198+'дод 2'!I252+'дод 2'!I185</f>
        <v>0</v>
      </c>
      <c r="I154" s="119">
        <f>'дод 2'!J198+'дод 2'!J252+'дод 2'!J185</f>
        <v>0</v>
      </c>
      <c r="J154" s="135"/>
      <c r="K154" s="119">
        <f>'дод 2'!L198+'дод 2'!L252+'дод 2'!L185</f>
        <v>1324938</v>
      </c>
      <c r="L154" s="119">
        <f>'дод 2'!M198+'дод 2'!M252+'дод 2'!M185</f>
        <v>1324938</v>
      </c>
      <c r="M154" s="119">
        <f>'дод 2'!N198+'дод 2'!N252+'дод 2'!N185</f>
        <v>0</v>
      </c>
      <c r="N154" s="119">
        <f>'дод 2'!O198+'дод 2'!O252+'дод 2'!O185</f>
        <v>0</v>
      </c>
      <c r="O154" s="119">
        <f>'дод 2'!P198+'дод 2'!P252+'дод 2'!P185</f>
        <v>0</v>
      </c>
      <c r="P154" s="119">
        <f>'дод 2'!Q198+'дод 2'!Q252+'дод 2'!Q185</f>
        <v>1324938</v>
      </c>
      <c r="Q154" s="119">
        <f>'дод 2'!R198+'дод 2'!R252+'дод 2'!R185</f>
        <v>1324938</v>
      </c>
      <c r="R154" s="119">
        <f>'дод 2'!S198+'дод 2'!S252+'дод 2'!S185</f>
        <v>1324938</v>
      </c>
      <c r="S154" s="119">
        <f>'дод 2'!T198+'дод 2'!T252+'дод 2'!T185</f>
        <v>0</v>
      </c>
      <c r="T154" s="119">
        <f>'дод 2'!U198+'дод 2'!U252+'дод 2'!U185</f>
        <v>0</v>
      </c>
      <c r="U154" s="119">
        <f>'дод 2'!V198+'дод 2'!V252+'дод 2'!V185</f>
        <v>0</v>
      </c>
      <c r="V154" s="119">
        <f>'дод 2'!W198+'дод 2'!W252+'дод 2'!W185</f>
        <v>1324938</v>
      </c>
      <c r="W154" s="164">
        <f t="shared" si="31"/>
        <v>100</v>
      </c>
      <c r="X154" s="119">
        <f>'дод 2'!Y198+'дод 2'!Y252+'дод 2'!Y185</f>
        <v>1324938</v>
      </c>
      <c r="Y154" s="187"/>
      <c r="Z154" s="167"/>
    </row>
    <row r="155" spans="1:26" ht="15.75" x14ac:dyDescent="0.25">
      <c r="A155" s="99"/>
      <c r="B155" s="99"/>
      <c r="C155" s="7" t="s">
        <v>342</v>
      </c>
      <c r="D155" s="119">
        <f>'дод 2'!E199+'дод 2'!E186</f>
        <v>0</v>
      </c>
      <c r="E155" s="119">
        <f>'дод 2'!F199+'дод 2'!F186</f>
        <v>0</v>
      </c>
      <c r="F155" s="119">
        <f>'дод 2'!G199+'дод 2'!G186</f>
        <v>0</v>
      </c>
      <c r="G155" s="119">
        <f>'дод 2'!H199+'дод 2'!H186</f>
        <v>0</v>
      </c>
      <c r="H155" s="119">
        <f>'дод 2'!I199+'дод 2'!I186</f>
        <v>0</v>
      </c>
      <c r="I155" s="119">
        <f>'дод 2'!J199+'дод 2'!J186</f>
        <v>0</v>
      </c>
      <c r="J155" s="135"/>
      <c r="K155" s="119">
        <f>'дод 2'!L199+'дод 2'!L186</f>
        <v>1033788</v>
      </c>
      <c r="L155" s="119">
        <f>'дод 2'!M199+'дод 2'!M186</f>
        <v>1033788</v>
      </c>
      <c r="M155" s="119">
        <f>'дод 2'!N199+'дод 2'!N186</f>
        <v>0</v>
      </c>
      <c r="N155" s="119">
        <f>'дод 2'!O199+'дод 2'!O186</f>
        <v>0</v>
      </c>
      <c r="O155" s="119">
        <f>'дод 2'!P199+'дод 2'!P186</f>
        <v>0</v>
      </c>
      <c r="P155" s="119">
        <f>'дод 2'!Q199+'дод 2'!Q186</f>
        <v>1033788</v>
      </c>
      <c r="Q155" s="119">
        <f>'дод 2'!R199+'дод 2'!R186</f>
        <v>1033788</v>
      </c>
      <c r="R155" s="119">
        <f>'дод 2'!S199+'дод 2'!S186</f>
        <v>1033788</v>
      </c>
      <c r="S155" s="119">
        <f>'дод 2'!T199+'дод 2'!T186</f>
        <v>0</v>
      </c>
      <c r="T155" s="119">
        <f>'дод 2'!U199+'дод 2'!U186</f>
        <v>0</v>
      </c>
      <c r="U155" s="119">
        <f>'дод 2'!V199+'дод 2'!V186</f>
        <v>0</v>
      </c>
      <c r="V155" s="119">
        <f>'дод 2'!W199+'дод 2'!W186</f>
        <v>1033788</v>
      </c>
      <c r="W155" s="164">
        <f t="shared" si="31"/>
        <v>100</v>
      </c>
      <c r="X155" s="119">
        <f>'дод 2'!Y199+'дод 2'!Y186</f>
        <v>1033788</v>
      </c>
      <c r="Y155" s="187"/>
      <c r="Z155" s="167"/>
    </row>
    <row r="156" spans="1:26" s="5" customFormat="1" ht="67.5" customHeight="1" x14ac:dyDescent="0.25">
      <c r="A156" s="99" t="s">
        <v>178</v>
      </c>
      <c r="B156" s="104" t="s">
        <v>97</v>
      </c>
      <c r="C156" s="7" t="s">
        <v>179</v>
      </c>
      <c r="D156" s="119">
        <f>'дод 2'!E253</f>
        <v>84906</v>
      </c>
      <c r="E156" s="119">
        <f>'дод 2'!F253</f>
        <v>0</v>
      </c>
      <c r="F156" s="119">
        <f>'дод 2'!G253</f>
        <v>0</v>
      </c>
      <c r="G156" s="119">
        <f>'дод 2'!H253</f>
        <v>0</v>
      </c>
      <c r="H156" s="119">
        <f>'дод 2'!I253</f>
        <v>0</v>
      </c>
      <c r="I156" s="119">
        <f>'дод 2'!J253</f>
        <v>0</v>
      </c>
      <c r="J156" s="135">
        <f t="shared" si="27"/>
        <v>0</v>
      </c>
      <c r="K156" s="119">
        <f>'дод 2'!L253</f>
        <v>50683.81</v>
      </c>
      <c r="L156" s="119">
        <f>'дод 2'!M253</f>
        <v>0</v>
      </c>
      <c r="M156" s="119">
        <f>'дод 2'!N253</f>
        <v>0</v>
      </c>
      <c r="N156" s="119">
        <f>'дод 2'!O253</f>
        <v>0</v>
      </c>
      <c r="O156" s="119">
        <f>'дод 2'!P253</f>
        <v>0</v>
      </c>
      <c r="P156" s="119">
        <f>'дод 2'!Q253</f>
        <v>50683.81</v>
      </c>
      <c r="Q156" s="119">
        <f>'дод 2'!R253</f>
        <v>44136.959999999999</v>
      </c>
      <c r="R156" s="119">
        <f>'дод 2'!S253</f>
        <v>0</v>
      </c>
      <c r="S156" s="119">
        <f>'дод 2'!T253</f>
        <v>0</v>
      </c>
      <c r="T156" s="119">
        <f>'дод 2'!U253</f>
        <v>0</v>
      </c>
      <c r="U156" s="119">
        <f>'дод 2'!V253</f>
        <v>0</v>
      </c>
      <c r="V156" s="119">
        <f>'дод 2'!W253</f>
        <v>44136.959999999999</v>
      </c>
      <c r="W156" s="164">
        <f t="shared" si="31"/>
        <v>87.082956076111884</v>
      </c>
      <c r="X156" s="119">
        <f>'дод 2'!Y253</f>
        <v>44136.959999999999</v>
      </c>
      <c r="Y156" s="187"/>
      <c r="Z156" s="167"/>
    </row>
    <row r="157" spans="1:26" ht="39.75" customHeight="1" x14ac:dyDescent="0.25">
      <c r="A157" s="99" t="s">
        <v>192</v>
      </c>
      <c r="B157" s="104" t="s">
        <v>405</v>
      </c>
      <c r="C157" s="7" t="s">
        <v>193</v>
      </c>
      <c r="D157" s="119">
        <f>'дод 2'!E223+'дод 2'!E278+'дод 2'!E254</f>
        <v>4463684.0000000009</v>
      </c>
      <c r="E157" s="119">
        <f>'дод 2'!F223+'дод 2'!F278+'дод 2'!F254</f>
        <v>0</v>
      </c>
      <c r="F157" s="119">
        <f>'дод 2'!G223+'дод 2'!G278+'дод 2'!G254</f>
        <v>40000</v>
      </c>
      <c r="G157" s="119">
        <f>'дод 2'!H223+'дод 2'!H278+'дод 2'!H254</f>
        <v>4175430.7899999996</v>
      </c>
      <c r="H157" s="119">
        <f>'дод 2'!I223+'дод 2'!I278+'дод 2'!I254</f>
        <v>0</v>
      </c>
      <c r="I157" s="119">
        <f>'дод 2'!J223+'дод 2'!J278+'дод 2'!J254</f>
        <v>23859.66</v>
      </c>
      <c r="J157" s="164">
        <f t="shared" si="27"/>
        <v>93.54225769566122</v>
      </c>
      <c r="K157" s="119">
        <f>'дод 2'!L223+'дод 2'!L278+'дод 2'!L254</f>
        <v>90230.400000000373</v>
      </c>
      <c r="L157" s="119">
        <f>'дод 2'!M223+'дод 2'!M278+'дод 2'!M254</f>
        <v>90230.400000000373</v>
      </c>
      <c r="M157" s="119">
        <f>'дод 2'!N223+'дод 2'!N278+'дод 2'!N254</f>
        <v>0</v>
      </c>
      <c r="N157" s="119">
        <f>'дод 2'!O223+'дод 2'!O278+'дод 2'!O254</f>
        <v>0</v>
      </c>
      <c r="O157" s="119">
        <f>'дод 2'!P223+'дод 2'!P278+'дод 2'!P254</f>
        <v>0</v>
      </c>
      <c r="P157" s="119">
        <f>'дод 2'!Q223+'дод 2'!Q278+'дод 2'!Q254</f>
        <v>90230.400000000373</v>
      </c>
      <c r="Q157" s="119">
        <f>'дод 2'!R223+'дод 2'!R278+'дод 2'!R254</f>
        <v>0</v>
      </c>
      <c r="R157" s="119">
        <f>'дод 2'!S223+'дод 2'!S278+'дод 2'!S254</f>
        <v>0</v>
      </c>
      <c r="S157" s="119">
        <f>'дод 2'!T223+'дод 2'!T278+'дод 2'!T254</f>
        <v>0</v>
      </c>
      <c r="T157" s="119">
        <f>'дод 2'!U223+'дод 2'!U278+'дод 2'!U254</f>
        <v>0</v>
      </c>
      <c r="U157" s="119">
        <f>'дод 2'!V223+'дод 2'!V278+'дод 2'!V254</f>
        <v>0</v>
      </c>
      <c r="V157" s="119">
        <f>'дод 2'!W223+'дод 2'!W278+'дод 2'!W254</f>
        <v>0</v>
      </c>
      <c r="W157" s="164">
        <f t="shared" si="31"/>
        <v>0</v>
      </c>
      <c r="X157" s="119">
        <f>'дод 2'!Y223+'дод 2'!Y278+'дод 2'!Y254</f>
        <v>4175430.7899999996</v>
      </c>
      <c r="Y157" s="187"/>
      <c r="Z157" s="167"/>
    </row>
    <row r="158" spans="1:26" s="12" customFormat="1" ht="29.25" customHeight="1" x14ac:dyDescent="0.25">
      <c r="A158" s="100" t="s">
        <v>180</v>
      </c>
      <c r="B158" s="103"/>
      <c r="C158" s="6" t="s">
        <v>181</v>
      </c>
      <c r="D158" s="118">
        <f>D160+D162+D175+D185+D187+D196</f>
        <v>29106601.600000001</v>
      </c>
      <c r="E158" s="118">
        <f t="shared" ref="E158:X158" si="35">E160+E162+E175+E185+E187+E196</f>
        <v>0</v>
      </c>
      <c r="F158" s="118">
        <f t="shared" si="35"/>
        <v>0</v>
      </c>
      <c r="G158" s="118">
        <f>G160+G162+G175+G185+G187+G196</f>
        <v>25534004.380000003</v>
      </c>
      <c r="H158" s="118">
        <f t="shared" ref="H158:I158" si="36">H160+H162+H175+H185+H187+H196</f>
        <v>0</v>
      </c>
      <c r="I158" s="118">
        <f t="shared" si="36"/>
        <v>0</v>
      </c>
      <c r="J158" s="135">
        <f t="shared" si="27"/>
        <v>87.725818118182502</v>
      </c>
      <c r="K158" s="118">
        <f t="shared" si="35"/>
        <v>329474163.29000002</v>
      </c>
      <c r="L158" s="118">
        <f t="shared" si="35"/>
        <v>244590619.88</v>
      </c>
      <c r="M158" s="118">
        <f t="shared" si="35"/>
        <v>42377847.239999995</v>
      </c>
      <c r="N158" s="118">
        <f t="shared" si="35"/>
        <v>0</v>
      </c>
      <c r="O158" s="118">
        <f t="shared" si="35"/>
        <v>0</v>
      </c>
      <c r="P158" s="118">
        <f t="shared" si="35"/>
        <v>287096316.05000001</v>
      </c>
      <c r="Q158" s="118">
        <f t="shared" ref="Q158:V158" si="37">Q160+Q162+Q175+Q185+Q187+Q196</f>
        <v>212846301.50999999</v>
      </c>
      <c r="R158" s="118">
        <f t="shared" si="37"/>
        <v>163147474.40000001</v>
      </c>
      <c r="S158" s="118">
        <f t="shared" si="37"/>
        <v>41134259.739999995</v>
      </c>
      <c r="T158" s="118">
        <f t="shared" si="37"/>
        <v>0</v>
      </c>
      <c r="U158" s="118">
        <f t="shared" si="37"/>
        <v>0</v>
      </c>
      <c r="V158" s="118">
        <f t="shared" si="37"/>
        <v>171712041.77000001</v>
      </c>
      <c r="W158" s="135">
        <f t="shared" si="31"/>
        <v>64.601818662987156</v>
      </c>
      <c r="X158" s="118">
        <f t="shared" si="35"/>
        <v>238380305.88999999</v>
      </c>
      <c r="Y158" s="187"/>
      <c r="Z158" s="167"/>
    </row>
    <row r="159" spans="1:26" s="12" customFormat="1" ht="17.25" customHeight="1" x14ac:dyDescent="0.25">
      <c r="A159" s="100"/>
      <c r="B159" s="103"/>
      <c r="C159" s="6" t="s">
        <v>342</v>
      </c>
      <c r="D159" s="118">
        <f>D163+D176</f>
        <v>0</v>
      </c>
      <c r="E159" s="118">
        <f t="shared" ref="E159:X159" si="38">E163+E176</f>
        <v>0</v>
      </c>
      <c r="F159" s="118">
        <f t="shared" si="38"/>
        <v>0</v>
      </c>
      <c r="G159" s="118">
        <f t="shared" si="38"/>
        <v>0</v>
      </c>
      <c r="H159" s="118">
        <f t="shared" si="38"/>
        <v>0</v>
      </c>
      <c r="I159" s="118">
        <f t="shared" si="38"/>
        <v>0</v>
      </c>
      <c r="J159" s="118"/>
      <c r="K159" s="118">
        <f t="shared" si="38"/>
        <v>91494249.670000002</v>
      </c>
      <c r="L159" s="118">
        <f t="shared" si="38"/>
        <v>50494249.670000002</v>
      </c>
      <c r="M159" s="118">
        <f t="shared" si="38"/>
        <v>41000000</v>
      </c>
      <c r="N159" s="118">
        <f t="shared" si="38"/>
        <v>0</v>
      </c>
      <c r="O159" s="118">
        <f t="shared" si="38"/>
        <v>0</v>
      </c>
      <c r="P159" s="118">
        <f t="shared" si="38"/>
        <v>50494249.670000002</v>
      </c>
      <c r="Q159" s="118">
        <f t="shared" si="38"/>
        <v>90161693.140000001</v>
      </c>
      <c r="R159" s="118">
        <f t="shared" si="38"/>
        <v>49161733.140000001</v>
      </c>
      <c r="S159" s="118">
        <f t="shared" si="38"/>
        <v>40999960</v>
      </c>
      <c r="T159" s="118">
        <f t="shared" si="38"/>
        <v>0</v>
      </c>
      <c r="U159" s="118">
        <f t="shared" si="38"/>
        <v>0</v>
      </c>
      <c r="V159" s="118">
        <f t="shared" si="38"/>
        <v>49161733.140000001</v>
      </c>
      <c r="W159" s="135">
        <f t="shared" si="38"/>
        <v>197.3609553535473</v>
      </c>
      <c r="X159" s="118">
        <f t="shared" si="38"/>
        <v>90161693.140000001</v>
      </c>
      <c r="Y159" s="187"/>
      <c r="Z159" s="167"/>
    </row>
    <row r="160" spans="1:26" s="12" customFormat="1" ht="31.5" x14ac:dyDescent="0.25">
      <c r="A160" s="100" t="s">
        <v>194</v>
      </c>
      <c r="B160" s="103"/>
      <c r="C160" s="6" t="s">
        <v>195</v>
      </c>
      <c r="D160" s="118">
        <f>D161</f>
        <v>936000</v>
      </c>
      <c r="E160" s="118">
        <f t="shared" ref="E160:X160" si="39">E161</f>
        <v>0</v>
      </c>
      <c r="F160" s="118">
        <f t="shared" si="39"/>
        <v>0</v>
      </c>
      <c r="G160" s="118">
        <f>G161</f>
        <v>634905</v>
      </c>
      <c r="H160" s="118">
        <f t="shared" si="39"/>
        <v>0</v>
      </c>
      <c r="I160" s="118">
        <f t="shared" si="39"/>
        <v>0</v>
      </c>
      <c r="J160" s="135">
        <f t="shared" si="27"/>
        <v>67.831730769230774</v>
      </c>
      <c r="K160" s="118">
        <f t="shared" si="39"/>
        <v>50703.33</v>
      </c>
      <c r="L160" s="118">
        <f t="shared" si="39"/>
        <v>0</v>
      </c>
      <c r="M160" s="118">
        <f t="shared" si="39"/>
        <v>50703.33</v>
      </c>
      <c r="N160" s="118">
        <f t="shared" si="39"/>
        <v>0</v>
      </c>
      <c r="O160" s="118">
        <f t="shared" si="39"/>
        <v>0</v>
      </c>
      <c r="P160" s="118">
        <f t="shared" si="39"/>
        <v>0</v>
      </c>
      <c r="Q160" s="118">
        <f t="shared" si="39"/>
        <v>50703.33</v>
      </c>
      <c r="R160" s="118">
        <f t="shared" si="39"/>
        <v>0</v>
      </c>
      <c r="S160" s="118">
        <f t="shared" si="39"/>
        <v>50703.33</v>
      </c>
      <c r="T160" s="118">
        <f t="shared" si="39"/>
        <v>0</v>
      </c>
      <c r="U160" s="118">
        <f t="shared" si="39"/>
        <v>0</v>
      </c>
      <c r="V160" s="118">
        <f t="shared" si="39"/>
        <v>0</v>
      </c>
      <c r="W160" s="135">
        <f t="shared" si="31"/>
        <v>100</v>
      </c>
      <c r="X160" s="118">
        <f t="shared" si="39"/>
        <v>685608.33</v>
      </c>
      <c r="Y160" s="187"/>
      <c r="Z160" s="167"/>
    </row>
    <row r="161" spans="1:26" ht="24" customHeight="1" x14ac:dyDescent="0.25">
      <c r="A161" s="99" t="s">
        <v>182</v>
      </c>
      <c r="B161" s="99" t="s">
        <v>113</v>
      </c>
      <c r="C161" s="7" t="s">
        <v>183</v>
      </c>
      <c r="D161" s="119">
        <f>'дод 2'!E288</f>
        <v>936000</v>
      </c>
      <c r="E161" s="119">
        <f>'дод 2'!F288</f>
        <v>0</v>
      </c>
      <c r="F161" s="119">
        <f>'дод 2'!G288</f>
        <v>0</v>
      </c>
      <c r="G161" s="119">
        <f>'дод 2'!H288</f>
        <v>634905</v>
      </c>
      <c r="H161" s="119">
        <f>'дод 2'!I288</f>
        <v>0</v>
      </c>
      <c r="I161" s="119">
        <f>'дод 2'!J288</f>
        <v>0</v>
      </c>
      <c r="J161" s="164">
        <f t="shared" si="27"/>
        <v>67.831730769230774</v>
      </c>
      <c r="K161" s="119">
        <f>'дод 2'!L288</f>
        <v>50703.33</v>
      </c>
      <c r="L161" s="119">
        <f>'дод 2'!M288</f>
        <v>0</v>
      </c>
      <c r="M161" s="119">
        <f>'дод 2'!N288</f>
        <v>50703.33</v>
      </c>
      <c r="N161" s="119">
        <f>'дод 2'!O288</f>
        <v>0</v>
      </c>
      <c r="O161" s="119">
        <f>'дод 2'!P288</f>
        <v>0</v>
      </c>
      <c r="P161" s="119">
        <f>'дод 2'!Q288</f>
        <v>0</v>
      </c>
      <c r="Q161" s="119">
        <f>'дод 2'!R288</f>
        <v>50703.33</v>
      </c>
      <c r="R161" s="119">
        <f>'дод 2'!S288</f>
        <v>0</v>
      </c>
      <c r="S161" s="119">
        <f>'дод 2'!T288</f>
        <v>50703.33</v>
      </c>
      <c r="T161" s="119">
        <f>'дод 2'!U288</f>
        <v>0</v>
      </c>
      <c r="U161" s="119">
        <f>'дод 2'!V288</f>
        <v>0</v>
      </c>
      <c r="V161" s="119">
        <f>'дод 2'!W288</f>
        <v>0</v>
      </c>
      <c r="W161" s="164">
        <f t="shared" si="31"/>
        <v>100</v>
      </c>
      <c r="X161" s="119">
        <f>'дод 2'!Y288</f>
        <v>685608.33</v>
      </c>
      <c r="Y161" s="187"/>
      <c r="Z161" s="167"/>
    </row>
    <row r="162" spans="1:26" s="12" customFormat="1" ht="27.75" customHeight="1" x14ac:dyDescent="0.25">
      <c r="A162" s="100" t="s">
        <v>129</v>
      </c>
      <c r="B162" s="100"/>
      <c r="C162" s="22" t="s">
        <v>184</v>
      </c>
      <c r="D162" s="118">
        <f>D164+D165+D166+D167+D168+D169+D170+D171+D172+D174</f>
        <v>987959.6</v>
      </c>
      <c r="E162" s="118">
        <f t="shared" ref="E162:X162" si="40">E164+E165+E166+E167+E168+E169+E170+E171+E172+E174</f>
        <v>0</v>
      </c>
      <c r="F162" s="118">
        <f t="shared" si="40"/>
        <v>0</v>
      </c>
      <c r="G162" s="118">
        <f>G164+G165+G166+G167+G168+G169+G170+G171+G172+G174</f>
        <v>858298.6</v>
      </c>
      <c r="H162" s="118">
        <f t="shared" ref="H162:I162" si="41">H164+H165+H166+H167+H168+H169+H170+H171+H172+H174</f>
        <v>0</v>
      </c>
      <c r="I162" s="118">
        <f t="shared" si="41"/>
        <v>0</v>
      </c>
      <c r="J162" s="135">
        <f t="shared" si="27"/>
        <v>86.875880349763293</v>
      </c>
      <c r="K162" s="118">
        <f t="shared" si="40"/>
        <v>140443061.47999999</v>
      </c>
      <c r="L162" s="118">
        <f t="shared" si="40"/>
        <v>140443061.47999999</v>
      </c>
      <c r="M162" s="118">
        <f t="shared" si="40"/>
        <v>0</v>
      </c>
      <c r="N162" s="118">
        <f t="shared" si="40"/>
        <v>0</v>
      </c>
      <c r="O162" s="118">
        <f t="shared" si="40"/>
        <v>0</v>
      </c>
      <c r="P162" s="118">
        <f t="shared" si="40"/>
        <v>140443061.47999999</v>
      </c>
      <c r="Q162" s="118">
        <f t="shared" ref="Q162:V162" si="42">Q164+Q165+Q166+Q167+Q168+Q169+Q170+Q171+Q172+Q174</f>
        <v>116549206.14</v>
      </c>
      <c r="R162" s="118">
        <f t="shared" si="42"/>
        <v>116549206.14</v>
      </c>
      <c r="S162" s="118">
        <f t="shared" si="42"/>
        <v>0</v>
      </c>
      <c r="T162" s="118">
        <f t="shared" si="42"/>
        <v>0</v>
      </c>
      <c r="U162" s="118">
        <f t="shared" si="42"/>
        <v>0</v>
      </c>
      <c r="V162" s="118">
        <f t="shared" si="42"/>
        <v>116549206.14</v>
      </c>
      <c r="W162" s="135">
        <f t="shared" si="31"/>
        <v>82.986802560265588</v>
      </c>
      <c r="X162" s="118">
        <f t="shared" si="40"/>
        <v>117407504.73999999</v>
      </c>
      <c r="Y162" s="187"/>
      <c r="Z162" s="167"/>
    </row>
    <row r="163" spans="1:26" s="12" customFormat="1" ht="18.75" customHeight="1" x14ac:dyDescent="0.25">
      <c r="A163" s="100"/>
      <c r="B163" s="100"/>
      <c r="C163" s="6" t="s">
        <v>342</v>
      </c>
      <c r="D163" s="118">
        <f>D173</f>
        <v>0</v>
      </c>
      <c r="E163" s="118">
        <f t="shared" ref="E163:X163" si="43">E173</f>
        <v>0</v>
      </c>
      <c r="F163" s="118">
        <f t="shared" si="43"/>
        <v>0</v>
      </c>
      <c r="G163" s="118">
        <f>G173</f>
        <v>0</v>
      </c>
      <c r="H163" s="118">
        <f t="shared" ref="H163:I163" si="44">H173</f>
        <v>0</v>
      </c>
      <c r="I163" s="118">
        <f t="shared" si="44"/>
        <v>0</v>
      </c>
      <c r="J163" s="135"/>
      <c r="K163" s="118">
        <f t="shared" si="43"/>
        <v>50494249.670000002</v>
      </c>
      <c r="L163" s="118">
        <f t="shared" si="43"/>
        <v>50494249.670000002</v>
      </c>
      <c r="M163" s="118">
        <f t="shared" si="43"/>
        <v>0</v>
      </c>
      <c r="N163" s="118">
        <f t="shared" si="43"/>
        <v>0</v>
      </c>
      <c r="O163" s="118">
        <f t="shared" si="43"/>
        <v>0</v>
      </c>
      <c r="P163" s="118">
        <f t="shared" si="43"/>
        <v>50494249.670000002</v>
      </c>
      <c r="Q163" s="118">
        <f t="shared" ref="Q163:V163" si="45">Q173</f>
        <v>49161733.140000001</v>
      </c>
      <c r="R163" s="118">
        <f t="shared" si="45"/>
        <v>49161733.140000001</v>
      </c>
      <c r="S163" s="118">
        <f t="shared" si="45"/>
        <v>0</v>
      </c>
      <c r="T163" s="118">
        <f t="shared" si="45"/>
        <v>0</v>
      </c>
      <c r="U163" s="118">
        <f t="shared" si="45"/>
        <v>0</v>
      </c>
      <c r="V163" s="118">
        <f t="shared" si="45"/>
        <v>49161733.140000001</v>
      </c>
      <c r="W163" s="135">
        <f t="shared" si="31"/>
        <v>97.361052914522887</v>
      </c>
      <c r="X163" s="118">
        <f t="shared" si="43"/>
        <v>49161733.140000001</v>
      </c>
      <c r="Y163" s="187"/>
      <c r="Z163" s="167"/>
    </row>
    <row r="164" spans="1:26" ht="32.25" customHeight="1" x14ac:dyDescent="0.25">
      <c r="A164" s="102" t="s">
        <v>351</v>
      </c>
      <c r="B164" s="102" t="s">
        <v>144</v>
      </c>
      <c r="C164" s="7" t="s">
        <v>362</v>
      </c>
      <c r="D164" s="119">
        <f>'дод 2'!E255+'дод 2'!E227</f>
        <v>0</v>
      </c>
      <c r="E164" s="119">
        <f>'дод 2'!F255+'дод 2'!F227</f>
        <v>0</v>
      </c>
      <c r="F164" s="119">
        <f>'дод 2'!G255+'дод 2'!G227</f>
        <v>0</v>
      </c>
      <c r="G164" s="119">
        <f>'дод 2'!H255+'дод 2'!H227</f>
        <v>0</v>
      </c>
      <c r="H164" s="119">
        <f>'дод 2'!I255+'дод 2'!I227</f>
        <v>0</v>
      </c>
      <c r="I164" s="119">
        <f>'дод 2'!J255+'дод 2'!J227</f>
        <v>0</v>
      </c>
      <c r="J164" s="135"/>
      <c r="K164" s="119">
        <f>'дод 2'!L255+'дод 2'!L227</f>
        <v>10645211.800000001</v>
      </c>
      <c r="L164" s="119">
        <f>'дод 2'!M255+'дод 2'!M227</f>
        <v>10645211.800000001</v>
      </c>
      <c r="M164" s="119">
        <f>'дод 2'!N255+'дод 2'!N227</f>
        <v>0</v>
      </c>
      <c r="N164" s="119">
        <f>'дод 2'!O255+'дод 2'!O227</f>
        <v>0</v>
      </c>
      <c r="O164" s="119">
        <f>'дод 2'!P255+'дод 2'!P227</f>
        <v>0</v>
      </c>
      <c r="P164" s="119">
        <f>'дод 2'!Q255+'дод 2'!Q227</f>
        <v>10645211.800000001</v>
      </c>
      <c r="Q164" s="119">
        <f>'дод 2'!R255+'дод 2'!R227</f>
        <v>6132910.2800000003</v>
      </c>
      <c r="R164" s="119">
        <f>'дод 2'!S255+'дод 2'!S227</f>
        <v>6132910.2800000003</v>
      </c>
      <c r="S164" s="119">
        <f>'дод 2'!T255+'дод 2'!T227</f>
        <v>0</v>
      </c>
      <c r="T164" s="119">
        <f>'дод 2'!U255+'дод 2'!U227</f>
        <v>0</v>
      </c>
      <c r="U164" s="119">
        <f>'дод 2'!V255+'дод 2'!V227</f>
        <v>0</v>
      </c>
      <c r="V164" s="119">
        <f>'дод 2'!W255+'дод 2'!W227</f>
        <v>6132910.2800000003</v>
      </c>
      <c r="W164" s="164">
        <f t="shared" si="31"/>
        <v>57.611914118984465</v>
      </c>
      <c r="X164" s="119">
        <f>'дод 2'!Y255+'дод 2'!Y227</f>
        <v>6132910.2800000003</v>
      </c>
      <c r="Y164" s="187"/>
      <c r="Z164" s="167"/>
    </row>
    <row r="165" spans="1:26" s="5" customFormat="1" ht="32.25" customHeight="1" x14ac:dyDescent="0.25">
      <c r="A165" s="102" t="s">
        <v>356</v>
      </c>
      <c r="B165" s="102" t="s">
        <v>144</v>
      </c>
      <c r="C165" s="7" t="s">
        <v>363</v>
      </c>
      <c r="D165" s="119">
        <f>'дод 2'!E256</f>
        <v>0</v>
      </c>
      <c r="E165" s="119">
        <f>'дод 2'!F256</f>
        <v>0</v>
      </c>
      <c r="F165" s="119">
        <f>'дод 2'!G256</f>
        <v>0</v>
      </c>
      <c r="G165" s="119">
        <f>'дод 2'!H256</f>
        <v>0</v>
      </c>
      <c r="H165" s="119">
        <f>'дод 2'!I256</f>
        <v>0</v>
      </c>
      <c r="I165" s="119">
        <f>'дод 2'!J256</f>
        <v>0</v>
      </c>
      <c r="J165" s="135"/>
      <c r="K165" s="119">
        <f>'дод 2'!L256</f>
        <v>4649908</v>
      </c>
      <c r="L165" s="119">
        <f>'дод 2'!M256</f>
        <v>4649908</v>
      </c>
      <c r="M165" s="119">
        <f>'дод 2'!N256</f>
        <v>0</v>
      </c>
      <c r="N165" s="119">
        <f>'дод 2'!O256</f>
        <v>0</v>
      </c>
      <c r="O165" s="119">
        <f>'дод 2'!P256</f>
        <v>0</v>
      </c>
      <c r="P165" s="119">
        <f>'дод 2'!Q256</f>
        <v>4649908</v>
      </c>
      <c r="Q165" s="119">
        <f>'дод 2'!R256</f>
        <v>3145341</v>
      </c>
      <c r="R165" s="119">
        <f>'дод 2'!S256</f>
        <v>3145341</v>
      </c>
      <c r="S165" s="119">
        <f>'дод 2'!T256</f>
        <v>0</v>
      </c>
      <c r="T165" s="119">
        <f>'дод 2'!U256</f>
        <v>0</v>
      </c>
      <c r="U165" s="119">
        <f>'дод 2'!V256</f>
        <v>0</v>
      </c>
      <c r="V165" s="119">
        <f>'дод 2'!W256</f>
        <v>3145341</v>
      </c>
      <c r="W165" s="164">
        <f t="shared" si="31"/>
        <v>67.643080250189897</v>
      </c>
      <c r="X165" s="119">
        <f>'дод 2'!Y256</f>
        <v>3145341</v>
      </c>
      <c r="Y165" s="187"/>
      <c r="Z165" s="167"/>
    </row>
    <row r="166" spans="1:26" s="5" customFormat="1" ht="32.25" customHeight="1" x14ac:dyDescent="0.25">
      <c r="A166" s="102" t="s">
        <v>358</v>
      </c>
      <c r="B166" s="102" t="s">
        <v>144</v>
      </c>
      <c r="C166" s="7" t="s">
        <v>365</v>
      </c>
      <c r="D166" s="119">
        <f>'дод 2'!E257</f>
        <v>0</v>
      </c>
      <c r="E166" s="119">
        <f>'дод 2'!F257</f>
        <v>0</v>
      </c>
      <c r="F166" s="119">
        <f>'дод 2'!G257</f>
        <v>0</v>
      </c>
      <c r="G166" s="119">
        <f>'дод 2'!H257</f>
        <v>0</v>
      </c>
      <c r="H166" s="119">
        <f>'дод 2'!I257</f>
        <v>0</v>
      </c>
      <c r="I166" s="119">
        <f>'дод 2'!J257</f>
        <v>0</v>
      </c>
      <c r="J166" s="135"/>
      <c r="K166" s="119">
        <f>'дод 2'!L257</f>
        <v>7316671</v>
      </c>
      <c r="L166" s="119">
        <f>'дод 2'!M257</f>
        <v>7316671</v>
      </c>
      <c r="M166" s="119">
        <f>'дод 2'!N257</f>
        <v>0</v>
      </c>
      <c r="N166" s="119">
        <f>'дод 2'!O257</f>
        <v>0</v>
      </c>
      <c r="O166" s="119">
        <f>'дод 2'!P257</f>
        <v>0</v>
      </c>
      <c r="P166" s="119">
        <f>'дод 2'!Q257</f>
        <v>7316671</v>
      </c>
      <c r="Q166" s="119">
        <f>'дод 2'!R257</f>
        <v>5304014</v>
      </c>
      <c r="R166" s="119">
        <f>'дод 2'!S257</f>
        <v>5304014</v>
      </c>
      <c r="S166" s="119">
        <f>'дод 2'!T257</f>
        <v>0</v>
      </c>
      <c r="T166" s="119">
        <f>'дод 2'!U257</f>
        <v>0</v>
      </c>
      <c r="U166" s="119">
        <f>'дод 2'!V257</f>
        <v>0</v>
      </c>
      <c r="V166" s="119">
        <f>'дод 2'!W257</f>
        <v>5304014</v>
      </c>
      <c r="W166" s="164">
        <f t="shared" si="31"/>
        <v>72.49217574495286</v>
      </c>
      <c r="X166" s="119">
        <f>'дод 2'!Y257</f>
        <v>5304014</v>
      </c>
      <c r="Y166" s="187"/>
      <c r="Z166" s="167"/>
    </row>
    <row r="167" spans="1:26" s="5" customFormat="1" ht="32.25" hidden="1" customHeight="1" x14ac:dyDescent="0.25">
      <c r="A167" s="102" t="s">
        <v>360</v>
      </c>
      <c r="B167" s="102" t="s">
        <v>144</v>
      </c>
      <c r="C167" s="7" t="s">
        <v>364</v>
      </c>
      <c r="D167" s="119">
        <f>'дод 2'!E258</f>
        <v>0</v>
      </c>
      <c r="E167" s="119">
        <f>'дод 2'!F258</f>
        <v>0</v>
      </c>
      <c r="F167" s="119">
        <f>'дод 2'!G258</f>
        <v>0</v>
      </c>
      <c r="G167" s="119">
        <f>'дод 2'!H258</f>
        <v>0</v>
      </c>
      <c r="H167" s="119">
        <f>'дод 2'!I258</f>
        <v>0</v>
      </c>
      <c r="I167" s="119">
        <f>'дод 2'!J258</f>
        <v>0</v>
      </c>
      <c r="J167" s="135" t="e">
        <f t="shared" si="27"/>
        <v>#DIV/0!</v>
      </c>
      <c r="K167" s="119">
        <f>'дод 2'!L258</f>
        <v>0</v>
      </c>
      <c r="L167" s="119">
        <f>'дод 2'!M258</f>
        <v>0</v>
      </c>
      <c r="M167" s="119">
        <f>'дод 2'!N258</f>
        <v>0</v>
      </c>
      <c r="N167" s="119">
        <f>'дод 2'!O258</f>
        <v>0</v>
      </c>
      <c r="O167" s="119">
        <f>'дод 2'!P258</f>
        <v>0</v>
      </c>
      <c r="P167" s="119">
        <f>'дод 2'!Q258</f>
        <v>0</v>
      </c>
      <c r="Q167" s="119">
        <f>'дод 2'!R258</f>
        <v>0</v>
      </c>
      <c r="R167" s="119">
        <f>'дод 2'!S258</f>
        <v>0</v>
      </c>
      <c r="S167" s="119">
        <f>'дод 2'!T258</f>
        <v>0</v>
      </c>
      <c r="T167" s="119">
        <f>'дод 2'!U258</f>
        <v>0</v>
      </c>
      <c r="U167" s="119">
        <f>'дод 2'!V258</f>
        <v>0</v>
      </c>
      <c r="V167" s="119">
        <f>'дод 2'!W258</f>
        <v>0</v>
      </c>
      <c r="W167" s="164" t="e">
        <f t="shared" si="31"/>
        <v>#DIV/0!</v>
      </c>
      <c r="X167" s="119">
        <f>'дод 2'!Y258</f>
        <v>0</v>
      </c>
      <c r="Y167" s="187"/>
      <c r="Z167" s="167"/>
    </row>
    <row r="168" spans="1:26" ht="32.25" customHeight="1" x14ac:dyDescent="0.25">
      <c r="A168" s="102" t="s">
        <v>353</v>
      </c>
      <c r="B168" s="102" t="s">
        <v>144</v>
      </c>
      <c r="C168" s="7" t="s">
        <v>568</v>
      </c>
      <c r="D168" s="119">
        <f>'дод 2'!E259+'дод 2'!E228</f>
        <v>0</v>
      </c>
      <c r="E168" s="119">
        <f>'дод 2'!F259+'дод 2'!F228</f>
        <v>0</v>
      </c>
      <c r="F168" s="119">
        <f>'дод 2'!G259+'дод 2'!G228</f>
        <v>0</v>
      </c>
      <c r="G168" s="119">
        <f>'дод 2'!H259+'дод 2'!H228</f>
        <v>0</v>
      </c>
      <c r="H168" s="119">
        <f>'дод 2'!I259+'дод 2'!I228</f>
        <v>0</v>
      </c>
      <c r="I168" s="119">
        <f>'дод 2'!J259+'дод 2'!J228</f>
        <v>0</v>
      </c>
      <c r="J168" s="135"/>
      <c r="K168" s="119">
        <f>'дод 2'!L259+'дод 2'!L228</f>
        <v>40174792</v>
      </c>
      <c r="L168" s="119">
        <f>'дод 2'!M259+'дод 2'!M228</f>
        <v>40174792</v>
      </c>
      <c r="M168" s="119">
        <f>'дод 2'!N259+'дод 2'!N228</f>
        <v>0</v>
      </c>
      <c r="N168" s="119">
        <f>'дод 2'!O259+'дод 2'!O228</f>
        <v>0</v>
      </c>
      <c r="O168" s="119">
        <f>'дод 2'!P259+'дод 2'!P228</f>
        <v>0</v>
      </c>
      <c r="P168" s="119">
        <f>'дод 2'!Q259+'дод 2'!Q228</f>
        <v>40174792</v>
      </c>
      <c r="Q168" s="119">
        <f>'дод 2'!R259+'дод 2'!R228</f>
        <v>28988217.100000001</v>
      </c>
      <c r="R168" s="119">
        <f>'дод 2'!S259+'дод 2'!S228</f>
        <v>28988217.100000001</v>
      </c>
      <c r="S168" s="119">
        <f>'дод 2'!T259+'дод 2'!T228</f>
        <v>0</v>
      </c>
      <c r="T168" s="119">
        <f>'дод 2'!U259+'дод 2'!U228</f>
        <v>0</v>
      </c>
      <c r="U168" s="119">
        <f>'дод 2'!V259+'дод 2'!V228</f>
        <v>0</v>
      </c>
      <c r="V168" s="119">
        <f>'дод 2'!W259+'дод 2'!W228</f>
        <v>28988217.100000001</v>
      </c>
      <c r="W168" s="164">
        <f t="shared" si="31"/>
        <v>72.155238787546182</v>
      </c>
      <c r="X168" s="119">
        <f>'дод 2'!Y259+'дод 2'!Y228</f>
        <v>28988217.100000001</v>
      </c>
      <c r="Y168" s="187"/>
      <c r="Z168" s="167"/>
    </row>
    <row r="169" spans="1:26" ht="35.25" customHeight="1" x14ac:dyDescent="0.25">
      <c r="A169" s="99" t="s">
        <v>185</v>
      </c>
      <c r="B169" s="99" t="s">
        <v>144</v>
      </c>
      <c r="C169" s="7" t="s">
        <v>1</v>
      </c>
      <c r="D169" s="119">
        <f>'дод 2'!E260+'дод 2'!E229</f>
        <v>0</v>
      </c>
      <c r="E169" s="119">
        <f>'дод 2'!F260+'дод 2'!F229</f>
        <v>0</v>
      </c>
      <c r="F169" s="119">
        <f>'дод 2'!G260+'дод 2'!G229</f>
        <v>0</v>
      </c>
      <c r="G169" s="119">
        <f>'дод 2'!H260+'дод 2'!H229</f>
        <v>0</v>
      </c>
      <c r="H169" s="119">
        <f>'дод 2'!I260+'дод 2'!I229</f>
        <v>0</v>
      </c>
      <c r="I169" s="119">
        <f>'дод 2'!J260+'дод 2'!J229</f>
        <v>0</v>
      </c>
      <c r="J169" s="135"/>
      <c r="K169" s="119">
        <f>'дод 2'!L260+'дод 2'!L229</f>
        <v>100709</v>
      </c>
      <c r="L169" s="119">
        <f>'дод 2'!M260+'дод 2'!M229</f>
        <v>100709</v>
      </c>
      <c r="M169" s="119">
        <f>'дод 2'!N260+'дод 2'!N229</f>
        <v>0</v>
      </c>
      <c r="N169" s="119">
        <f>'дод 2'!O260+'дод 2'!O229</f>
        <v>0</v>
      </c>
      <c r="O169" s="119">
        <f>'дод 2'!P260+'дод 2'!P229</f>
        <v>0</v>
      </c>
      <c r="P169" s="119">
        <f>'дод 2'!Q260+'дод 2'!Q229</f>
        <v>100709</v>
      </c>
      <c r="Q169" s="119">
        <f>'дод 2'!R260+'дод 2'!R229</f>
        <v>0</v>
      </c>
      <c r="R169" s="119">
        <f>'дод 2'!S260+'дод 2'!S229</f>
        <v>0</v>
      </c>
      <c r="S169" s="119">
        <f>'дод 2'!T260+'дод 2'!T229</f>
        <v>0</v>
      </c>
      <c r="T169" s="119">
        <f>'дод 2'!U260+'дод 2'!U229</f>
        <v>0</v>
      </c>
      <c r="U169" s="119">
        <f>'дод 2'!V260+'дод 2'!V229</f>
        <v>0</v>
      </c>
      <c r="V169" s="119">
        <f>'дод 2'!W260+'дод 2'!W229</f>
        <v>0</v>
      </c>
      <c r="W169" s="164">
        <f t="shared" si="31"/>
        <v>0</v>
      </c>
      <c r="X169" s="119">
        <f>'дод 2'!Y260+'дод 2'!Y229</f>
        <v>0</v>
      </c>
      <c r="Y169" s="187"/>
      <c r="Z169" s="167"/>
    </row>
    <row r="170" spans="1:26" ht="35.25" hidden="1" customHeight="1" x14ac:dyDescent="0.25">
      <c r="A170" s="99" t="s">
        <v>520</v>
      </c>
      <c r="B170" s="99" t="s">
        <v>144</v>
      </c>
      <c r="C170" s="7" t="s">
        <v>521</v>
      </c>
      <c r="D170" s="119">
        <f>'дод 2'!E279</f>
        <v>0</v>
      </c>
      <c r="E170" s="119">
        <f>'дод 2'!F279</f>
        <v>0</v>
      </c>
      <c r="F170" s="119">
        <f>'дод 2'!G279</f>
        <v>0</v>
      </c>
      <c r="G170" s="119">
        <f>'дод 2'!H279</f>
        <v>0</v>
      </c>
      <c r="H170" s="119">
        <f>'дод 2'!I279</f>
        <v>0</v>
      </c>
      <c r="I170" s="119">
        <f>'дод 2'!J279</f>
        <v>0</v>
      </c>
      <c r="J170" s="135" t="e">
        <f t="shared" si="27"/>
        <v>#DIV/0!</v>
      </c>
      <c r="K170" s="119">
        <f>'дод 2'!L279</f>
        <v>0</v>
      </c>
      <c r="L170" s="119">
        <f>'дод 2'!M279</f>
        <v>0</v>
      </c>
      <c r="M170" s="119">
        <f>'дод 2'!N279</f>
        <v>0</v>
      </c>
      <c r="N170" s="119">
        <f>'дод 2'!O279</f>
        <v>0</v>
      </c>
      <c r="O170" s="119">
        <f>'дод 2'!P279</f>
        <v>0</v>
      </c>
      <c r="P170" s="119">
        <f>'дод 2'!Q279</f>
        <v>0</v>
      </c>
      <c r="Q170" s="119">
        <f>'дод 2'!R279</f>
        <v>0</v>
      </c>
      <c r="R170" s="119">
        <f>'дод 2'!S279</f>
        <v>0</v>
      </c>
      <c r="S170" s="119">
        <f>'дод 2'!T279</f>
        <v>0</v>
      </c>
      <c r="T170" s="119">
        <f>'дод 2'!U279</f>
        <v>0</v>
      </c>
      <c r="U170" s="119">
        <f>'дод 2'!V279</f>
        <v>0</v>
      </c>
      <c r="V170" s="119">
        <f>'дод 2'!W279</f>
        <v>0</v>
      </c>
      <c r="W170" s="164" t="e">
        <f t="shared" si="31"/>
        <v>#DIV/0!</v>
      </c>
      <c r="X170" s="119">
        <f>'дод 2'!Y279</f>
        <v>0</v>
      </c>
      <c r="Y170" s="187"/>
      <c r="Z170" s="167"/>
    </row>
    <row r="171" spans="1:26" s="5" customFormat="1" ht="53.25" customHeight="1" x14ac:dyDescent="0.25">
      <c r="A171" s="99" t="s">
        <v>512</v>
      </c>
      <c r="B171" s="99" t="s">
        <v>112</v>
      </c>
      <c r="C171" s="7" t="s">
        <v>513</v>
      </c>
      <c r="D171" s="119">
        <f>'дод 2'!E261+'дод 2'!E230+'дод 2'!E265</f>
        <v>0</v>
      </c>
      <c r="E171" s="119">
        <f>'дод 2'!F261+'дод 2'!F230+'дод 2'!F265</f>
        <v>0</v>
      </c>
      <c r="F171" s="119">
        <f>'дод 2'!G261+'дод 2'!G230+'дод 2'!G265</f>
        <v>0</v>
      </c>
      <c r="G171" s="119">
        <f>'дод 2'!H261+'дод 2'!H230+'дод 2'!H265</f>
        <v>0</v>
      </c>
      <c r="H171" s="119">
        <f>'дод 2'!I261+'дод 2'!I230+'дод 2'!I265</f>
        <v>0</v>
      </c>
      <c r="I171" s="119">
        <f>'дод 2'!J261+'дод 2'!J230+'дод 2'!J265</f>
        <v>0</v>
      </c>
      <c r="J171" s="135"/>
      <c r="K171" s="119">
        <f>'дод 2'!L261+'дод 2'!L230+'дод 2'!L265</f>
        <v>12517763.43</v>
      </c>
      <c r="L171" s="119">
        <f>'дод 2'!M261+'дод 2'!M230+'дод 2'!M265</f>
        <v>12517763.43</v>
      </c>
      <c r="M171" s="119">
        <f>'дод 2'!N261+'дод 2'!N230+'дод 2'!N265</f>
        <v>0</v>
      </c>
      <c r="N171" s="119">
        <f>'дод 2'!O261+'дод 2'!O230+'дод 2'!O265</f>
        <v>0</v>
      </c>
      <c r="O171" s="119">
        <f>'дод 2'!P261+'дод 2'!P230+'дод 2'!P265</f>
        <v>0</v>
      </c>
      <c r="P171" s="119">
        <f>'дод 2'!Q261+'дод 2'!Q230+'дод 2'!Q265</f>
        <v>12517763.43</v>
      </c>
      <c r="Q171" s="119">
        <f>'дод 2'!R261+'дод 2'!R230+'дод 2'!R265</f>
        <v>9484299.0199999996</v>
      </c>
      <c r="R171" s="119">
        <f>'дод 2'!S261+'дод 2'!S230+'дод 2'!S265</f>
        <v>9484299.0199999996</v>
      </c>
      <c r="S171" s="119">
        <f>'дод 2'!T261+'дод 2'!T230+'дод 2'!T265</f>
        <v>0</v>
      </c>
      <c r="T171" s="119">
        <f>'дод 2'!U261+'дод 2'!U230+'дод 2'!U265</f>
        <v>0</v>
      </c>
      <c r="U171" s="119">
        <f>'дод 2'!V261+'дод 2'!V230+'дод 2'!V265</f>
        <v>0</v>
      </c>
      <c r="V171" s="119">
        <f>'дод 2'!W261+'дод 2'!W230+'дод 2'!W265</f>
        <v>9484299.0199999996</v>
      </c>
      <c r="W171" s="164">
        <f t="shared" si="31"/>
        <v>75.766722010978285</v>
      </c>
      <c r="X171" s="119">
        <f>'дод 2'!Y261+'дод 2'!Y230+'дод 2'!Y265</f>
        <v>9484299.0199999996</v>
      </c>
      <c r="Y171" s="187"/>
      <c r="Z171" s="167"/>
    </row>
    <row r="172" spans="1:26" s="5" customFormat="1" ht="47.25" x14ac:dyDescent="0.25">
      <c r="A172" s="99" t="s">
        <v>495</v>
      </c>
      <c r="B172" s="99" t="s">
        <v>112</v>
      </c>
      <c r="C172" s="7" t="s">
        <v>496</v>
      </c>
      <c r="D172" s="119">
        <f>'дод 2'!E189+'дод 2'!E266+'дод 2'!E75+'дод 2'!E105+'дод 2'!E208+'дод 2'!E262+'дод 2'!E231</f>
        <v>0</v>
      </c>
      <c r="E172" s="119">
        <f>'дод 2'!F189+'дод 2'!F266+'дод 2'!F75+'дод 2'!F105+'дод 2'!F208+'дод 2'!F262+'дод 2'!F231</f>
        <v>0</v>
      </c>
      <c r="F172" s="119">
        <f>'дод 2'!G189+'дод 2'!G266+'дод 2'!G75+'дод 2'!G105+'дод 2'!G208+'дод 2'!G262+'дод 2'!G231</f>
        <v>0</v>
      </c>
      <c r="G172" s="119">
        <f>'дод 2'!H189+'дод 2'!H266+'дод 2'!H75+'дод 2'!H105+'дод 2'!H208+'дод 2'!H262+'дод 2'!H231</f>
        <v>0</v>
      </c>
      <c r="H172" s="119">
        <f>'дод 2'!I189+'дод 2'!I266+'дод 2'!I75+'дод 2'!I105+'дод 2'!I208+'дод 2'!I262+'дод 2'!I231</f>
        <v>0</v>
      </c>
      <c r="I172" s="119">
        <f>'дод 2'!J189+'дод 2'!J266+'дод 2'!J75+'дод 2'!J105+'дод 2'!J208+'дод 2'!J262+'дод 2'!J231</f>
        <v>0</v>
      </c>
      <c r="J172" s="135"/>
      <c r="K172" s="119">
        <f>'дод 2'!L189+'дод 2'!L266+'дод 2'!L75+'дод 2'!L105+'дод 2'!L208+'дод 2'!L262+'дод 2'!L231</f>
        <v>52149606.250000007</v>
      </c>
      <c r="L172" s="119">
        <f>'дод 2'!M189+'дод 2'!M266+'дод 2'!M75+'дод 2'!M105+'дод 2'!M208+'дод 2'!M262+'дод 2'!M231</f>
        <v>52149606.250000007</v>
      </c>
      <c r="M172" s="119">
        <f>'дод 2'!N189+'дод 2'!N266+'дод 2'!N75+'дод 2'!N105+'дод 2'!N208+'дод 2'!N262+'дод 2'!N231</f>
        <v>0</v>
      </c>
      <c r="N172" s="119">
        <f>'дод 2'!O189+'дод 2'!O266+'дод 2'!O75+'дод 2'!O105+'дод 2'!O208+'дод 2'!O262+'дод 2'!O231</f>
        <v>0</v>
      </c>
      <c r="O172" s="119">
        <f>'дод 2'!P189+'дод 2'!P266+'дод 2'!P75+'дод 2'!P105+'дод 2'!P208+'дод 2'!P262+'дод 2'!P231</f>
        <v>0</v>
      </c>
      <c r="P172" s="119">
        <f>'дод 2'!Q189+'дод 2'!Q266+'дод 2'!Q75+'дод 2'!Q105+'дод 2'!Q208+'дод 2'!Q262+'дод 2'!Q231</f>
        <v>52149606.250000007</v>
      </c>
      <c r="Q172" s="119">
        <f>'дод 2'!R189+'дод 2'!R266+'дод 2'!R75+'дод 2'!R105+'дод 2'!R208+'дод 2'!R262+'дод 2'!R231</f>
        <v>50606024.739999995</v>
      </c>
      <c r="R172" s="119">
        <f>'дод 2'!S189+'дод 2'!S266+'дод 2'!S75+'дод 2'!S105+'дод 2'!S208+'дод 2'!S262+'дод 2'!S231</f>
        <v>50606024.739999995</v>
      </c>
      <c r="S172" s="119">
        <f>'дод 2'!T189+'дод 2'!T266+'дод 2'!T75+'дод 2'!T105+'дод 2'!T208+'дод 2'!T262+'дод 2'!T231</f>
        <v>0</v>
      </c>
      <c r="T172" s="119">
        <f>'дод 2'!U189+'дод 2'!U266+'дод 2'!U75+'дод 2'!U105+'дод 2'!U208+'дод 2'!U262+'дод 2'!U231</f>
        <v>0</v>
      </c>
      <c r="U172" s="119">
        <f>'дод 2'!V189+'дод 2'!V266+'дод 2'!V75+'дод 2'!V105+'дод 2'!V208+'дод 2'!V262+'дод 2'!V231</f>
        <v>0</v>
      </c>
      <c r="V172" s="119">
        <f>'дод 2'!W189+'дод 2'!W266+'дод 2'!W75+'дод 2'!W105+'дод 2'!W208+'дод 2'!W262+'дод 2'!W231</f>
        <v>50606024.739999995</v>
      </c>
      <c r="W172" s="164">
        <f t="shared" si="31"/>
        <v>97.040089808923511</v>
      </c>
      <c r="X172" s="119">
        <f>'дод 2'!Y189+'дод 2'!Y266+'дод 2'!Y75+'дод 2'!Y105+'дод 2'!Y208+'дод 2'!Y262+'дод 2'!Y231</f>
        <v>50606024.739999995</v>
      </c>
      <c r="Y172" s="187"/>
      <c r="Z172" s="167"/>
    </row>
    <row r="173" spans="1:26" s="5" customFormat="1" ht="19.5" customHeight="1" x14ac:dyDescent="0.25">
      <c r="A173" s="99"/>
      <c r="B173" s="99"/>
      <c r="C173" s="7" t="s">
        <v>342</v>
      </c>
      <c r="D173" s="119">
        <f>'дод 2'!E190+'дод 2'!E267+'дод 2'!E76+'дод 2'!E106+'дод 2'!E209+'дод 2'!E263+'дод 2'!E232</f>
        <v>0</v>
      </c>
      <c r="E173" s="119">
        <f>'дод 2'!F190+'дод 2'!F267+'дод 2'!F76+'дод 2'!F106+'дод 2'!F209+'дод 2'!F263+'дод 2'!F232</f>
        <v>0</v>
      </c>
      <c r="F173" s="119">
        <f>'дод 2'!G190+'дод 2'!G267+'дод 2'!G76+'дод 2'!G106+'дод 2'!G209+'дод 2'!G263+'дод 2'!G232</f>
        <v>0</v>
      </c>
      <c r="G173" s="119">
        <f>'дод 2'!H190+'дод 2'!H267+'дод 2'!H76+'дод 2'!H106+'дод 2'!H209+'дод 2'!H263+'дод 2'!H232</f>
        <v>0</v>
      </c>
      <c r="H173" s="119">
        <f>'дод 2'!I190+'дод 2'!I267+'дод 2'!I76+'дод 2'!I106+'дод 2'!I209+'дод 2'!I263+'дод 2'!I232</f>
        <v>0</v>
      </c>
      <c r="I173" s="119">
        <f>'дод 2'!J190+'дод 2'!J267+'дод 2'!J76+'дод 2'!J106+'дод 2'!J209+'дод 2'!J263+'дод 2'!J232</f>
        <v>0</v>
      </c>
      <c r="J173" s="135"/>
      <c r="K173" s="119">
        <f>'дод 2'!L190+'дод 2'!L267+'дод 2'!L76+'дод 2'!L106+'дод 2'!L209+'дод 2'!L263+'дод 2'!L232</f>
        <v>50494249.670000002</v>
      </c>
      <c r="L173" s="119">
        <f>'дод 2'!M190+'дод 2'!M267+'дод 2'!M76+'дод 2'!M106+'дод 2'!M209+'дод 2'!M263+'дод 2'!M232</f>
        <v>50494249.670000002</v>
      </c>
      <c r="M173" s="119">
        <f>'дод 2'!N190+'дод 2'!N267+'дод 2'!N76+'дод 2'!N106+'дод 2'!N209+'дод 2'!N263+'дод 2'!N232</f>
        <v>0</v>
      </c>
      <c r="N173" s="119">
        <f>'дод 2'!O190+'дод 2'!O267+'дод 2'!O76+'дод 2'!O106+'дод 2'!O209+'дод 2'!O263+'дод 2'!O232</f>
        <v>0</v>
      </c>
      <c r="O173" s="119">
        <f>'дод 2'!P190+'дод 2'!P267+'дод 2'!P76+'дод 2'!P106+'дод 2'!P209+'дод 2'!P263+'дод 2'!P232</f>
        <v>0</v>
      </c>
      <c r="P173" s="119">
        <f>'дод 2'!Q190+'дод 2'!Q267+'дод 2'!Q76+'дод 2'!Q106+'дод 2'!Q209+'дод 2'!Q263+'дод 2'!Q232</f>
        <v>50494249.670000002</v>
      </c>
      <c r="Q173" s="119">
        <f>'дод 2'!R190+'дод 2'!R267+'дод 2'!R76+'дод 2'!R106+'дод 2'!R209+'дод 2'!R263+'дод 2'!R232</f>
        <v>49161733.140000001</v>
      </c>
      <c r="R173" s="119">
        <f>'дод 2'!S190+'дод 2'!S267+'дод 2'!S76+'дод 2'!S106+'дод 2'!S209+'дод 2'!S263+'дод 2'!S232</f>
        <v>49161733.140000001</v>
      </c>
      <c r="S173" s="119">
        <f>'дод 2'!T190+'дод 2'!T267+'дод 2'!T76+'дод 2'!T106+'дод 2'!T209+'дод 2'!T263+'дод 2'!T232</f>
        <v>0</v>
      </c>
      <c r="T173" s="119">
        <f>'дод 2'!U190+'дод 2'!U267+'дод 2'!U76+'дод 2'!U106+'дод 2'!U209+'дод 2'!U263+'дод 2'!U232</f>
        <v>0</v>
      </c>
      <c r="U173" s="119">
        <f>'дод 2'!V190+'дод 2'!V267+'дод 2'!V76+'дод 2'!V106+'дод 2'!V209+'дод 2'!V263+'дод 2'!V232</f>
        <v>0</v>
      </c>
      <c r="V173" s="119">
        <f>'дод 2'!W190+'дод 2'!W267+'дод 2'!W76+'дод 2'!W106+'дод 2'!W209+'дод 2'!W263+'дод 2'!W232</f>
        <v>49161733.140000001</v>
      </c>
      <c r="W173" s="164">
        <f t="shared" si="31"/>
        <v>97.361052914522887</v>
      </c>
      <c r="X173" s="119">
        <f>'дод 2'!Y190+'дод 2'!Y267+'дод 2'!Y76+'дод 2'!Y106+'дод 2'!Y209+'дод 2'!Y263+'дод 2'!Y232</f>
        <v>49161733.140000001</v>
      </c>
      <c r="Y173" s="187"/>
      <c r="Z173" s="167"/>
    </row>
    <row r="174" spans="1:26" ht="40.5" customHeight="1" x14ac:dyDescent="0.25">
      <c r="A174" s="99" t="s">
        <v>552</v>
      </c>
      <c r="B174" s="99" t="s">
        <v>112</v>
      </c>
      <c r="C174" s="7" t="s">
        <v>562</v>
      </c>
      <c r="D174" s="119">
        <f>'дод 2'!E280+'дод 2'!E289+'дод 2'!E268+'дод 2'!E302</f>
        <v>987959.6</v>
      </c>
      <c r="E174" s="119">
        <f>'дод 2'!F280+'дод 2'!F289+'дод 2'!F268+'дод 2'!F302</f>
        <v>0</v>
      </c>
      <c r="F174" s="119">
        <f>'дод 2'!G280+'дод 2'!G289+'дод 2'!G268+'дод 2'!G302</f>
        <v>0</v>
      </c>
      <c r="G174" s="119">
        <f>'дод 2'!H280+'дод 2'!H289+'дод 2'!H268+'дод 2'!H302</f>
        <v>858298.6</v>
      </c>
      <c r="H174" s="119">
        <f>'дод 2'!I280+'дод 2'!I289+'дод 2'!I268+'дод 2'!I302</f>
        <v>0</v>
      </c>
      <c r="I174" s="119">
        <f>'дод 2'!J280+'дод 2'!J289+'дод 2'!J268+'дод 2'!J302</f>
        <v>0</v>
      </c>
      <c r="J174" s="164">
        <f t="shared" si="27"/>
        <v>86.875880349763293</v>
      </c>
      <c r="K174" s="119">
        <f>'дод 2'!L280+'дод 2'!L289+'дод 2'!L268+'дод 2'!L302</f>
        <v>12888400</v>
      </c>
      <c r="L174" s="119">
        <f>'дод 2'!M280+'дод 2'!M289+'дод 2'!M268+'дод 2'!M302</f>
        <v>12888400</v>
      </c>
      <c r="M174" s="119">
        <f>'дод 2'!N280+'дод 2'!N289+'дод 2'!N268+'дод 2'!N302</f>
        <v>0</v>
      </c>
      <c r="N174" s="119">
        <f>'дод 2'!O280+'дод 2'!O289+'дод 2'!O268+'дод 2'!O302</f>
        <v>0</v>
      </c>
      <c r="O174" s="119">
        <f>'дод 2'!P280+'дод 2'!P289+'дод 2'!P268+'дод 2'!P302</f>
        <v>0</v>
      </c>
      <c r="P174" s="119">
        <f>'дод 2'!Q280+'дод 2'!Q289+'дод 2'!Q268+'дод 2'!Q302</f>
        <v>12888400</v>
      </c>
      <c r="Q174" s="119">
        <f>'дод 2'!R280+'дод 2'!R289+'дод 2'!R268+'дод 2'!R302</f>
        <v>12888400</v>
      </c>
      <c r="R174" s="119">
        <f>'дод 2'!S280+'дод 2'!S289+'дод 2'!S268+'дод 2'!S302</f>
        <v>12888400</v>
      </c>
      <c r="S174" s="119">
        <f>'дод 2'!T280+'дод 2'!T289+'дод 2'!T268+'дод 2'!T302</f>
        <v>0</v>
      </c>
      <c r="T174" s="119">
        <f>'дод 2'!U280+'дод 2'!U289+'дод 2'!U268+'дод 2'!U302</f>
        <v>0</v>
      </c>
      <c r="U174" s="119">
        <f>'дод 2'!V280+'дод 2'!V289+'дод 2'!V268+'дод 2'!V302</f>
        <v>0</v>
      </c>
      <c r="V174" s="119">
        <f>'дод 2'!W280+'дод 2'!W289+'дод 2'!W268+'дод 2'!W302</f>
        <v>12888400</v>
      </c>
      <c r="W174" s="164">
        <f t="shared" si="31"/>
        <v>100</v>
      </c>
      <c r="X174" s="119">
        <f>'дод 2'!Y280+'дод 2'!Y289+'дод 2'!Y268+'дод 2'!Y302</f>
        <v>13746698.6</v>
      </c>
      <c r="Y174" s="187"/>
      <c r="Z174" s="167"/>
    </row>
    <row r="175" spans="1:26" s="12" customFormat="1" ht="39.75" customHeight="1" x14ac:dyDescent="0.25">
      <c r="A175" s="100" t="s">
        <v>116</v>
      </c>
      <c r="B175" s="103"/>
      <c r="C175" s="6" t="s">
        <v>2</v>
      </c>
      <c r="D175" s="118">
        <f>D177+D178+D179+D180+D181+D183+D182</f>
        <v>11000000</v>
      </c>
      <c r="E175" s="118">
        <f t="shared" ref="E175:X175" si="46">E177+E178+E179+E180+E181+E183+E182</f>
        <v>0</v>
      </c>
      <c r="F175" s="118">
        <f t="shared" si="46"/>
        <v>0</v>
      </c>
      <c r="G175" s="118">
        <f>G177+G178+G179+G180+G181+G183+G182</f>
        <v>10211244.6</v>
      </c>
      <c r="H175" s="118">
        <f t="shared" ref="H175:I175" si="47">H177+H178+H179+H180+H181+H183+H182</f>
        <v>0</v>
      </c>
      <c r="I175" s="118">
        <f t="shared" si="47"/>
        <v>0</v>
      </c>
      <c r="J175" s="135">
        <f t="shared" si="27"/>
        <v>92.829496363636366</v>
      </c>
      <c r="K175" s="118">
        <f t="shared" si="46"/>
        <v>41070472.469999999</v>
      </c>
      <c r="L175" s="118">
        <f t="shared" si="46"/>
        <v>0</v>
      </c>
      <c r="M175" s="118">
        <f t="shared" si="46"/>
        <v>41000000</v>
      </c>
      <c r="N175" s="118">
        <f t="shared" si="46"/>
        <v>0</v>
      </c>
      <c r="O175" s="118">
        <f t="shared" si="46"/>
        <v>0</v>
      </c>
      <c r="P175" s="118">
        <f t="shared" si="46"/>
        <v>70472.47</v>
      </c>
      <c r="Q175" s="118">
        <f t="shared" ref="Q175:V175" si="48">Q177+Q178+Q179+Q180+Q181+Q183+Q182</f>
        <v>41070432.469999999</v>
      </c>
      <c r="R175" s="118">
        <f t="shared" si="48"/>
        <v>0</v>
      </c>
      <c r="S175" s="118">
        <f t="shared" si="48"/>
        <v>40999960</v>
      </c>
      <c r="T175" s="118">
        <f t="shared" si="48"/>
        <v>0</v>
      </c>
      <c r="U175" s="118">
        <f t="shared" si="48"/>
        <v>0</v>
      </c>
      <c r="V175" s="118">
        <f t="shared" si="48"/>
        <v>70472.47</v>
      </c>
      <c r="W175" s="135">
        <f t="shared" si="31"/>
        <v>99.999902606428421</v>
      </c>
      <c r="X175" s="118">
        <f t="shared" si="46"/>
        <v>51281677.07</v>
      </c>
      <c r="Y175" s="187"/>
      <c r="Z175" s="167"/>
    </row>
    <row r="176" spans="1:26" s="12" customFormat="1" ht="15.75" x14ac:dyDescent="0.25">
      <c r="A176" s="100"/>
      <c r="B176" s="103"/>
      <c r="C176" s="6" t="s">
        <v>342</v>
      </c>
      <c r="D176" s="118">
        <f>D184</f>
        <v>0</v>
      </c>
      <c r="E176" s="118">
        <f t="shared" ref="E176:X176" si="49">E184</f>
        <v>0</v>
      </c>
      <c r="F176" s="118">
        <f t="shared" si="49"/>
        <v>0</v>
      </c>
      <c r="G176" s="118">
        <f>G184</f>
        <v>0</v>
      </c>
      <c r="H176" s="118">
        <f t="shared" ref="H176:I176" si="50">H184</f>
        <v>0</v>
      </c>
      <c r="I176" s="118">
        <f t="shared" si="50"/>
        <v>0</v>
      </c>
      <c r="J176" s="135"/>
      <c r="K176" s="118">
        <f>K184</f>
        <v>41000000</v>
      </c>
      <c r="L176" s="118">
        <f t="shared" si="49"/>
        <v>0</v>
      </c>
      <c r="M176" s="118">
        <f>M184</f>
        <v>41000000</v>
      </c>
      <c r="N176" s="118">
        <f t="shared" si="49"/>
        <v>0</v>
      </c>
      <c r="O176" s="118">
        <f t="shared" si="49"/>
        <v>0</v>
      </c>
      <c r="P176" s="118">
        <f t="shared" si="49"/>
        <v>0</v>
      </c>
      <c r="Q176" s="118">
        <f t="shared" ref="Q176:V176" si="51">Q184</f>
        <v>40999960</v>
      </c>
      <c r="R176" s="118">
        <f t="shared" si="51"/>
        <v>0</v>
      </c>
      <c r="S176" s="118">
        <f t="shared" si="51"/>
        <v>40999960</v>
      </c>
      <c r="T176" s="118">
        <f t="shared" si="51"/>
        <v>0</v>
      </c>
      <c r="U176" s="118">
        <f t="shared" si="51"/>
        <v>0</v>
      </c>
      <c r="V176" s="118">
        <f t="shared" si="51"/>
        <v>0</v>
      </c>
      <c r="W176" s="135">
        <f t="shared" si="31"/>
        <v>99.999902439024396</v>
      </c>
      <c r="X176" s="118">
        <f t="shared" si="49"/>
        <v>40999960</v>
      </c>
      <c r="Y176" s="187"/>
      <c r="Z176" s="167"/>
    </row>
    <row r="177" spans="1:26" s="5" customFormat="1" ht="30" customHeight="1" x14ac:dyDescent="0.25">
      <c r="A177" s="99" t="s">
        <v>4</v>
      </c>
      <c r="B177" s="99" t="s">
        <v>114</v>
      </c>
      <c r="C177" s="7" t="s">
        <v>58</v>
      </c>
      <c r="D177" s="119">
        <f>'дод 2'!E32</f>
        <v>10102369.4</v>
      </c>
      <c r="E177" s="119">
        <f>'дод 2'!F32</f>
        <v>0</v>
      </c>
      <c r="F177" s="119">
        <f>'дод 2'!G32</f>
        <v>0</v>
      </c>
      <c r="G177" s="119">
        <f>'дод 2'!H32</f>
        <v>9313614</v>
      </c>
      <c r="H177" s="119">
        <f>'дод 2'!I32</f>
        <v>0</v>
      </c>
      <c r="I177" s="119">
        <f>'дод 2'!J32</f>
        <v>0</v>
      </c>
      <c r="J177" s="164">
        <f t="shared" si="27"/>
        <v>92.192372217155309</v>
      </c>
      <c r="K177" s="119">
        <f>'дод 2'!L32</f>
        <v>0</v>
      </c>
      <c r="L177" s="119">
        <f>'дод 2'!M32</f>
        <v>0</v>
      </c>
      <c r="M177" s="119">
        <f>'дод 2'!N32</f>
        <v>0</v>
      </c>
      <c r="N177" s="119">
        <f>'дод 2'!O32</f>
        <v>0</v>
      </c>
      <c r="O177" s="119">
        <f>'дод 2'!P32</f>
        <v>0</v>
      </c>
      <c r="P177" s="119">
        <f>'дод 2'!Q32</f>
        <v>0</v>
      </c>
      <c r="Q177" s="119">
        <f>'дод 2'!R32</f>
        <v>0</v>
      </c>
      <c r="R177" s="119">
        <f>'дод 2'!S32</f>
        <v>0</v>
      </c>
      <c r="S177" s="119">
        <f>'дод 2'!T32</f>
        <v>0</v>
      </c>
      <c r="T177" s="119">
        <f>'дод 2'!U32</f>
        <v>0</v>
      </c>
      <c r="U177" s="119">
        <f>'дод 2'!V32</f>
        <v>0</v>
      </c>
      <c r="V177" s="119">
        <f>'дод 2'!W32</f>
        <v>0</v>
      </c>
      <c r="W177" s="164"/>
      <c r="X177" s="119">
        <f>'дод 2'!Y32</f>
        <v>9313614</v>
      </c>
      <c r="Y177" s="187"/>
      <c r="Z177" s="167"/>
    </row>
    <row r="178" spans="1:26" s="5" customFormat="1" ht="39.75" customHeight="1" x14ac:dyDescent="0.25">
      <c r="A178" s="99" t="s">
        <v>5</v>
      </c>
      <c r="B178" s="99" t="s">
        <v>115</v>
      </c>
      <c r="C178" s="7" t="s">
        <v>196</v>
      </c>
      <c r="D178" s="119">
        <f>'дод 2'!E33</f>
        <v>897630.59999999963</v>
      </c>
      <c r="E178" s="119">
        <f>'дод 2'!F33</f>
        <v>0</v>
      </c>
      <c r="F178" s="119">
        <f>'дод 2'!G33</f>
        <v>0</v>
      </c>
      <c r="G178" s="119">
        <f>'дод 2'!H33</f>
        <v>897630.6</v>
      </c>
      <c r="H178" s="119">
        <f>'дод 2'!I33</f>
        <v>0</v>
      </c>
      <c r="I178" s="119">
        <f>'дод 2'!J33</f>
        <v>0</v>
      </c>
      <c r="J178" s="164">
        <f t="shared" si="27"/>
        <v>100.00000000000004</v>
      </c>
      <c r="K178" s="119">
        <f>'дод 2'!L33</f>
        <v>0</v>
      </c>
      <c r="L178" s="119">
        <f>'дод 2'!M33</f>
        <v>0</v>
      </c>
      <c r="M178" s="119">
        <f>'дод 2'!N33</f>
        <v>0</v>
      </c>
      <c r="N178" s="119">
        <f>'дод 2'!O33</f>
        <v>0</v>
      </c>
      <c r="O178" s="119">
        <f>'дод 2'!P33</f>
        <v>0</v>
      </c>
      <c r="P178" s="119">
        <f>'дод 2'!Q33</f>
        <v>0</v>
      </c>
      <c r="Q178" s="119">
        <f>'дод 2'!R33</f>
        <v>0</v>
      </c>
      <c r="R178" s="119">
        <f>'дод 2'!S33</f>
        <v>0</v>
      </c>
      <c r="S178" s="119">
        <f>'дод 2'!T33</f>
        <v>0</v>
      </c>
      <c r="T178" s="119">
        <f>'дод 2'!U33</f>
        <v>0</v>
      </c>
      <c r="U178" s="119">
        <f>'дод 2'!V33</f>
        <v>0</v>
      </c>
      <c r="V178" s="119">
        <f>'дод 2'!W33</f>
        <v>0</v>
      </c>
      <c r="W178" s="164"/>
      <c r="X178" s="119">
        <f>'дод 2'!Y33</f>
        <v>897630.6</v>
      </c>
      <c r="Y178" s="187"/>
      <c r="Z178" s="167"/>
    </row>
    <row r="179" spans="1:26" s="5" customFormat="1" ht="24" hidden="1" customHeight="1" x14ac:dyDescent="0.25">
      <c r="A179" s="99" t="s">
        <v>6</v>
      </c>
      <c r="B179" s="99" t="s">
        <v>115</v>
      </c>
      <c r="C179" s="7" t="s">
        <v>28</v>
      </c>
      <c r="D179" s="119">
        <f>'дод 2'!E34</f>
        <v>0</v>
      </c>
      <c r="E179" s="119">
        <f>'дод 2'!F34</f>
        <v>0</v>
      </c>
      <c r="F179" s="119">
        <f>'дод 2'!G34</f>
        <v>0</v>
      </c>
      <c r="G179" s="119">
        <f>'дод 2'!H34</f>
        <v>0</v>
      </c>
      <c r="H179" s="119">
        <f>'дод 2'!I34</f>
        <v>0</v>
      </c>
      <c r="I179" s="119">
        <f>'дод 2'!J34</f>
        <v>0</v>
      </c>
      <c r="J179" s="135" t="e">
        <f t="shared" si="27"/>
        <v>#DIV/0!</v>
      </c>
      <c r="K179" s="119">
        <f>'дод 2'!L34</f>
        <v>0</v>
      </c>
      <c r="L179" s="119">
        <f>'дод 2'!M34</f>
        <v>0</v>
      </c>
      <c r="M179" s="119">
        <f>'дод 2'!N34</f>
        <v>0</v>
      </c>
      <c r="N179" s="119">
        <f>'дод 2'!O34</f>
        <v>0</v>
      </c>
      <c r="O179" s="119">
        <f>'дод 2'!P34</f>
        <v>0</v>
      </c>
      <c r="P179" s="119">
        <f>'дод 2'!Q34</f>
        <v>0</v>
      </c>
      <c r="Q179" s="119">
        <f>'дод 2'!R34</f>
        <v>0</v>
      </c>
      <c r="R179" s="119">
        <f>'дод 2'!S34</f>
        <v>0</v>
      </c>
      <c r="S179" s="119">
        <f>'дод 2'!T34</f>
        <v>0</v>
      </c>
      <c r="T179" s="119">
        <f>'дод 2'!U34</f>
        <v>0</v>
      </c>
      <c r="U179" s="119">
        <f>'дод 2'!V34</f>
        <v>0</v>
      </c>
      <c r="V179" s="119">
        <f>'дод 2'!W34</f>
        <v>0</v>
      </c>
      <c r="W179" s="164" t="e">
        <f t="shared" si="31"/>
        <v>#DIV/0!</v>
      </c>
      <c r="X179" s="119">
        <f>'дод 2'!Y34</f>
        <v>0</v>
      </c>
      <c r="Y179" s="187"/>
      <c r="Z179" s="167"/>
    </row>
    <row r="180" spans="1:26" s="5" customFormat="1" ht="31.5" hidden="1" customHeight="1" x14ac:dyDescent="0.25">
      <c r="A180" s="99" t="s">
        <v>507</v>
      </c>
      <c r="B180" s="99" t="s">
        <v>408</v>
      </c>
      <c r="C180" s="7" t="s">
        <v>508</v>
      </c>
      <c r="D180" s="119">
        <f>'дод 2'!E264+'дод 2'!E269</f>
        <v>0</v>
      </c>
      <c r="E180" s="119">
        <f>'дод 2'!F264+'дод 2'!F269</f>
        <v>0</v>
      </c>
      <c r="F180" s="119">
        <f>'дод 2'!G264+'дод 2'!G269</f>
        <v>0</v>
      </c>
      <c r="G180" s="119">
        <f>'дод 2'!H264+'дод 2'!H269</f>
        <v>0</v>
      </c>
      <c r="H180" s="119">
        <f>'дод 2'!I264+'дод 2'!I269</f>
        <v>0</v>
      </c>
      <c r="I180" s="119">
        <f>'дод 2'!J264+'дод 2'!J269</f>
        <v>0</v>
      </c>
      <c r="J180" s="135" t="e">
        <f t="shared" si="27"/>
        <v>#DIV/0!</v>
      </c>
      <c r="K180" s="119">
        <f>'дод 2'!L264+'дод 2'!L269</f>
        <v>0</v>
      </c>
      <c r="L180" s="119">
        <f>'дод 2'!M264+'дод 2'!M269</f>
        <v>0</v>
      </c>
      <c r="M180" s="119">
        <f>'дод 2'!N264+'дод 2'!N269</f>
        <v>0</v>
      </c>
      <c r="N180" s="119">
        <f>'дод 2'!O264+'дод 2'!O269</f>
        <v>0</v>
      </c>
      <c r="O180" s="119">
        <f>'дод 2'!P264+'дод 2'!P269</f>
        <v>0</v>
      </c>
      <c r="P180" s="119">
        <f>'дод 2'!Q264+'дод 2'!Q269</f>
        <v>0</v>
      </c>
      <c r="Q180" s="119">
        <f>'дод 2'!R264+'дод 2'!R269</f>
        <v>0</v>
      </c>
      <c r="R180" s="119">
        <f>'дод 2'!S264+'дод 2'!S269</f>
        <v>0</v>
      </c>
      <c r="S180" s="119">
        <f>'дод 2'!T264+'дод 2'!T269</f>
        <v>0</v>
      </c>
      <c r="T180" s="119">
        <f>'дод 2'!U264+'дод 2'!U269</f>
        <v>0</v>
      </c>
      <c r="U180" s="119">
        <f>'дод 2'!V264+'дод 2'!V269</f>
        <v>0</v>
      </c>
      <c r="V180" s="119">
        <f>'дод 2'!W264+'дод 2'!W269</f>
        <v>0</v>
      </c>
      <c r="W180" s="164" t="e">
        <f t="shared" si="31"/>
        <v>#DIV/0!</v>
      </c>
      <c r="X180" s="119">
        <f>'дод 2'!Y264+'дод 2'!Y269</f>
        <v>0</v>
      </c>
      <c r="Y180" s="187"/>
      <c r="Z180" s="167"/>
    </row>
    <row r="181" spans="1:26" ht="15.75" hidden="1" customHeight="1" x14ac:dyDescent="0.25">
      <c r="A181" s="99" t="s">
        <v>407</v>
      </c>
      <c r="B181" s="99" t="s">
        <v>408</v>
      </c>
      <c r="C181" s="7" t="s">
        <v>409</v>
      </c>
      <c r="D181" s="119">
        <f>'дод 2'!E35</f>
        <v>0</v>
      </c>
      <c r="E181" s="119">
        <f>'дод 2'!F35</f>
        <v>0</v>
      </c>
      <c r="F181" s="119">
        <f>'дод 2'!G35</f>
        <v>0</v>
      </c>
      <c r="G181" s="119">
        <f>'дод 2'!H35</f>
        <v>0</v>
      </c>
      <c r="H181" s="119">
        <f>'дод 2'!I35</f>
        <v>0</v>
      </c>
      <c r="I181" s="119">
        <f>'дод 2'!J35</f>
        <v>0</v>
      </c>
      <c r="J181" s="135" t="e">
        <f t="shared" si="27"/>
        <v>#DIV/0!</v>
      </c>
      <c r="K181" s="119">
        <f>'дод 2'!L35</f>
        <v>0</v>
      </c>
      <c r="L181" s="119">
        <f>'дод 2'!M35</f>
        <v>0</v>
      </c>
      <c r="M181" s="119">
        <f>'дод 2'!N35</f>
        <v>0</v>
      </c>
      <c r="N181" s="119">
        <f>'дод 2'!O35</f>
        <v>0</v>
      </c>
      <c r="O181" s="119">
        <f>'дод 2'!P35</f>
        <v>0</v>
      </c>
      <c r="P181" s="119">
        <f>'дод 2'!Q35</f>
        <v>0</v>
      </c>
      <c r="Q181" s="119">
        <f>'дод 2'!R35</f>
        <v>0</v>
      </c>
      <c r="R181" s="119">
        <f>'дод 2'!S35</f>
        <v>0</v>
      </c>
      <c r="S181" s="119">
        <f>'дод 2'!T35</f>
        <v>0</v>
      </c>
      <c r="T181" s="119">
        <f>'дод 2'!U35</f>
        <v>0</v>
      </c>
      <c r="U181" s="119">
        <f>'дод 2'!V35</f>
        <v>0</v>
      </c>
      <c r="V181" s="119">
        <f>'дод 2'!W35</f>
        <v>0</v>
      </c>
      <c r="W181" s="164" t="e">
        <f t="shared" si="31"/>
        <v>#DIV/0!</v>
      </c>
      <c r="X181" s="119">
        <f>'дод 2'!Y35</f>
        <v>0</v>
      </c>
      <c r="Y181" s="187"/>
      <c r="Z181" s="167"/>
    </row>
    <row r="182" spans="1:26" ht="47.25" x14ac:dyDescent="0.25">
      <c r="A182" s="99">
        <v>7461</v>
      </c>
      <c r="B182" s="99" t="s">
        <v>408</v>
      </c>
      <c r="C182" s="87" t="s">
        <v>601</v>
      </c>
      <c r="D182" s="119">
        <f>'дод 2'!E233</f>
        <v>0</v>
      </c>
      <c r="E182" s="119">
        <f>'дод 2'!F233</f>
        <v>0</v>
      </c>
      <c r="F182" s="119">
        <f>'дод 2'!G233</f>
        <v>0</v>
      </c>
      <c r="G182" s="119">
        <f>'дод 2'!H233</f>
        <v>0</v>
      </c>
      <c r="H182" s="119">
        <f>'дод 2'!I233</f>
        <v>0</v>
      </c>
      <c r="I182" s="119">
        <f>'дод 2'!J233</f>
        <v>0</v>
      </c>
      <c r="J182" s="135"/>
      <c r="K182" s="119">
        <f>'дод 2'!L233</f>
        <v>70472.47</v>
      </c>
      <c r="L182" s="119">
        <f>'дод 2'!M233</f>
        <v>0</v>
      </c>
      <c r="M182" s="119">
        <f>'дод 2'!N233</f>
        <v>0</v>
      </c>
      <c r="N182" s="119">
        <f>'дод 2'!O233</f>
        <v>0</v>
      </c>
      <c r="O182" s="119">
        <f>'дод 2'!P233</f>
        <v>0</v>
      </c>
      <c r="P182" s="119">
        <f>'дод 2'!Q233</f>
        <v>70472.47</v>
      </c>
      <c r="Q182" s="119">
        <f>'дод 2'!R233</f>
        <v>70472.47</v>
      </c>
      <c r="R182" s="119">
        <f>'дод 2'!S233</f>
        <v>0</v>
      </c>
      <c r="S182" s="119">
        <f>'дод 2'!T233</f>
        <v>0</v>
      </c>
      <c r="T182" s="119">
        <f>'дод 2'!U233</f>
        <v>0</v>
      </c>
      <c r="U182" s="119">
        <f>'дод 2'!V233</f>
        <v>0</v>
      </c>
      <c r="V182" s="119">
        <f>'дод 2'!W233</f>
        <v>70472.47</v>
      </c>
      <c r="W182" s="164">
        <f t="shared" si="31"/>
        <v>100</v>
      </c>
      <c r="X182" s="119">
        <f>'дод 2'!Y233</f>
        <v>70472.47</v>
      </c>
      <c r="Y182" s="187"/>
      <c r="Z182" s="167"/>
    </row>
    <row r="183" spans="1:26" ht="47.25" x14ac:dyDescent="0.25">
      <c r="A183" s="99" t="s">
        <v>526</v>
      </c>
      <c r="B183" s="99" t="s">
        <v>408</v>
      </c>
      <c r="C183" s="7" t="s">
        <v>527</v>
      </c>
      <c r="D183" s="119">
        <f>'дод 2'!E270+'дод 2'!E234</f>
        <v>0</v>
      </c>
      <c r="E183" s="119">
        <f>'дод 2'!F270+'дод 2'!F234</f>
        <v>0</v>
      </c>
      <c r="F183" s="119">
        <f>'дод 2'!G270+'дод 2'!G234</f>
        <v>0</v>
      </c>
      <c r="G183" s="119">
        <f>'дод 2'!H270+'дод 2'!H234</f>
        <v>0</v>
      </c>
      <c r="H183" s="119">
        <f>'дод 2'!I270+'дод 2'!I234</f>
        <v>0</v>
      </c>
      <c r="I183" s="119">
        <f>'дод 2'!J270+'дод 2'!J234</f>
        <v>0</v>
      </c>
      <c r="J183" s="135"/>
      <c r="K183" s="119">
        <f>'дод 2'!L270+'дод 2'!L234</f>
        <v>41000000</v>
      </c>
      <c r="L183" s="119">
        <f>'дод 2'!M270+'дод 2'!M234</f>
        <v>0</v>
      </c>
      <c r="M183" s="119">
        <f>'дод 2'!N270+'дод 2'!N234</f>
        <v>41000000</v>
      </c>
      <c r="N183" s="119">
        <f>'дод 2'!O270+'дод 2'!O234</f>
        <v>0</v>
      </c>
      <c r="O183" s="119">
        <f>'дод 2'!P270+'дод 2'!P234</f>
        <v>0</v>
      </c>
      <c r="P183" s="119">
        <f>'дод 2'!Q270+'дод 2'!Q234</f>
        <v>0</v>
      </c>
      <c r="Q183" s="119">
        <f>'дод 2'!R270+'дод 2'!R234</f>
        <v>40999960</v>
      </c>
      <c r="R183" s="119">
        <f>'дод 2'!S270+'дод 2'!S234</f>
        <v>0</v>
      </c>
      <c r="S183" s="119">
        <f>'дод 2'!T270+'дод 2'!T234</f>
        <v>40999960</v>
      </c>
      <c r="T183" s="119">
        <f>'дод 2'!U270+'дод 2'!U234</f>
        <v>0</v>
      </c>
      <c r="U183" s="119">
        <f>'дод 2'!V270+'дод 2'!V234</f>
        <v>0</v>
      </c>
      <c r="V183" s="119">
        <f>'дод 2'!W270+'дод 2'!W234</f>
        <v>0</v>
      </c>
      <c r="W183" s="164">
        <f t="shared" si="31"/>
        <v>99.999902439024396</v>
      </c>
      <c r="X183" s="119">
        <f>'дод 2'!Y270+'дод 2'!Y234</f>
        <v>40999960</v>
      </c>
      <c r="Y183" s="187">
        <v>23</v>
      </c>
      <c r="Z183" s="167"/>
    </row>
    <row r="184" spans="1:26" ht="15.75" x14ac:dyDescent="0.25">
      <c r="A184" s="99"/>
      <c r="B184" s="99"/>
      <c r="C184" s="7" t="s">
        <v>342</v>
      </c>
      <c r="D184" s="119">
        <f>'дод 2'!E271+'дод 2'!E235</f>
        <v>0</v>
      </c>
      <c r="E184" s="119">
        <f>'дод 2'!F271+'дод 2'!F235</f>
        <v>0</v>
      </c>
      <c r="F184" s="119">
        <f>'дод 2'!G271+'дод 2'!G235</f>
        <v>0</v>
      </c>
      <c r="G184" s="119">
        <f>'дод 2'!H271+'дод 2'!H235</f>
        <v>0</v>
      </c>
      <c r="H184" s="119">
        <f>'дод 2'!I271+'дод 2'!I235</f>
        <v>0</v>
      </c>
      <c r="I184" s="119">
        <f>'дод 2'!J271+'дод 2'!J235</f>
        <v>0</v>
      </c>
      <c r="J184" s="135"/>
      <c r="K184" s="119">
        <f>'дод 2'!L271+'дод 2'!L235</f>
        <v>41000000</v>
      </c>
      <c r="L184" s="119">
        <f>'дод 2'!M271+'дод 2'!M235</f>
        <v>0</v>
      </c>
      <c r="M184" s="119">
        <f>'дод 2'!N271+'дод 2'!N235</f>
        <v>41000000</v>
      </c>
      <c r="N184" s="119">
        <f>'дод 2'!O271+'дод 2'!O235</f>
        <v>0</v>
      </c>
      <c r="O184" s="119">
        <f>'дод 2'!P271+'дод 2'!P235</f>
        <v>0</v>
      </c>
      <c r="P184" s="119">
        <f>'дод 2'!Q271+'дод 2'!Q235</f>
        <v>0</v>
      </c>
      <c r="Q184" s="119">
        <f>'дод 2'!R271+'дод 2'!R235</f>
        <v>40999960</v>
      </c>
      <c r="R184" s="119">
        <f>'дод 2'!S271+'дод 2'!S235</f>
        <v>0</v>
      </c>
      <c r="S184" s="119">
        <f>'дод 2'!T271+'дод 2'!T235</f>
        <v>40999960</v>
      </c>
      <c r="T184" s="119">
        <f>'дод 2'!U271+'дод 2'!U235</f>
        <v>0</v>
      </c>
      <c r="U184" s="119">
        <f>'дод 2'!V271+'дод 2'!V235</f>
        <v>0</v>
      </c>
      <c r="V184" s="119">
        <f>'дод 2'!W271+'дод 2'!W235</f>
        <v>0</v>
      </c>
      <c r="W184" s="164">
        <f t="shared" si="31"/>
        <v>99.999902439024396</v>
      </c>
      <c r="X184" s="119">
        <f>'дод 2'!Y271+'дод 2'!Y235</f>
        <v>40999960</v>
      </c>
      <c r="Y184" s="187"/>
      <c r="Z184" s="167"/>
    </row>
    <row r="185" spans="1:26" s="12" customFormat="1" ht="28.5" customHeight="1" x14ac:dyDescent="0.25">
      <c r="A185" s="101" t="s">
        <v>309</v>
      </c>
      <c r="B185" s="103"/>
      <c r="C185" s="6" t="s">
        <v>310</v>
      </c>
      <c r="D185" s="118">
        <f>D186</f>
        <v>9573860</v>
      </c>
      <c r="E185" s="118">
        <f t="shared" ref="E185:X185" si="52">E186</f>
        <v>0</v>
      </c>
      <c r="F185" s="118">
        <f t="shared" si="52"/>
        <v>0</v>
      </c>
      <c r="G185" s="118">
        <f>G186</f>
        <v>7715174.96</v>
      </c>
      <c r="H185" s="118">
        <f t="shared" si="52"/>
        <v>0</v>
      </c>
      <c r="I185" s="118">
        <f t="shared" si="52"/>
        <v>0</v>
      </c>
      <c r="J185" s="135">
        <f t="shared" si="27"/>
        <v>80.585834344767932</v>
      </c>
      <c r="K185" s="118">
        <f t="shared" si="52"/>
        <v>4927500</v>
      </c>
      <c r="L185" s="118">
        <f t="shared" si="52"/>
        <v>4927500</v>
      </c>
      <c r="M185" s="118">
        <f t="shared" si="52"/>
        <v>0</v>
      </c>
      <c r="N185" s="118">
        <f t="shared" si="52"/>
        <v>0</v>
      </c>
      <c r="O185" s="118">
        <f t="shared" si="52"/>
        <v>0</v>
      </c>
      <c r="P185" s="118">
        <f t="shared" si="52"/>
        <v>4927500</v>
      </c>
      <c r="Q185" s="118">
        <f t="shared" si="52"/>
        <v>3972805.95</v>
      </c>
      <c r="R185" s="118">
        <f t="shared" si="52"/>
        <v>3972805.95</v>
      </c>
      <c r="S185" s="118">
        <f t="shared" si="52"/>
        <v>0</v>
      </c>
      <c r="T185" s="118">
        <f t="shared" si="52"/>
        <v>0</v>
      </c>
      <c r="U185" s="118">
        <f t="shared" si="52"/>
        <v>0</v>
      </c>
      <c r="V185" s="118">
        <f t="shared" si="52"/>
        <v>3972805.95</v>
      </c>
      <c r="W185" s="135">
        <f t="shared" si="31"/>
        <v>80.62518417047184</v>
      </c>
      <c r="X185" s="118">
        <f t="shared" si="52"/>
        <v>11687980.91</v>
      </c>
      <c r="Y185" s="187"/>
      <c r="Z185" s="167"/>
    </row>
    <row r="186" spans="1:26" ht="37.5" customHeight="1" x14ac:dyDescent="0.25">
      <c r="A186" s="102" t="s">
        <v>307</v>
      </c>
      <c r="B186" s="102" t="s">
        <v>308</v>
      </c>
      <c r="C186" s="19" t="s">
        <v>306</v>
      </c>
      <c r="D186" s="119">
        <f>'дод 2'!E36</f>
        <v>9573860</v>
      </c>
      <c r="E186" s="119">
        <f>'дод 2'!F36</f>
        <v>0</v>
      </c>
      <c r="F186" s="119">
        <f>'дод 2'!G36</f>
        <v>0</v>
      </c>
      <c r="G186" s="119">
        <f>'дод 2'!H36</f>
        <v>7715174.96</v>
      </c>
      <c r="H186" s="119">
        <f>'дод 2'!I36</f>
        <v>0</v>
      </c>
      <c r="I186" s="119">
        <f>'дод 2'!J36</f>
        <v>0</v>
      </c>
      <c r="J186" s="164">
        <f t="shared" si="27"/>
        <v>80.585834344767932</v>
      </c>
      <c r="K186" s="119">
        <f>'дод 2'!L36</f>
        <v>4927500</v>
      </c>
      <c r="L186" s="119">
        <f>'дод 2'!M36</f>
        <v>4927500</v>
      </c>
      <c r="M186" s="119">
        <f>'дод 2'!N36</f>
        <v>0</v>
      </c>
      <c r="N186" s="119">
        <f>'дод 2'!O36</f>
        <v>0</v>
      </c>
      <c r="O186" s="119">
        <f>'дод 2'!P36</f>
        <v>0</v>
      </c>
      <c r="P186" s="119">
        <f>'дод 2'!Q36</f>
        <v>4927500</v>
      </c>
      <c r="Q186" s="119">
        <f>'дод 2'!R36</f>
        <v>3972805.95</v>
      </c>
      <c r="R186" s="119">
        <f>'дод 2'!S36</f>
        <v>3972805.95</v>
      </c>
      <c r="S186" s="119">
        <f>'дод 2'!T36</f>
        <v>0</v>
      </c>
      <c r="T186" s="119">
        <f>'дод 2'!U36</f>
        <v>0</v>
      </c>
      <c r="U186" s="119">
        <f>'дод 2'!V36</f>
        <v>0</v>
      </c>
      <c r="V186" s="119">
        <f>'дод 2'!W36</f>
        <v>3972805.95</v>
      </c>
      <c r="W186" s="164">
        <f t="shared" si="31"/>
        <v>80.62518417047184</v>
      </c>
      <c r="X186" s="119">
        <f>'дод 2'!Y36</f>
        <v>11687980.91</v>
      </c>
      <c r="Y186" s="187"/>
      <c r="Z186" s="167"/>
    </row>
    <row r="187" spans="1:26" s="12" customFormat="1" ht="38.25" customHeight="1" x14ac:dyDescent="0.25">
      <c r="A187" s="100" t="s">
        <v>119</v>
      </c>
      <c r="B187" s="103"/>
      <c r="C187" s="6" t="s">
        <v>7</v>
      </c>
      <c r="D187" s="118">
        <f>D188+D189+D190+D191+D192+D193+D194+D195</f>
        <v>6608782</v>
      </c>
      <c r="E187" s="118">
        <f t="shared" ref="E187:X187" si="53">E188+E189+E190+E191+E192+E193+E194+E195</f>
        <v>0</v>
      </c>
      <c r="F187" s="118">
        <f t="shared" si="53"/>
        <v>0</v>
      </c>
      <c r="G187" s="118">
        <f>G188+G189+G190+G191+G192+G193+G194+G195</f>
        <v>6114381.2200000007</v>
      </c>
      <c r="H187" s="118">
        <f t="shared" si="53"/>
        <v>0</v>
      </c>
      <c r="I187" s="118">
        <f t="shared" si="53"/>
        <v>0</v>
      </c>
      <c r="J187" s="135">
        <f t="shared" si="27"/>
        <v>92.519033310525316</v>
      </c>
      <c r="K187" s="118">
        <f t="shared" si="53"/>
        <v>133389772.43000001</v>
      </c>
      <c r="L187" s="118">
        <f t="shared" si="53"/>
        <v>99220058.400000006</v>
      </c>
      <c r="M187" s="118">
        <f t="shared" si="53"/>
        <v>1327143.9099999997</v>
      </c>
      <c r="N187" s="118">
        <f t="shared" si="53"/>
        <v>0</v>
      </c>
      <c r="O187" s="118">
        <f t="shared" si="53"/>
        <v>0</v>
      </c>
      <c r="P187" s="118">
        <f t="shared" si="53"/>
        <v>132062628.52000001</v>
      </c>
      <c r="Q187" s="118">
        <f t="shared" si="53"/>
        <v>43963632.080000006</v>
      </c>
      <c r="R187" s="118">
        <f t="shared" si="53"/>
        <v>42625462.310000002</v>
      </c>
      <c r="S187" s="118">
        <f t="shared" si="53"/>
        <v>83596.41</v>
      </c>
      <c r="T187" s="118">
        <f t="shared" si="53"/>
        <v>0</v>
      </c>
      <c r="U187" s="118">
        <f t="shared" si="53"/>
        <v>0</v>
      </c>
      <c r="V187" s="118">
        <f t="shared" si="53"/>
        <v>43880035.670000002</v>
      </c>
      <c r="W187" s="135">
        <f t="shared" si="31"/>
        <v>32.958772834754733</v>
      </c>
      <c r="X187" s="118">
        <f t="shared" si="53"/>
        <v>50078013.300000012</v>
      </c>
      <c r="Y187" s="187"/>
      <c r="Z187" s="167"/>
    </row>
    <row r="188" spans="1:26" ht="30.75" customHeight="1" x14ac:dyDescent="0.25">
      <c r="A188" s="99" t="s">
        <v>8</v>
      </c>
      <c r="B188" s="99" t="s">
        <v>118</v>
      </c>
      <c r="C188" s="7" t="s">
        <v>39</v>
      </c>
      <c r="D188" s="119">
        <f>'дод 2'!E37+'дод 2'!E290</f>
        <v>449000</v>
      </c>
      <c r="E188" s="119">
        <f>'дод 2'!F37+'дод 2'!F290</f>
        <v>0</v>
      </c>
      <c r="F188" s="119">
        <f>'дод 2'!G37+'дод 2'!G290</f>
        <v>0</v>
      </c>
      <c r="G188" s="119">
        <f>'дод 2'!H37+'дод 2'!H290</f>
        <v>324104.94</v>
      </c>
      <c r="H188" s="119">
        <f>'дод 2'!I37+'дод 2'!I290</f>
        <v>0</v>
      </c>
      <c r="I188" s="119">
        <f>'дод 2'!J37+'дод 2'!J290</f>
        <v>0</v>
      </c>
      <c r="J188" s="164">
        <f t="shared" si="27"/>
        <v>72.183728285077947</v>
      </c>
      <c r="K188" s="119">
        <f>'дод 2'!L37+'дод 2'!L290</f>
        <v>0</v>
      </c>
      <c r="L188" s="119">
        <f>'дод 2'!M37+'дод 2'!M290</f>
        <v>0</v>
      </c>
      <c r="M188" s="119">
        <f>'дод 2'!N37+'дод 2'!N290</f>
        <v>0</v>
      </c>
      <c r="N188" s="119">
        <f>'дод 2'!O37+'дод 2'!O290</f>
        <v>0</v>
      </c>
      <c r="O188" s="119">
        <f>'дод 2'!P37+'дод 2'!P290</f>
        <v>0</v>
      </c>
      <c r="P188" s="119">
        <f>'дод 2'!Q37+'дод 2'!Q290</f>
        <v>0</v>
      </c>
      <c r="Q188" s="119">
        <f>'дод 2'!R37+'дод 2'!R290</f>
        <v>0</v>
      </c>
      <c r="R188" s="119">
        <f>'дод 2'!S37+'дод 2'!S290</f>
        <v>0</v>
      </c>
      <c r="S188" s="119">
        <f>'дод 2'!T37+'дод 2'!T290</f>
        <v>0</v>
      </c>
      <c r="T188" s="119">
        <f>'дод 2'!U37+'дод 2'!U290</f>
        <v>0</v>
      </c>
      <c r="U188" s="119">
        <f>'дод 2'!V37+'дод 2'!V290</f>
        <v>0</v>
      </c>
      <c r="V188" s="119">
        <f>'дод 2'!W37+'дод 2'!W290</f>
        <v>0</v>
      </c>
      <c r="W188" s="164"/>
      <c r="X188" s="119">
        <f>'дод 2'!Y37+'дод 2'!Y290</f>
        <v>324104.94</v>
      </c>
      <c r="Y188" s="187"/>
      <c r="Z188" s="167"/>
    </row>
    <row r="189" spans="1:26" ht="24.75" customHeight="1" x14ac:dyDescent="0.25">
      <c r="A189" s="99" t="s">
        <v>3</v>
      </c>
      <c r="B189" s="99" t="s">
        <v>117</v>
      </c>
      <c r="C189" s="7" t="s">
        <v>54</v>
      </c>
      <c r="D189" s="119">
        <f>'дод 2'!E38+'дод 2'!E77+'дод 2'!E107+'дод 2'!E187+'дод 2'!E210+'дод 2'!E236+'дод 2'!E272+'дод 2'!E303</f>
        <v>2982700</v>
      </c>
      <c r="E189" s="119">
        <f>'дод 2'!F38+'дод 2'!F77+'дод 2'!F107+'дод 2'!F187+'дод 2'!F210+'дод 2'!F236+'дод 2'!F272+'дод 2'!F303</f>
        <v>0</v>
      </c>
      <c r="F189" s="119">
        <f>'дод 2'!G38+'дод 2'!G77+'дод 2'!G107+'дод 2'!G187+'дод 2'!G210+'дод 2'!G236+'дод 2'!G272+'дод 2'!G303</f>
        <v>0</v>
      </c>
      <c r="G189" s="119">
        <f>'дод 2'!H38+'дод 2'!H77+'дод 2'!H107+'дод 2'!H187+'дод 2'!H210+'дод 2'!H236+'дод 2'!H272+'дод 2'!H303</f>
        <v>2920241.9000000004</v>
      </c>
      <c r="H189" s="119">
        <f>'дод 2'!I38+'дод 2'!I77+'дод 2'!I107+'дод 2'!I187+'дод 2'!I210+'дод 2'!I236+'дод 2'!I272+'дод 2'!I303</f>
        <v>0</v>
      </c>
      <c r="I189" s="119">
        <f>'дод 2'!J38+'дод 2'!J77+'дод 2'!J107+'дод 2'!J187+'дод 2'!J210+'дод 2'!J236+'дод 2'!J272+'дод 2'!J303</f>
        <v>0</v>
      </c>
      <c r="J189" s="164">
        <f t="shared" si="27"/>
        <v>97.905987863345302</v>
      </c>
      <c r="K189" s="119">
        <f>'дод 2'!L38+'дод 2'!L77+'дод 2'!L107+'дод 2'!L187+'дод 2'!L210+'дод 2'!L236+'дод 2'!L272+'дод 2'!L303</f>
        <v>104030312.40000001</v>
      </c>
      <c r="L189" s="119">
        <f>'дод 2'!M38+'дод 2'!M77+'дод 2'!M107+'дод 2'!M187+'дод 2'!M210+'дод 2'!M236+'дод 2'!M272+'дод 2'!M303</f>
        <v>73086859.400000006</v>
      </c>
      <c r="M189" s="119">
        <f>'дод 2'!N38+'дод 2'!N77+'дод 2'!N107+'дод 2'!N187+'дод 2'!N210+'дод 2'!N236+'дод 2'!N272+'дод 2'!N303</f>
        <v>0</v>
      </c>
      <c r="N189" s="119">
        <f>'дод 2'!O38+'дод 2'!O77+'дод 2'!O107+'дод 2'!O187+'дод 2'!O210+'дод 2'!O236+'дод 2'!O272+'дод 2'!O303</f>
        <v>0</v>
      </c>
      <c r="O189" s="119">
        <f>'дод 2'!P38+'дод 2'!P77+'дод 2'!P107+'дод 2'!P187+'дод 2'!P210+'дод 2'!P236+'дод 2'!P272+'дод 2'!P303</f>
        <v>0</v>
      </c>
      <c r="P189" s="119">
        <f>'дод 2'!Q38+'дод 2'!Q77+'дод 2'!Q107+'дод 2'!Q187+'дод 2'!Q210+'дод 2'!Q236+'дод 2'!Q272+'дод 2'!Q303</f>
        <v>104030312.40000001</v>
      </c>
      <c r="Q189" s="119">
        <f>'дод 2'!R38+'дод 2'!R77+'дод 2'!R107+'дод 2'!R187+'дод 2'!R210+'дод 2'!R236+'дод 2'!R272+'дод 2'!R303</f>
        <v>20139874.329999998</v>
      </c>
      <c r="R189" s="119">
        <f>'дод 2'!S38+'дод 2'!S77+'дод 2'!S107+'дод 2'!S187+'дод 2'!S210+'дод 2'!S236+'дод 2'!S272+'дод 2'!S303</f>
        <v>19780163.329999998</v>
      </c>
      <c r="S189" s="119">
        <f>'дод 2'!T38+'дод 2'!T77+'дод 2'!T107+'дод 2'!T187+'дод 2'!T210+'дод 2'!T236+'дод 2'!T272+'дод 2'!T303</f>
        <v>0</v>
      </c>
      <c r="T189" s="119">
        <f>'дод 2'!U38+'дод 2'!U77+'дод 2'!U107+'дод 2'!U187+'дод 2'!U210+'дод 2'!U236+'дод 2'!U272+'дод 2'!U303</f>
        <v>0</v>
      </c>
      <c r="U189" s="119">
        <f>'дод 2'!V38+'дод 2'!V77+'дод 2'!V107+'дод 2'!V187+'дод 2'!V210+'дод 2'!V236+'дод 2'!V272+'дод 2'!V303</f>
        <v>0</v>
      </c>
      <c r="V189" s="119">
        <f>'дод 2'!W38+'дод 2'!W77+'дод 2'!W107+'дод 2'!W187+'дод 2'!W210+'дод 2'!W236+'дод 2'!W272+'дод 2'!W303</f>
        <v>20139874.329999998</v>
      </c>
      <c r="W189" s="164">
        <f t="shared" si="31"/>
        <v>19.359621119430567</v>
      </c>
      <c r="X189" s="119">
        <f>'дод 2'!Y38+'дод 2'!Y77+'дод 2'!Y107+'дод 2'!Y187+'дод 2'!Y210+'дод 2'!Y236+'дод 2'!Y272+'дод 2'!Y303</f>
        <v>23060116.23</v>
      </c>
      <c r="Y189" s="187"/>
      <c r="Z189" s="167"/>
    </row>
    <row r="190" spans="1:26" ht="33.75" customHeight="1" x14ac:dyDescent="0.25">
      <c r="A190" s="99" t="s">
        <v>344</v>
      </c>
      <c r="B190" s="99" t="s">
        <v>112</v>
      </c>
      <c r="C190" s="7" t="s">
        <v>347</v>
      </c>
      <c r="D190" s="119">
        <f>'дод 2'!E291</f>
        <v>0</v>
      </c>
      <c r="E190" s="119">
        <f>'дод 2'!F291</f>
        <v>0</v>
      </c>
      <c r="F190" s="119">
        <f>'дод 2'!G291</f>
        <v>0</v>
      </c>
      <c r="G190" s="119">
        <f>'дод 2'!H291</f>
        <v>0</v>
      </c>
      <c r="H190" s="119">
        <f>'дод 2'!I291</f>
        <v>0</v>
      </c>
      <c r="I190" s="119">
        <f>'дод 2'!J291</f>
        <v>0</v>
      </c>
      <c r="J190" s="164"/>
      <c r="K190" s="119">
        <f>'дод 2'!L291</f>
        <v>50000</v>
      </c>
      <c r="L190" s="119">
        <f>'дод 2'!M291</f>
        <v>50000</v>
      </c>
      <c r="M190" s="119">
        <f>'дод 2'!N291</f>
        <v>0</v>
      </c>
      <c r="N190" s="119">
        <f>'дод 2'!O291</f>
        <v>0</v>
      </c>
      <c r="O190" s="119">
        <f>'дод 2'!P291</f>
        <v>0</v>
      </c>
      <c r="P190" s="119">
        <f>'дод 2'!Q291</f>
        <v>50000</v>
      </c>
      <c r="Q190" s="119">
        <f>'дод 2'!R291</f>
        <v>13500</v>
      </c>
      <c r="R190" s="119">
        <f>'дод 2'!S291</f>
        <v>13500</v>
      </c>
      <c r="S190" s="119">
        <f>'дод 2'!T291</f>
        <v>0</v>
      </c>
      <c r="T190" s="119">
        <f>'дод 2'!U291</f>
        <v>0</v>
      </c>
      <c r="U190" s="119">
        <f>'дод 2'!V291</f>
        <v>0</v>
      </c>
      <c r="V190" s="119">
        <f>'дод 2'!W291</f>
        <v>13500</v>
      </c>
      <c r="W190" s="164">
        <f t="shared" si="31"/>
        <v>27</v>
      </c>
      <c r="X190" s="119">
        <f>'дод 2'!Y291</f>
        <v>13500</v>
      </c>
      <c r="Y190" s="187"/>
      <c r="Z190" s="167"/>
    </row>
    <row r="191" spans="1:26" ht="68.25" customHeight="1" x14ac:dyDescent="0.25">
      <c r="A191" s="99" t="s">
        <v>346</v>
      </c>
      <c r="B191" s="99" t="s">
        <v>112</v>
      </c>
      <c r="C191" s="7" t="s">
        <v>348</v>
      </c>
      <c r="D191" s="119">
        <f>'дод 2'!E292</f>
        <v>0</v>
      </c>
      <c r="E191" s="119">
        <f>'дод 2'!F292</f>
        <v>0</v>
      </c>
      <c r="F191" s="119">
        <f>'дод 2'!G292</f>
        <v>0</v>
      </c>
      <c r="G191" s="119">
        <f>'дод 2'!H292</f>
        <v>0</v>
      </c>
      <c r="H191" s="119">
        <f>'дод 2'!I292</f>
        <v>0</v>
      </c>
      <c r="I191" s="119">
        <f>'дод 2'!J292</f>
        <v>0</v>
      </c>
      <c r="J191" s="164"/>
      <c r="K191" s="119">
        <f>'дод 2'!L292</f>
        <v>25000</v>
      </c>
      <c r="L191" s="119">
        <f>'дод 2'!M292</f>
        <v>25000</v>
      </c>
      <c r="M191" s="119">
        <f>'дод 2'!N292</f>
        <v>0</v>
      </c>
      <c r="N191" s="119">
        <f>'дод 2'!O292</f>
        <v>0</v>
      </c>
      <c r="O191" s="119">
        <f>'дод 2'!P292</f>
        <v>0</v>
      </c>
      <c r="P191" s="119">
        <f>'дод 2'!Q292</f>
        <v>25000</v>
      </c>
      <c r="Q191" s="119">
        <f>'дод 2'!R292</f>
        <v>0</v>
      </c>
      <c r="R191" s="119">
        <f>'дод 2'!S292</f>
        <v>0</v>
      </c>
      <c r="S191" s="119">
        <f>'дод 2'!T292</f>
        <v>0</v>
      </c>
      <c r="T191" s="119">
        <f>'дод 2'!U292</f>
        <v>0</v>
      </c>
      <c r="U191" s="119">
        <f>'дод 2'!V292</f>
        <v>0</v>
      </c>
      <c r="V191" s="119">
        <f>'дод 2'!W292</f>
        <v>0</v>
      </c>
      <c r="W191" s="164">
        <f t="shared" si="31"/>
        <v>0</v>
      </c>
      <c r="X191" s="119">
        <f>'дод 2'!Y292</f>
        <v>0</v>
      </c>
      <c r="Y191" s="187"/>
      <c r="Z191" s="167"/>
    </row>
    <row r="192" spans="1:26" ht="30.75" customHeight="1" x14ac:dyDescent="0.25">
      <c r="A192" s="99" t="s">
        <v>9</v>
      </c>
      <c r="B192" s="99" t="s">
        <v>112</v>
      </c>
      <c r="C192" s="7" t="s">
        <v>40</v>
      </c>
      <c r="D192" s="119">
        <f>'дод 2'!E39+'дод 2'!E237</f>
        <v>0</v>
      </c>
      <c r="E192" s="119">
        <f>'дод 2'!F39+'дод 2'!F237</f>
        <v>0</v>
      </c>
      <c r="F192" s="119">
        <f>'дод 2'!G39+'дод 2'!G237</f>
        <v>0</v>
      </c>
      <c r="G192" s="119">
        <f>'дод 2'!H39+'дод 2'!H237</f>
        <v>0</v>
      </c>
      <c r="H192" s="119">
        <f>'дод 2'!I39+'дод 2'!I237</f>
        <v>0</v>
      </c>
      <c r="I192" s="119">
        <f>'дод 2'!J39+'дод 2'!J237</f>
        <v>0</v>
      </c>
      <c r="J192" s="164"/>
      <c r="K192" s="119">
        <f>'дод 2'!L39+'дод 2'!L237</f>
        <v>26058199</v>
      </c>
      <c r="L192" s="119">
        <f>'дод 2'!M39+'дод 2'!M237</f>
        <v>26058199</v>
      </c>
      <c r="M192" s="119">
        <f>'дод 2'!N39+'дод 2'!N237</f>
        <v>0</v>
      </c>
      <c r="N192" s="119">
        <f>'дод 2'!O39+'дод 2'!O237</f>
        <v>0</v>
      </c>
      <c r="O192" s="119">
        <f>'дод 2'!P39+'дод 2'!P237</f>
        <v>0</v>
      </c>
      <c r="P192" s="119">
        <f>'дод 2'!Q39+'дод 2'!Q237</f>
        <v>26058199</v>
      </c>
      <c r="Q192" s="119">
        <f>'дод 2'!R39+'дод 2'!R237</f>
        <v>22831798.98</v>
      </c>
      <c r="R192" s="119">
        <f>'дод 2'!S39+'дод 2'!S237</f>
        <v>22831798.98</v>
      </c>
      <c r="S192" s="119">
        <f>'дод 2'!T39+'дод 2'!T237</f>
        <v>0</v>
      </c>
      <c r="T192" s="119">
        <f>'дод 2'!U39+'дод 2'!U237</f>
        <v>0</v>
      </c>
      <c r="U192" s="119">
        <f>'дод 2'!V39+'дод 2'!V237</f>
        <v>0</v>
      </c>
      <c r="V192" s="119">
        <f>'дод 2'!W39+'дод 2'!W237</f>
        <v>22831798.98</v>
      </c>
      <c r="W192" s="164">
        <f t="shared" si="31"/>
        <v>87.618484224485357</v>
      </c>
      <c r="X192" s="119">
        <f>'дод 2'!Y39+'дод 2'!Y237</f>
        <v>22831798.98</v>
      </c>
      <c r="Y192" s="187"/>
      <c r="Z192" s="167"/>
    </row>
    <row r="193" spans="1:26" ht="36.75" customHeight="1" x14ac:dyDescent="0.25">
      <c r="A193" s="99" t="s">
        <v>320</v>
      </c>
      <c r="B193" s="99" t="s">
        <v>112</v>
      </c>
      <c r="C193" s="7" t="s">
        <v>321</v>
      </c>
      <c r="D193" s="119">
        <f>'дод 2'!E40</f>
        <v>243690</v>
      </c>
      <c r="E193" s="119">
        <f>'дод 2'!F40</f>
        <v>0</v>
      </c>
      <c r="F193" s="119">
        <f>'дод 2'!G40</f>
        <v>0</v>
      </c>
      <c r="G193" s="119">
        <f>'дод 2'!H40</f>
        <v>240373</v>
      </c>
      <c r="H193" s="119">
        <f>'дод 2'!I40</f>
        <v>0</v>
      </c>
      <c r="I193" s="119">
        <f>'дод 2'!J40</f>
        <v>0</v>
      </c>
      <c r="J193" s="164">
        <f t="shared" si="27"/>
        <v>98.638844433501589</v>
      </c>
      <c r="K193" s="119">
        <f>'дод 2'!L40</f>
        <v>0</v>
      </c>
      <c r="L193" s="119">
        <f>'дод 2'!M40</f>
        <v>0</v>
      </c>
      <c r="M193" s="119">
        <f>'дод 2'!N40</f>
        <v>0</v>
      </c>
      <c r="N193" s="119">
        <f>'дод 2'!O40</f>
        <v>0</v>
      </c>
      <c r="O193" s="119">
        <f>'дод 2'!P40</f>
        <v>0</v>
      </c>
      <c r="P193" s="119">
        <f>'дод 2'!Q40</f>
        <v>0</v>
      </c>
      <c r="Q193" s="119">
        <f>'дод 2'!R40</f>
        <v>0</v>
      </c>
      <c r="R193" s="119">
        <f>'дод 2'!S40</f>
        <v>0</v>
      </c>
      <c r="S193" s="119">
        <f>'дод 2'!T40</f>
        <v>0</v>
      </c>
      <c r="T193" s="119">
        <f>'дод 2'!U40</f>
        <v>0</v>
      </c>
      <c r="U193" s="119">
        <f>'дод 2'!V40</f>
        <v>0</v>
      </c>
      <c r="V193" s="119">
        <f>'дод 2'!W40</f>
        <v>0</v>
      </c>
      <c r="W193" s="164"/>
      <c r="X193" s="119">
        <f>'дод 2'!Y40</f>
        <v>240373</v>
      </c>
      <c r="Y193" s="187"/>
      <c r="Z193" s="167"/>
    </row>
    <row r="194" spans="1:26" s="5" customFormat="1" ht="122.25" customHeight="1" x14ac:dyDescent="0.25">
      <c r="A194" s="99" t="s">
        <v>386</v>
      </c>
      <c r="B194" s="99" t="s">
        <v>112</v>
      </c>
      <c r="C194" s="7" t="s">
        <v>413</v>
      </c>
      <c r="D194" s="119">
        <f>'дод 2'!E41+'дод 2'!E281+'дод 2'!E273+'дод 2'!E238</f>
        <v>0</v>
      </c>
      <c r="E194" s="119">
        <f>'дод 2'!F41+'дод 2'!F281+'дод 2'!F273+'дод 2'!F238</f>
        <v>0</v>
      </c>
      <c r="F194" s="119">
        <f>'дод 2'!G41+'дод 2'!G281+'дод 2'!G273+'дод 2'!G238</f>
        <v>0</v>
      </c>
      <c r="G194" s="119">
        <f>'дод 2'!H41+'дод 2'!H281+'дод 2'!H273+'дод 2'!H238</f>
        <v>0</v>
      </c>
      <c r="H194" s="119">
        <f>'дод 2'!I41+'дод 2'!I281+'дод 2'!I273+'дод 2'!I238</f>
        <v>0</v>
      </c>
      <c r="I194" s="119">
        <f>'дод 2'!J41+'дод 2'!J281+'дод 2'!J273+'дод 2'!J238</f>
        <v>0</v>
      </c>
      <c r="J194" s="164"/>
      <c r="K194" s="119">
        <f>'дод 2'!L41+'дод 2'!L281+'дод 2'!L273+'дод 2'!L238</f>
        <v>3226261.0300000003</v>
      </c>
      <c r="L194" s="119">
        <f>'дод 2'!M41+'дод 2'!M281+'дод 2'!M273+'дод 2'!M238</f>
        <v>0</v>
      </c>
      <c r="M194" s="119">
        <f>'дод 2'!N41+'дод 2'!N281+'дод 2'!N273+'дод 2'!N238</f>
        <v>1327143.9099999997</v>
      </c>
      <c r="N194" s="119">
        <f>'дод 2'!O41+'дод 2'!O281+'дод 2'!O273+'дод 2'!O238</f>
        <v>0</v>
      </c>
      <c r="O194" s="119">
        <f>'дод 2'!P41+'дод 2'!P281+'дод 2'!P273+'дод 2'!P238</f>
        <v>0</v>
      </c>
      <c r="P194" s="119">
        <f>'дод 2'!Q41+'дод 2'!Q281+'дод 2'!Q273+'дод 2'!Q238</f>
        <v>1899117.12</v>
      </c>
      <c r="Q194" s="119">
        <f>'дод 2'!R41+'дод 2'!R281+'дод 2'!R273+'дод 2'!R238</f>
        <v>978458.77</v>
      </c>
      <c r="R194" s="119">
        <f>'дод 2'!S41+'дод 2'!S281+'дод 2'!S273+'дод 2'!S238</f>
        <v>0</v>
      </c>
      <c r="S194" s="119">
        <f>'дод 2'!T41+'дод 2'!T281+'дод 2'!T273+'дод 2'!T238</f>
        <v>83596.41</v>
      </c>
      <c r="T194" s="119">
        <f>'дод 2'!U41+'дод 2'!U281+'дод 2'!U273+'дод 2'!U238</f>
        <v>0</v>
      </c>
      <c r="U194" s="119">
        <f>'дод 2'!V41+'дод 2'!V281+'дод 2'!V273+'дод 2'!V238</f>
        <v>0</v>
      </c>
      <c r="V194" s="119">
        <f>'дод 2'!W41+'дод 2'!W281+'дод 2'!W273+'дод 2'!W238</f>
        <v>894862.36</v>
      </c>
      <c r="W194" s="164">
        <f t="shared" si="31"/>
        <v>30.327948076786583</v>
      </c>
      <c r="X194" s="119">
        <f>'дод 2'!Y41+'дод 2'!Y281+'дод 2'!Y273+'дод 2'!Y238</f>
        <v>978458.77</v>
      </c>
      <c r="Y194" s="187"/>
      <c r="Z194" s="167"/>
    </row>
    <row r="195" spans="1:26" s="5" customFormat="1" ht="18.75" customHeight="1" x14ac:dyDescent="0.25">
      <c r="A195" s="99" t="s">
        <v>311</v>
      </c>
      <c r="B195" s="99" t="s">
        <v>112</v>
      </c>
      <c r="C195" s="7" t="s">
        <v>29</v>
      </c>
      <c r="D195" s="119">
        <f>'дод 2'!E42+'дод 2'!E293+'дод 2'!E304+'дод 2'!E274</f>
        <v>2933392</v>
      </c>
      <c r="E195" s="119">
        <f>'дод 2'!F42+'дод 2'!F293+'дод 2'!F304+'дод 2'!F274</f>
        <v>0</v>
      </c>
      <c r="F195" s="119">
        <f>'дод 2'!G42+'дод 2'!G293+'дод 2'!G304+'дод 2'!G274</f>
        <v>0</v>
      </c>
      <c r="G195" s="119">
        <f>'дод 2'!H42+'дод 2'!H293+'дод 2'!H304+'дод 2'!H274</f>
        <v>2629661.3800000004</v>
      </c>
      <c r="H195" s="119">
        <f>'дод 2'!I42+'дод 2'!I293+'дод 2'!I304+'дод 2'!I274</f>
        <v>0</v>
      </c>
      <c r="I195" s="119">
        <f>'дод 2'!J42+'дод 2'!J293+'дод 2'!J304+'дод 2'!J274</f>
        <v>0</v>
      </c>
      <c r="J195" s="164">
        <f t="shared" si="27"/>
        <v>89.645754130371941</v>
      </c>
      <c r="K195" s="119">
        <f>'дод 2'!L42+'дод 2'!L293+'дод 2'!L304+'дод 2'!L274</f>
        <v>0</v>
      </c>
      <c r="L195" s="119">
        <f>'дод 2'!M42+'дод 2'!M293+'дод 2'!M304+'дод 2'!M274</f>
        <v>0</v>
      </c>
      <c r="M195" s="119">
        <f>'дод 2'!N42+'дод 2'!N293+'дод 2'!N304+'дод 2'!N274</f>
        <v>0</v>
      </c>
      <c r="N195" s="119">
        <f>'дод 2'!O42+'дод 2'!O293+'дод 2'!O304+'дод 2'!O274</f>
        <v>0</v>
      </c>
      <c r="O195" s="119">
        <f>'дод 2'!P42+'дод 2'!P293+'дод 2'!P304+'дод 2'!P274</f>
        <v>0</v>
      </c>
      <c r="P195" s="119">
        <f>'дод 2'!Q42+'дод 2'!Q293+'дод 2'!Q304+'дод 2'!Q274</f>
        <v>0</v>
      </c>
      <c r="Q195" s="119">
        <f>'дод 2'!R42+'дод 2'!R293+'дод 2'!R304+'дод 2'!R274</f>
        <v>0</v>
      </c>
      <c r="R195" s="119">
        <f>'дод 2'!S42+'дод 2'!S293+'дод 2'!S304+'дод 2'!S274</f>
        <v>0</v>
      </c>
      <c r="S195" s="119">
        <f>'дод 2'!T42+'дод 2'!T293+'дод 2'!T304+'дод 2'!T274</f>
        <v>0</v>
      </c>
      <c r="T195" s="119">
        <f>'дод 2'!U42+'дод 2'!U293+'дод 2'!U304+'дод 2'!U274</f>
        <v>0</v>
      </c>
      <c r="U195" s="119">
        <f>'дод 2'!V42+'дод 2'!V293+'дод 2'!V304+'дод 2'!V274</f>
        <v>0</v>
      </c>
      <c r="V195" s="119">
        <f>'дод 2'!W42+'дод 2'!W293+'дод 2'!W304+'дод 2'!W274</f>
        <v>0</v>
      </c>
      <c r="W195" s="164"/>
      <c r="X195" s="119">
        <f>'дод 2'!Y42+'дод 2'!Y293+'дод 2'!Y304+'дод 2'!Y274</f>
        <v>2629661.3800000004</v>
      </c>
      <c r="Y195" s="187"/>
      <c r="Z195" s="167"/>
    </row>
    <row r="196" spans="1:26" s="14" customFormat="1" ht="51.75" customHeight="1" x14ac:dyDescent="0.25">
      <c r="A196" s="100" t="s">
        <v>564</v>
      </c>
      <c r="B196" s="100"/>
      <c r="C196" s="6" t="s">
        <v>565</v>
      </c>
      <c r="D196" s="118">
        <f>D197</f>
        <v>0</v>
      </c>
      <c r="E196" s="118">
        <f t="shared" ref="E196:X196" si="54">E197</f>
        <v>0</v>
      </c>
      <c r="F196" s="118">
        <f t="shared" si="54"/>
        <v>0</v>
      </c>
      <c r="G196" s="118">
        <f>G197</f>
        <v>0</v>
      </c>
      <c r="H196" s="118">
        <f t="shared" si="54"/>
        <v>0</v>
      </c>
      <c r="I196" s="118">
        <f t="shared" si="54"/>
        <v>0</v>
      </c>
      <c r="J196" s="135"/>
      <c r="K196" s="118">
        <f t="shared" si="54"/>
        <v>9592653.5800000001</v>
      </c>
      <c r="L196" s="118">
        <f t="shared" si="54"/>
        <v>0</v>
      </c>
      <c r="M196" s="118">
        <f t="shared" si="54"/>
        <v>0</v>
      </c>
      <c r="N196" s="118">
        <f t="shared" si="54"/>
        <v>0</v>
      </c>
      <c r="O196" s="118">
        <f t="shared" si="54"/>
        <v>0</v>
      </c>
      <c r="P196" s="118">
        <f t="shared" si="54"/>
        <v>9592653.5800000001</v>
      </c>
      <c r="Q196" s="118">
        <f t="shared" si="54"/>
        <v>7239521.54</v>
      </c>
      <c r="R196" s="118">
        <f t="shared" si="54"/>
        <v>0</v>
      </c>
      <c r="S196" s="118">
        <f t="shared" si="54"/>
        <v>0</v>
      </c>
      <c r="T196" s="118">
        <f t="shared" si="54"/>
        <v>0</v>
      </c>
      <c r="U196" s="118">
        <f t="shared" si="54"/>
        <v>0</v>
      </c>
      <c r="V196" s="118">
        <f t="shared" si="54"/>
        <v>7239521.54</v>
      </c>
      <c r="W196" s="135">
        <f t="shared" si="31"/>
        <v>75.46943585134656</v>
      </c>
      <c r="X196" s="118">
        <f t="shared" si="54"/>
        <v>7239521.54</v>
      </c>
      <c r="Y196" s="187"/>
      <c r="Z196" s="167"/>
    </row>
    <row r="197" spans="1:26" s="5" customFormat="1" ht="52.5" customHeight="1" x14ac:dyDescent="0.25">
      <c r="A197" s="99" t="s">
        <v>564</v>
      </c>
      <c r="B197" s="99" t="s">
        <v>125</v>
      </c>
      <c r="C197" s="7" t="s">
        <v>565</v>
      </c>
      <c r="D197" s="119">
        <f>'дод 2'!E108</f>
        <v>0</v>
      </c>
      <c r="E197" s="119">
        <f>'дод 2'!F108</f>
        <v>0</v>
      </c>
      <c r="F197" s="119">
        <f>'дод 2'!G108</f>
        <v>0</v>
      </c>
      <c r="G197" s="119">
        <f>'дод 2'!H108</f>
        <v>0</v>
      </c>
      <c r="H197" s="119">
        <f>'дод 2'!I108</f>
        <v>0</v>
      </c>
      <c r="I197" s="119">
        <f>'дод 2'!J108</f>
        <v>0</v>
      </c>
      <c r="J197" s="135"/>
      <c r="K197" s="119">
        <f>'дод 2'!L108</f>
        <v>9592653.5800000001</v>
      </c>
      <c r="L197" s="119">
        <f>'дод 2'!M108</f>
        <v>0</v>
      </c>
      <c r="M197" s="119">
        <f>'дод 2'!N108</f>
        <v>0</v>
      </c>
      <c r="N197" s="119">
        <f>'дод 2'!O108</f>
        <v>0</v>
      </c>
      <c r="O197" s="119">
        <f>'дод 2'!P108</f>
        <v>0</v>
      </c>
      <c r="P197" s="119">
        <f>'дод 2'!Q108</f>
        <v>9592653.5800000001</v>
      </c>
      <c r="Q197" s="119">
        <f>'дод 2'!R108</f>
        <v>7239521.54</v>
      </c>
      <c r="R197" s="119">
        <f>'дод 2'!S108</f>
        <v>0</v>
      </c>
      <c r="S197" s="119">
        <f>'дод 2'!T108</f>
        <v>0</v>
      </c>
      <c r="T197" s="119">
        <f>'дод 2'!U108</f>
        <v>0</v>
      </c>
      <c r="U197" s="119">
        <f>'дод 2'!V108</f>
        <v>0</v>
      </c>
      <c r="V197" s="119">
        <f>'дод 2'!W108</f>
        <v>7239521.54</v>
      </c>
      <c r="W197" s="164">
        <f t="shared" si="31"/>
        <v>75.46943585134656</v>
      </c>
      <c r="X197" s="119">
        <f>'дод 2'!Y108</f>
        <v>7239521.54</v>
      </c>
      <c r="Y197" s="187"/>
      <c r="Z197" s="167"/>
    </row>
    <row r="198" spans="1:26" s="12" customFormat="1" ht="15.75" x14ac:dyDescent="0.25">
      <c r="A198" s="100" t="s">
        <v>126</v>
      </c>
      <c r="B198" s="101"/>
      <c r="C198" s="6" t="s">
        <v>11</v>
      </c>
      <c r="D198" s="118">
        <f>D200+D203+D205+D208+D210+D212+D213</f>
        <v>11407536.82</v>
      </c>
      <c r="E198" s="118">
        <f t="shared" ref="E198:X198" si="55">E200+E203+E205+E208+E210+E212+E213</f>
        <v>1307667</v>
      </c>
      <c r="F198" s="118">
        <f t="shared" si="55"/>
        <v>363589</v>
      </c>
      <c r="G198" s="118">
        <f>G200+G203+G205+G208+G210+G212+G213</f>
        <v>3217061.73</v>
      </c>
      <c r="H198" s="118">
        <f t="shared" ref="H198:I198" si="56">H200+H203+H205+H208+H210+H212+H213</f>
        <v>1307657.33</v>
      </c>
      <c r="I198" s="118">
        <f t="shared" si="56"/>
        <v>306371.64</v>
      </c>
      <c r="J198" s="135">
        <f t="shared" si="27"/>
        <v>28.201195234011962</v>
      </c>
      <c r="K198" s="118">
        <f t="shared" si="55"/>
        <v>7753400</v>
      </c>
      <c r="L198" s="118">
        <f t="shared" si="55"/>
        <v>2007200</v>
      </c>
      <c r="M198" s="118">
        <f t="shared" si="55"/>
        <v>3072080</v>
      </c>
      <c r="N198" s="118">
        <f t="shared" si="55"/>
        <v>0</v>
      </c>
      <c r="O198" s="118">
        <f t="shared" si="55"/>
        <v>541400</v>
      </c>
      <c r="P198" s="118">
        <f t="shared" si="55"/>
        <v>4681320</v>
      </c>
      <c r="Q198" s="118">
        <f t="shared" ref="Q198:V198" si="57">Q200+Q203+Q205+Q208+Q210+Q212+Q213</f>
        <v>6215002.0700000003</v>
      </c>
      <c r="R198" s="118">
        <f t="shared" si="57"/>
        <v>1963759.01</v>
      </c>
      <c r="S198" s="118">
        <f t="shared" si="57"/>
        <v>2883579.2600000002</v>
      </c>
      <c r="T198" s="118">
        <f t="shared" si="57"/>
        <v>0</v>
      </c>
      <c r="U198" s="118">
        <f t="shared" si="57"/>
        <v>541144</v>
      </c>
      <c r="V198" s="118">
        <f t="shared" si="57"/>
        <v>3331422.81</v>
      </c>
      <c r="W198" s="135">
        <f t="shared" si="31"/>
        <v>80.158408827095215</v>
      </c>
      <c r="X198" s="118">
        <f t="shared" si="55"/>
        <v>9432063.8000000007</v>
      </c>
      <c r="Y198" s="187"/>
      <c r="Z198" s="167"/>
    </row>
    <row r="199" spans="1:26" s="12" customFormat="1" ht="15.75" hidden="1" customHeight="1" x14ac:dyDescent="0.25">
      <c r="A199" s="100"/>
      <c r="B199" s="101"/>
      <c r="C199" s="6" t="s">
        <v>342</v>
      </c>
      <c r="D199" s="118">
        <f>SUM(D211)</f>
        <v>0</v>
      </c>
      <c r="E199" s="118">
        <f t="shared" ref="E199:X199" si="58">SUM(E211)</f>
        <v>0</v>
      </c>
      <c r="F199" s="118">
        <f t="shared" si="58"/>
        <v>0</v>
      </c>
      <c r="G199" s="118">
        <f>SUM(G211)</f>
        <v>0</v>
      </c>
      <c r="H199" s="118">
        <f t="shared" ref="H199:I199" si="59">SUM(H211)</f>
        <v>0</v>
      </c>
      <c r="I199" s="118">
        <f t="shared" si="59"/>
        <v>0</v>
      </c>
      <c r="J199" s="135" t="e">
        <f t="shared" si="27"/>
        <v>#DIV/0!</v>
      </c>
      <c r="K199" s="118">
        <f t="shared" si="58"/>
        <v>0</v>
      </c>
      <c r="L199" s="118">
        <f t="shared" si="58"/>
        <v>0</v>
      </c>
      <c r="M199" s="118">
        <f t="shared" si="58"/>
        <v>0</v>
      </c>
      <c r="N199" s="118">
        <f t="shared" si="58"/>
        <v>0</v>
      </c>
      <c r="O199" s="118">
        <f t="shared" si="58"/>
        <v>0</v>
      </c>
      <c r="P199" s="118">
        <f t="shared" si="58"/>
        <v>0</v>
      </c>
      <c r="Q199" s="118">
        <f t="shared" ref="Q199:V199" si="60">SUM(Q211)</f>
        <v>0</v>
      </c>
      <c r="R199" s="118">
        <f t="shared" si="60"/>
        <v>0</v>
      </c>
      <c r="S199" s="118">
        <f t="shared" si="60"/>
        <v>0</v>
      </c>
      <c r="T199" s="118">
        <f t="shared" si="60"/>
        <v>0</v>
      </c>
      <c r="U199" s="118">
        <f t="shared" si="60"/>
        <v>0</v>
      </c>
      <c r="V199" s="118">
        <f t="shared" si="60"/>
        <v>0</v>
      </c>
      <c r="W199" s="135" t="e">
        <f t="shared" si="31"/>
        <v>#DIV/0!</v>
      </c>
      <c r="X199" s="118">
        <f t="shared" si="58"/>
        <v>0</v>
      </c>
      <c r="Y199" s="187"/>
      <c r="Z199" s="167"/>
    </row>
    <row r="200" spans="1:26" s="12" customFormat="1" ht="39.75" customHeight="1" x14ac:dyDescent="0.25">
      <c r="A200" s="100" t="s">
        <v>128</v>
      </c>
      <c r="B200" s="101"/>
      <c r="C200" s="6" t="s">
        <v>12</v>
      </c>
      <c r="D200" s="118">
        <f>D201+D202</f>
        <v>2201930</v>
      </c>
      <c r="E200" s="118">
        <f t="shared" ref="E200:X200" si="61">E201+E202</f>
        <v>1307667</v>
      </c>
      <c r="F200" s="118">
        <f t="shared" si="61"/>
        <v>93093</v>
      </c>
      <c r="G200" s="118">
        <f>G201+G202</f>
        <v>2152481.48</v>
      </c>
      <c r="H200" s="118">
        <f t="shared" ref="H200:I200" si="62">H201+H202</f>
        <v>1307657.33</v>
      </c>
      <c r="I200" s="118">
        <f t="shared" si="62"/>
        <v>82596.350000000006</v>
      </c>
      <c r="J200" s="135">
        <f t="shared" si="27"/>
        <v>97.754310082518515</v>
      </c>
      <c r="K200" s="118">
        <f t="shared" si="61"/>
        <v>2012500</v>
      </c>
      <c r="L200" s="118">
        <f t="shared" ref="L200" si="63">L201+L202</f>
        <v>2007200</v>
      </c>
      <c r="M200" s="118">
        <f t="shared" si="61"/>
        <v>5300</v>
      </c>
      <c r="N200" s="118">
        <f t="shared" si="61"/>
        <v>0</v>
      </c>
      <c r="O200" s="118">
        <f t="shared" si="61"/>
        <v>1400</v>
      </c>
      <c r="P200" s="118">
        <f t="shared" si="61"/>
        <v>2007200</v>
      </c>
      <c r="Q200" s="118">
        <f t="shared" ref="Q200:V200" si="64">Q201+Q202</f>
        <v>2001944.44</v>
      </c>
      <c r="R200" s="118">
        <f t="shared" si="64"/>
        <v>1963759.01</v>
      </c>
      <c r="S200" s="118">
        <f t="shared" si="64"/>
        <v>28385.43</v>
      </c>
      <c r="T200" s="118">
        <f t="shared" si="64"/>
        <v>0</v>
      </c>
      <c r="U200" s="118">
        <f t="shared" si="64"/>
        <v>1144</v>
      </c>
      <c r="V200" s="118">
        <f t="shared" si="64"/>
        <v>1973559.01</v>
      </c>
      <c r="W200" s="135">
        <f t="shared" si="31"/>
        <v>99.475500124223601</v>
      </c>
      <c r="X200" s="118">
        <f t="shared" si="61"/>
        <v>4154425.92</v>
      </c>
      <c r="Y200" s="187"/>
      <c r="Z200" s="167"/>
    </row>
    <row r="201" spans="1:26" s="12" customFormat="1" ht="36.75" customHeight="1" x14ac:dyDescent="0.25">
      <c r="A201" s="102" t="s">
        <v>13</v>
      </c>
      <c r="B201" s="102" t="s">
        <v>121</v>
      </c>
      <c r="C201" s="7" t="s">
        <v>387</v>
      </c>
      <c r="D201" s="119">
        <f>'дод 2'!E43+'дод 2'!E188</f>
        <v>450600</v>
      </c>
      <c r="E201" s="119">
        <f>'дод 2'!F43+'дод 2'!F188</f>
        <v>0</v>
      </c>
      <c r="F201" s="119">
        <f>'дод 2'!G43+'дод 2'!G188</f>
        <v>6500</v>
      </c>
      <c r="G201" s="119">
        <f>'дод 2'!H43+'дод 2'!H188</f>
        <v>415647.15</v>
      </c>
      <c r="H201" s="119">
        <f>'дод 2'!I43+'дод 2'!I188</f>
        <v>0</v>
      </c>
      <c r="I201" s="119">
        <f>'дод 2'!J43+'дод 2'!J188</f>
        <v>2101.0300000000002</v>
      </c>
      <c r="J201" s="164">
        <f t="shared" si="27"/>
        <v>92.243042609853532</v>
      </c>
      <c r="K201" s="119">
        <f>'дод 2'!L43+'дод 2'!L188</f>
        <v>2007200</v>
      </c>
      <c r="L201" s="119">
        <f>'дод 2'!M43+'дод 2'!M188</f>
        <v>2007200</v>
      </c>
      <c r="M201" s="119">
        <f>'дод 2'!N43+'дод 2'!N188</f>
        <v>0</v>
      </c>
      <c r="N201" s="119">
        <f>'дод 2'!O43+'дод 2'!O188</f>
        <v>0</v>
      </c>
      <c r="O201" s="119">
        <f>'дод 2'!P43+'дод 2'!P188</f>
        <v>0</v>
      </c>
      <c r="P201" s="119">
        <f>'дод 2'!Q43+'дод 2'!Q188</f>
        <v>2007200</v>
      </c>
      <c r="Q201" s="119">
        <f>'дод 2'!R43+'дод 2'!R188</f>
        <v>1963759.01</v>
      </c>
      <c r="R201" s="119">
        <f>'дод 2'!S43+'дод 2'!S188</f>
        <v>1963759.01</v>
      </c>
      <c r="S201" s="119">
        <f>'дод 2'!T43+'дод 2'!T188</f>
        <v>0</v>
      </c>
      <c r="T201" s="119">
        <f>'дод 2'!U43+'дод 2'!U188</f>
        <v>0</v>
      </c>
      <c r="U201" s="119">
        <f>'дод 2'!V43+'дод 2'!V188</f>
        <v>0</v>
      </c>
      <c r="V201" s="119">
        <f>'дод 2'!W43+'дод 2'!W188</f>
        <v>1963759.01</v>
      </c>
      <c r="W201" s="164">
        <f t="shared" si="31"/>
        <v>97.835741829414118</v>
      </c>
      <c r="X201" s="119">
        <f>'дод 2'!Y43+'дод 2'!Y188</f>
        <v>2379406.16</v>
      </c>
      <c r="Y201" s="187"/>
      <c r="Z201" s="167"/>
    </row>
    <row r="202" spans="1:26" ht="24.75" customHeight="1" x14ac:dyDescent="0.25">
      <c r="A202" s="99" t="s">
        <v>200</v>
      </c>
      <c r="B202" s="104" t="s">
        <v>121</v>
      </c>
      <c r="C202" s="7" t="s">
        <v>14</v>
      </c>
      <c r="D202" s="119">
        <f>'дод 2'!E44</f>
        <v>1751330</v>
      </c>
      <c r="E202" s="119">
        <f>'дод 2'!F44</f>
        <v>1307667</v>
      </c>
      <c r="F202" s="119">
        <f>'дод 2'!G44</f>
        <v>86593</v>
      </c>
      <c r="G202" s="119">
        <f>'дод 2'!H44</f>
        <v>1736834.33</v>
      </c>
      <c r="H202" s="119">
        <f>'дод 2'!I44</f>
        <v>1307657.33</v>
      </c>
      <c r="I202" s="119">
        <f>'дод 2'!J44</f>
        <v>80495.320000000007</v>
      </c>
      <c r="J202" s="164">
        <f t="shared" si="27"/>
        <v>99.172305048163395</v>
      </c>
      <c r="K202" s="119">
        <f>'дод 2'!L44</f>
        <v>5300</v>
      </c>
      <c r="L202" s="119">
        <f>'дод 2'!M44</f>
        <v>0</v>
      </c>
      <c r="M202" s="119">
        <f>'дод 2'!N44</f>
        <v>5300</v>
      </c>
      <c r="N202" s="119">
        <f>'дод 2'!O44</f>
        <v>0</v>
      </c>
      <c r="O202" s="119">
        <f>'дод 2'!P44</f>
        <v>1400</v>
      </c>
      <c r="P202" s="119">
        <f>'дод 2'!Q44</f>
        <v>0</v>
      </c>
      <c r="Q202" s="119">
        <f>'дод 2'!R44</f>
        <v>38185.43</v>
      </c>
      <c r="R202" s="119">
        <f>'дод 2'!S44</f>
        <v>0</v>
      </c>
      <c r="S202" s="119">
        <f>'дод 2'!T44</f>
        <v>28385.43</v>
      </c>
      <c r="T202" s="119">
        <f>'дод 2'!U44</f>
        <v>0</v>
      </c>
      <c r="U202" s="119">
        <f>'дод 2'!V44</f>
        <v>1144</v>
      </c>
      <c r="V202" s="119">
        <f>'дод 2'!W44</f>
        <v>9800</v>
      </c>
      <c r="W202" s="164">
        <f t="shared" si="31"/>
        <v>720.47981132075472</v>
      </c>
      <c r="X202" s="119">
        <f>'дод 2'!Y44</f>
        <v>1775019.76</v>
      </c>
      <c r="Y202" s="187"/>
      <c r="Z202" s="167"/>
    </row>
    <row r="203" spans="1:26" s="12" customFormat="1" ht="30" customHeight="1" x14ac:dyDescent="0.25">
      <c r="A203" s="100" t="s">
        <v>322</v>
      </c>
      <c r="B203" s="100"/>
      <c r="C203" s="20" t="s">
        <v>323</v>
      </c>
      <c r="D203" s="118">
        <f>D204</f>
        <v>819800</v>
      </c>
      <c r="E203" s="118">
        <f t="shared" ref="E203:X203" si="65">E204</f>
        <v>0</v>
      </c>
      <c r="F203" s="118">
        <f t="shared" si="65"/>
        <v>270496</v>
      </c>
      <c r="G203" s="118">
        <f>G204</f>
        <v>763792.71</v>
      </c>
      <c r="H203" s="118">
        <f t="shared" si="65"/>
        <v>0</v>
      </c>
      <c r="I203" s="118">
        <f t="shared" si="65"/>
        <v>223775.29</v>
      </c>
      <c r="J203" s="135">
        <f t="shared" si="27"/>
        <v>93.168176384484013</v>
      </c>
      <c r="K203" s="118">
        <f t="shared" si="65"/>
        <v>0</v>
      </c>
      <c r="L203" s="118">
        <f t="shared" si="65"/>
        <v>0</v>
      </c>
      <c r="M203" s="118">
        <f t="shared" si="65"/>
        <v>0</v>
      </c>
      <c r="N203" s="118">
        <f t="shared" si="65"/>
        <v>0</v>
      </c>
      <c r="O203" s="118">
        <f t="shared" si="65"/>
        <v>0</v>
      </c>
      <c r="P203" s="118">
        <f t="shared" si="65"/>
        <v>0</v>
      </c>
      <c r="Q203" s="118">
        <f t="shared" si="65"/>
        <v>0</v>
      </c>
      <c r="R203" s="118">
        <f t="shared" si="65"/>
        <v>0</v>
      </c>
      <c r="S203" s="118">
        <f t="shared" si="65"/>
        <v>0</v>
      </c>
      <c r="T203" s="118">
        <f t="shared" si="65"/>
        <v>0</v>
      </c>
      <c r="U203" s="118">
        <f t="shared" si="65"/>
        <v>0</v>
      </c>
      <c r="V203" s="118">
        <f t="shared" si="65"/>
        <v>0</v>
      </c>
      <c r="W203" s="135"/>
      <c r="X203" s="118">
        <f t="shared" si="65"/>
        <v>763792.71</v>
      </c>
      <c r="Y203" s="187"/>
      <c r="Z203" s="167"/>
    </row>
    <row r="204" spans="1:26" ht="30" customHeight="1" x14ac:dyDescent="0.25">
      <c r="A204" s="99" t="s">
        <v>316</v>
      </c>
      <c r="B204" s="104" t="s">
        <v>317</v>
      </c>
      <c r="C204" s="7" t="s">
        <v>318</v>
      </c>
      <c r="D204" s="119">
        <f>'дод 2'!E45</f>
        <v>819800</v>
      </c>
      <c r="E204" s="119">
        <f>'дод 2'!F45</f>
        <v>0</v>
      </c>
      <c r="F204" s="119">
        <f>'дод 2'!G45</f>
        <v>270496</v>
      </c>
      <c r="G204" s="119">
        <f>'дод 2'!H45</f>
        <v>763792.71</v>
      </c>
      <c r="H204" s="119">
        <f>'дод 2'!I45</f>
        <v>0</v>
      </c>
      <c r="I204" s="119">
        <f>'дод 2'!J45</f>
        <v>223775.29</v>
      </c>
      <c r="J204" s="164">
        <f t="shared" si="27"/>
        <v>93.168176384484013</v>
      </c>
      <c r="K204" s="119">
        <f>'дод 2'!L45</f>
        <v>0</v>
      </c>
      <c r="L204" s="119">
        <f>'дод 2'!M45</f>
        <v>0</v>
      </c>
      <c r="M204" s="119">
        <f>'дод 2'!N45</f>
        <v>0</v>
      </c>
      <c r="N204" s="119">
        <f>'дод 2'!O45</f>
        <v>0</v>
      </c>
      <c r="O204" s="119">
        <f>'дод 2'!P45</f>
        <v>0</v>
      </c>
      <c r="P204" s="119">
        <f>'дод 2'!Q45</f>
        <v>0</v>
      </c>
      <c r="Q204" s="119">
        <f>'дод 2'!R45</f>
        <v>0</v>
      </c>
      <c r="R204" s="119">
        <f>'дод 2'!S45</f>
        <v>0</v>
      </c>
      <c r="S204" s="119">
        <f>'дод 2'!T45</f>
        <v>0</v>
      </c>
      <c r="T204" s="119">
        <f>'дод 2'!U45</f>
        <v>0</v>
      </c>
      <c r="U204" s="119">
        <f>'дод 2'!V45</f>
        <v>0</v>
      </c>
      <c r="V204" s="119">
        <f>'дод 2'!W45</f>
        <v>0</v>
      </c>
      <c r="W204" s="164"/>
      <c r="X204" s="119">
        <f>'дод 2'!Y45</f>
        <v>763792.71</v>
      </c>
      <c r="Y204" s="187"/>
      <c r="Z204" s="167"/>
    </row>
    <row r="205" spans="1:26" s="12" customFormat="1" ht="22.5" customHeight="1" x14ac:dyDescent="0.25">
      <c r="A205" s="100" t="s">
        <v>10</v>
      </c>
      <c r="B205" s="101"/>
      <c r="C205" s="6" t="s">
        <v>15</v>
      </c>
      <c r="D205" s="118">
        <f>D206+D207</f>
        <v>0</v>
      </c>
      <c r="E205" s="118">
        <f t="shared" ref="E205:X205" si="66">E206+E207</f>
        <v>0</v>
      </c>
      <c r="F205" s="118">
        <f t="shared" si="66"/>
        <v>0</v>
      </c>
      <c r="G205" s="118">
        <f>G206+G207</f>
        <v>0</v>
      </c>
      <c r="H205" s="118">
        <f t="shared" si="66"/>
        <v>0</v>
      </c>
      <c r="I205" s="118">
        <f t="shared" si="66"/>
        <v>0</v>
      </c>
      <c r="J205" s="135"/>
      <c r="K205" s="118">
        <f t="shared" si="66"/>
        <v>5740900</v>
      </c>
      <c r="L205" s="118">
        <f t="shared" ref="L205" si="67">L206+L207</f>
        <v>0</v>
      </c>
      <c r="M205" s="118">
        <f t="shared" si="66"/>
        <v>3066780</v>
      </c>
      <c r="N205" s="118">
        <f t="shared" si="66"/>
        <v>0</v>
      </c>
      <c r="O205" s="118">
        <f t="shared" si="66"/>
        <v>540000</v>
      </c>
      <c r="P205" s="118">
        <f t="shared" si="66"/>
        <v>2674120</v>
      </c>
      <c r="Q205" s="118">
        <f t="shared" si="66"/>
        <v>4213057.63</v>
      </c>
      <c r="R205" s="118">
        <f t="shared" si="66"/>
        <v>0</v>
      </c>
      <c r="S205" s="118">
        <f t="shared" si="66"/>
        <v>2855193.83</v>
      </c>
      <c r="T205" s="118">
        <f t="shared" si="66"/>
        <v>0</v>
      </c>
      <c r="U205" s="118">
        <f t="shared" si="66"/>
        <v>540000</v>
      </c>
      <c r="V205" s="118">
        <f t="shared" si="66"/>
        <v>1357863.8</v>
      </c>
      <c r="W205" s="135">
        <f t="shared" si="31"/>
        <v>73.386709923531157</v>
      </c>
      <c r="X205" s="118">
        <f t="shared" si="66"/>
        <v>4213057.63</v>
      </c>
      <c r="Y205" s="187"/>
      <c r="Z205" s="167"/>
    </row>
    <row r="206" spans="1:26" s="12" customFormat="1" ht="15.75" hidden="1" customHeight="1" x14ac:dyDescent="0.25">
      <c r="A206" s="99" t="s">
        <v>16</v>
      </c>
      <c r="B206" s="99" t="s">
        <v>120</v>
      </c>
      <c r="C206" s="7" t="s">
        <v>30</v>
      </c>
      <c r="D206" s="119">
        <f>'дод 2'!E239</f>
        <v>0</v>
      </c>
      <c r="E206" s="119">
        <f>'дод 2'!F239</f>
        <v>0</v>
      </c>
      <c r="F206" s="119">
        <f>'дод 2'!G239</f>
        <v>0</v>
      </c>
      <c r="G206" s="119"/>
      <c r="H206" s="119"/>
      <c r="I206" s="119"/>
      <c r="J206" s="135" t="e">
        <f t="shared" ref="J206:J231" si="68">G206/D206*100</f>
        <v>#DIV/0!</v>
      </c>
      <c r="K206" s="119">
        <f>'дод 2'!L239</f>
        <v>0</v>
      </c>
      <c r="L206" s="119">
        <f>'дод 2'!M239</f>
        <v>0</v>
      </c>
      <c r="M206" s="119">
        <f>'дод 2'!N239</f>
        <v>0</v>
      </c>
      <c r="N206" s="119">
        <f>'дод 2'!O239</f>
        <v>0</v>
      </c>
      <c r="O206" s="119">
        <f>'дод 2'!P239</f>
        <v>0</v>
      </c>
      <c r="P206" s="119">
        <f>'дод 2'!Q239</f>
        <v>0</v>
      </c>
      <c r="Q206" s="119"/>
      <c r="R206" s="119"/>
      <c r="S206" s="119"/>
      <c r="T206" s="119"/>
      <c r="U206" s="119"/>
      <c r="V206" s="119"/>
      <c r="W206" s="135" t="e">
        <f t="shared" ref="W206:W231" si="69">Q206/K206*100</f>
        <v>#DIV/0!</v>
      </c>
      <c r="X206" s="119">
        <f>'дод 2'!Y239</f>
        <v>0</v>
      </c>
      <c r="Y206" s="187"/>
      <c r="Z206" s="167"/>
    </row>
    <row r="207" spans="1:26" s="12" customFormat="1" ht="25.5" customHeight="1" x14ac:dyDescent="0.25">
      <c r="A207" s="99" t="s">
        <v>17</v>
      </c>
      <c r="B207" s="99" t="s">
        <v>124</v>
      </c>
      <c r="C207" s="7" t="s">
        <v>18</v>
      </c>
      <c r="D207" s="119">
        <f>'дод 2'!E46+'дод 2'!E78+'дод 2'!E109+'дод 2'!E240+'дод 2'!E305</f>
        <v>0</v>
      </c>
      <c r="E207" s="119">
        <f>'дод 2'!F46+'дод 2'!F78+'дод 2'!F109+'дод 2'!F240+'дод 2'!F305</f>
        <v>0</v>
      </c>
      <c r="F207" s="119">
        <f>'дод 2'!G46+'дод 2'!G78+'дод 2'!G109+'дод 2'!G240+'дод 2'!G305</f>
        <v>0</v>
      </c>
      <c r="G207" s="119">
        <f>'дод 2'!H46+'дод 2'!H78+'дод 2'!H109+'дод 2'!H240+'дод 2'!H305</f>
        <v>0</v>
      </c>
      <c r="H207" s="119">
        <f>'дод 2'!I46+'дод 2'!I78+'дод 2'!I109+'дод 2'!I240+'дод 2'!I305</f>
        <v>0</v>
      </c>
      <c r="I207" s="119">
        <f>'дод 2'!J46+'дод 2'!J78+'дод 2'!J109+'дод 2'!J240+'дод 2'!J305</f>
        <v>0</v>
      </c>
      <c r="J207" s="135"/>
      <c r="K207" s="119">
        <f>'дод 2'!L46+'дод 2'!L78+'дод 2'!L109+'дод 2'!L240+'дод 2'!L305</f>
        <v>5740900</v>
      </c>
      <c r="L207" s="119">
        <f>'дод 2'!M46+'дод 2'!M78+'дод 2'!M109+'дод 2'!M240+'дод 2'!M305</f>
        <v>0</v>
      </c>
      <c r="M207" s="119">
        <f>'дод 2'!N46+'дод 2'!N78+'дод 2'!N109+'дод 2'!N240+'дод 2'!N305</f>
        <v>3066780</v>
      </c>
      <c r="N207" s="119">
        <f>'дод 2'!O46+'дод 2'!O78+'дод 2'!O109+'дод 2'!O240+'дод 2'!O305</f>
        <v>0</v>
      </c>
      <c r="O207" s="119">
        <f>'дод 2'!P46+'дод 2'!P78+'дод 2'!P109+'дод 2'!P240+'дод 2'!P305</f>
        <v>540000</v>
      </c>
      <c r="P207" s="119">
        <f>'дод 2'!Q46+'дод 2'!Q78+'дод 2'!Q109+'дод 2'!Q240+'дод 2'!Q305</f>
        <v>2674120</v>
      </c>
      <c r="Q207" s="119">
        <f>'дод 2'!R46+'дод 2'!R78+'дод 2'!R109+'дод 2'!R240+'дод 2'!R305</f>
        <v>4213057.63</v>
      </c>
      <c r="R207" s="119">
        <f>'дод 2'!S46+'дод 2'!S78+'дод 2'!S109+'дод 2'!S240+'дод 2'!S305</f>
        <v>0</v>
      </c>
      <c r="S207" s="119">
        <f>'дод 2'!T46+'дод 2'!T78+'дод 2'!T109+'дод 2'!T240+'дод 2'!T305</f>
        <v>2855193.83</v>
      </c>
      <c r="T207" s="119">
        <f>'дод 2'!U46+'дод 2'!U78+'дод 2'!U109+'дод 2'!U240+'дод 2'!U305</f>
        <v>0</v>
      </c>
      <c r="U207" s="119">
        <f>'дод 2'!V46+'дод 2'!V78+'дод 2'!V109+'дод 2'!V240+'дод 2'!V305</f>
        <v>540000</v>
      </c>
      <c r="V207" s="119">
        <f>'дод 2'!W46+'дод 2'!W78+'дод 2'!W109+'дод 2'!W240+'дод 2'!W305</f>
        <v>1357863.8</v>
      </c>
      <c r="W207" s="164">
        <f t="shared" si="69"/>
        <v>73.386709923531157</v>
      </c>
      <c r="X207" s="119">
        <f>'дод 2'!Y46+'дод 2'!Y78+'дод 2'!Y109+'дод 2'!Y240+'дод 2'!Y305</f>
        <v>4213057.63</v>
      </c>
      <c r="Y207" s="187"/>
      <c r="Z207" s="167"/>
    </row>
    <row r="208" spans="1:26" s="12" customFormat="1" ht="26.25" customHeight="1" x14ac:dyDescent="0.25">
      <c r="A208" s="100" t="s">
        <v>177</v>
      </c>
      <c r="B208" s="101"/>
      <c r="C208" s="6" t="s">
        <v>105</v>
      </c>
      <c r="D208" s="118">
        <f>D209</f>
        <v>198000</v>
      </c>
      <c r="E208" s="118">
        <f t="shared" ref="E208:X208" si="70">E209</f>
        <v>0</v>
      </c>
      <c r="F208" s="118">
        <f t="shared" si="70"/>
        <v>0</v>
      </c>
      <c r="G208" s="118">
        <f>G209</f>
        <v>197794.88</v>
      </c>
      <c r="H208" s="118">
        <f t="shared" si="70"/>
        <v>0</v>
      </c>
      <c r="I208" s="118">
        <f t="shared" si="70"/>
        <v>0</v>
      </c>
      <c r="J208" s="135">
        <f t="shared" si="68"/>
        <v>99.896404040404036</v>
      </c>
      <c r="K208" s="118">
        <f t="shared" si="70"/>
        <v>0</v>
      </c>
      <c r="L208" s="118">
        <f t="shared" si="70"/>
        <v>0</v>
      </c>
      <c r="M208" s="118">
        <f t="shared" si="70"/>
        <v>0</v>
      </c>
      <c r="N208" s="118">
        <f t="shared" si="70"/>
        <v>0</v>
      </c>
      <c r="O208" s="118">
        <f t="shared" si="70"/>
        <v>0</v>
      </c>
      <c r="P208" s="118">
        <f t="shared" si="70"/>
        <v>0</v>
      </c>
      <c r="Q208" s="118">
        <f t="shared" si="70"/>
        <v>0</v>
      </c>
      <c r="R208" s="118">
        <f t="shared" si="70"/>
        <v>0</v>
      </c>
      <c r="S208" s="118">
        <f t="shared" si="70"/>
        <v>0</v>
      </c>
      <c r="T208" s="118">
        <f t="shared" si="70"/>
        <v>0</v>
      </c>
      <c r="U208" s="118">
        <f t="shared" si="70"/>
        <v>0</v>
      </c>
      <c r="V208" s="118">
        <f t="shared" si="70"/>
        <v>0</v>
      </c>
      <c r="W208" s="135"/>
      <c r="X208" s="118">
        <f t="shared" si="70"/>
        <v>197794.88</v>
      </c>
      <c r="Y208" s="187"/>
      <c r="Z208" s="167"/>
    </row>
    <row r="209" spans="1:26" s="12" customFormat="1" ht="25.5" customHeight="1" x14ac:dyDescent="0.25">
      <c r="A209" s="99" t="s">
        <v>327</v>
      </c>
      <c r="B209" s="104" t="s">
        <v>106</v>
      </c>
      <c r="C209" s="7" t="s">
        <v>328</v>
      </c>
      <c r="D209" s="119">
        <f>'дод 2'!E47</f>
        <v>198000</v>
      </c>
      <c r="E209" s="119">
        <f>'дод 2'!F47</f>
        <v>0</v>
      </c>
      <c r="F209" s="119">
        <f>'дод 2'!G47</f>
        <v>0</v>
      </c>
      <c r="G209" s="119">
        <f>'дод 2'!H47</f>
        <v>197794.88</v>
      </c>
      <c r="H209" s="119">
        <f>'дод 2'!I47</f>
        <v>0</v>
      </c>
      <c r="I209" s="119">
        <f>'дод 2'!J47</f>
        <v>0</v>
      </c>
      <c r="J209" s="164">
        <f t="shared" si="68"/>
        <v>99.896404040404036</v>
      </c>
      <c r="K209" s="119">
        <f>'дод 2'!L47</f>
        <v>0</v>
      </c>
      <c r="L209" s="119">
        <f>'дод 2'!M47</f>
        <v>0</v>
      </c>
      <c r="M209" s="119">
        <f>'дод 2'!N47</f>
        <v>0</v>
      </c>
      <c r="N209" s="119">
        <f>'дод 2'!O47</f>
        <v>0</v>
      </c>
      <c r="O209" s="119">
        <f>'дод 2'!P47</f>
        <v>0</v>
      </c>
      <c r="P209" s="119">
        <f>'дод 2'!Q47</f>
        <v>0</v>
      </c>
      <c r="Q209" s="119">
        <f>'дод 2'!R47</f>
        <v>0</v>
      </c>
      <c r="R209" s="119">
        <f>'дод 2'!S47</f>
        <v>0</v>
      </c>
      <c r="S209" s="119">
        <f>'дод 2'!T47</f>
        <v>0</v>
      </c>
      <c r="T209" s="119">
        <f>'дод 2'!U47</f>
        <v>0</v>
      </c>
      <c r="U209" s="119">
        <f>'дод 2'!V47</f>
        <v>0</v>
      </c>
      <c r="V209" s="119">
        <f>'дод 2'!W47</f>
        <v>0</v>
      </c>
      <c r="W209" s="164"/>
      <c r="X209" s="119">
        <f>'дод 2'!Y47</f>
        <v>197794.88</v>
      </c>
      <c r="Y209" s="187"/>
      <c r="Z209" s="167"/>
    </row>
    <row r="210" spans="1:26" s="12" customFormat="1" ht="25.5" hidden="1" customHeight="1" x14ac:dyDescent="0.25">
      <c r="A210" s="100">
        <v>8500</v>
      </c>
      <c r="B210" s="121" t="s">
        <v>68</v>
      </c>
      <c r="C210" s="129" t="s">
        <v>597</v>
      </c>
      <c r="D210" s="118">
        <f>SUM('дод 2'!E306)</f>
        <v>0</v>
      </c>
      <c r="E210" s="118">
        <f>SUM('дод 2'!F306)</f>
        <v>0</v>
      </c>
      <c r="F210" s="118">
        <f>SUM('дод 2'!G306)</f>
        <v>0</v>
      </c>
      <c r="G210" s="118"/>
      <c r="H210" s="118"/>
      <c r="I210" s="118"/>
      <c r="J210" s="135" t="e">
        <f t="shared" si="68"/>
        <v>#DIV/0!</v>
      </c>
      <c r="K210" s="118">
        <f>SUM('дод 2'!L306)</f>
        <v>0</v>
      </c>
      <c r="L210" s="118">
        <f>SUM('дод 2'!M306)</f>
        <v>0</v>
      </c>
      <c r="M210" s="118">
        <f>SUM('дод 2'!N306)</f>
        <v>0</v>
      </c>
      <c r="N210" s="118">
        <f>SUM('дод 2'!O306)</f>
        <v>0</v>
      </c>
      <c r="O210" s="118">
        <f>SUM('дод 2'!P306)</f>
        <v>0</v>
      </c>
      <c r="P210" s="118">
        <f>SUM('дод 2'!Q306)</f>
        <v>0</v>
      </c>
      <c r="Q210" s="118"/>
      <c r="R210" s="118"/>
      <c r="S210" s="118"/>
      <c r="T210" s="118"/>
      <c r="U210" s="118"/>
      <c r="V210" s="118"/>
      <c r="W210" s="135" t="e">
        <f t="shared" si="69"/>
        <v>#DIV/0!</v>
      </c>
      <c r="X210" s="118">
        <f>SUM('дод 2'!Y306)</f>
        <v>0</v>
      </c>
      <c r="Y210" s="187"/>
      <c r="Z210" s="167"/>
    </row>
    <row r="211" spans="1:26" s="12" customFormat="1" ht="21.75" hidden="1" customHeight="1" x14ac:dyDescent="0.25">
      <c r="A211" s="99"/>
      <c r="B211" s="120"/>
      <c r="C211" s="87" t="s">
        <v>342</v>
      </c>
      <c r="D211" s="119">
        <f>SUM('дод 2'!E307)</f>
        <v>0</v>
      </c>
      <c r="E211" s="119">
        <f>SUM('дод 2'!F307)</f>
        <v>0</v>
      </c>
      <c r="F211" s="119">
        <f>SUM('дод 2'!G307)</f>
        <v>0</v>
      </c>
      <c r="G211" s="119"/>
      <c r="H211" s="119"/>
      <c r="I211" s="119"/>
      <c r="J211" s="135" t="e">
        <f t="shared" si="68"/>
        <v>#DIV/0!</v>
      </c>
      <c r="K211" s="119">
        <f>SUM('дод 2'!L307)</f>
        <v>0</v>
      </c>
      <c r="L211" s="119">
        <f>SUM('дод 2'!M307)</f>
        <v>0</v>
      </c>
      <c r="M211" s="119">
        <f>SUM('дод 2'!N307)</f>
        <v>0</v>
      </c>
      <c r="N211" s="119">
        <f>SUM('дод 2'!O307)</f>
        <v>0</v>
      </c>
      <c r="O211" s="119">
        <f>SUM('дод 2'!P307)</f>
        <v>0</v>
      </c>
      <c r="P211" s="119">
        <f>SUM('дод 2'!Q307)</f>
        <v>0</v>
      </c>
      <c r="Q211" s="119"/>
      <c r="R211" s="119"/>
      <c r="S211" s="119"/>
      <c r="T211" s="119"/>
      <c r="U211" s="119"/>
      <c r="V211" s="119"/>
      <c r="W211" s="135" t="e">
        <f t="shared" si="69"/>
        <v>#DIV/0!</v>
      </c>
      <c r="X211" s="119">
        <f>SUM('дод 2'!Y307)</f>
        <v>0</v>
      </c>
      <c r="Y211" s="187"/>
      <c r="Z211" s="167"/>
    </row>
    <row r="212" spans="1:26" s="12" customFormat="1" ht="26.25" customHeight="1" x14ac:dyDescent="0.25">
      <c r="A212" s="100" t="s">
        <v>127</v>
      </c>
      <c r="B212" s="100" t="s">
        <v>122</v>
      </c>
      <c r="C212" s="6" t="s">
        <v>19</v>
      </c>
      <c r="D212" s="118">
        <f>'дод 2'!E308</f>
        <v>102992.66</v>
      </c>
      <c r="E212" s="118">
        <f>'дод 2'!F308</f>
        <v>0</v>
      </c>
      <c r="F212" s="118">
        <f>'дод 2'!G308</f>
        <v>0</v>
      </c>
      <c r="G212" s="118">
        <f>'дод 2'!H308</f>
        <v>102992.66</v>
      </c>
      <c r="H212" s="118">
        <f>'дод 2'!I308</f>
        <v>0</v>
      </c>
      <c r="I212" s="118">
        <f>'дод 2'!J308</f>
        <v>0</v>
      </c>
      <c r="J212" s="135">
        <f t="shared" si="68"/>
        <v>100</v>
      </c>
      <c r="K212" s="118">
        <f>'дод 2'!L308</f>
        <v>0</v>
      </c>
      <c r="L212" s="118">
        <f>'дод 2'!M308</f>
        <v>0</v>
      </c>
      <c r="M212" s="118">
        <f>'дод 2'!N308</f>
        <v>0</v>
      </c>
      <c r="N212" s="118">
        <f>'дод 2'!O308</f>
        <v>0</v>
      </c>
      <c r="O212" s="118">
        <f>'дод 2'!P308</f>
        <v>0</v>
      </c>
      <c r="P212" s="118">
        <f>'дод 2'!Q308</f>
        <v>0</v>
      </c>
      <c r="Q212" s="118">
        <f>'дод 2'!R308</f>
        <v>0</v>
      </c>
      <c r="R212" s="118">
        <f>'дод 2'!S308</f>
        <v>0</v>
      </c>
      <c r="S212" s="118">
        <f>'дод 2'!T308</f>
        <v>0</v>
      </c>
      <c r="T212" s="118">
        <f>'дод 2'!U308</f>
        <v>0</v>
      </c>
      <c r="U212" s="118">
        <f>'дод 2'!V308</f>
        <v>0</v>
      </c>
      <c r="V212" s="118">
        <f>'дод 2'!W308</f>
        <v>0</v>
      </c>
      <c r="W212" s="135"/>
      <c r="X212" s="118">
        <f>'дод 2'!Y308</f>
        <v>102992.66</v>
      </c>
      <c r="Y212" s="187"/>
      <c r="Z212" s="167"/>
    </row>
    <row r="213" spans="1:26" s="12" customFormat="1" ht="26.25" customHeight="1" x14ac:dyDescent="0.25">
      <c r="A213" s="100" t="s">
        <v>20</v>
      </c>
      <c r="B213" s="100" t="s">
        <v>125</v>
      </c>
      <c r="C213" s="6" t="s">
        <v>33</v>
      </c>
      <c r="D213" s="118">
        <f>'дод 2'!E309</f>
        <v>8084814.1600000001</v>
      </c>
      <c r="E213" s="118">
        <f>'дод 2'!F309</f>
        <v>0</v>
      </c>
      <c r="F213" s="118">
        <f>'дод 2'!G309</f>
        <v>0</v>
      </c>
      <c r="G213" s="118">
        <f>'дод 2'!H309</f>
        <v>0</v>
      </c>
      <c r="H213" s="118">
        <f>'дод 2'!I309</f>
        <v>0</v>
      </c>
      <c r="I213" s="118">
        <f>'дод 2'!J309</f>
        <v>0</v>
      </c>
      <c r="J213" s="135">
        <f t="shared" si="68"/>
        <v>0</v>
      </c>
      <c r="K213" s="118">
        <f>'дод 2'!L309</f>
        <v>0</v>
      </c>
      <c r="L213" s="118">
        <f>'дод 2'!M309</f>
        <v>0</v>
      </c>
      <c r="M213" s="118">
        <f>'дод 2'!N309</f>
        <v>0</v>
      </c>
      <c r="N213" s="118">
        <f>'дод 2'!O309</f>
        <v>0</v>
      </c>
      <c r="O213" s="118">
        <f>'дод 2'!P309</f>
        <v>0</v>
      </c>
      <c r="P213" s="118">
        <f>'дод 2'!Q309</f>
        <v>0</v>
      </c>
      <c r="Q213" s="118">
        <f>'дод 2'!R309</f>
        <v>0</v>
      </c>
      <c r="R213" s="118">
        <f>'дод 2'!S309</f>
        <v>0</v>
      </c>
      <c r="S213" s="118">
        <f>'дод 2'!T309</f>
        <v>0</v>
      </c>
      <c r="T213" s="118">
        <f>'дод 2'!U309</f>
        <v>0</v>
      </c>
      <c r="U213" s="118">
        <f>'дод 2'!V309</f>
        <v>0</v>
      </c>
      <c r="V213" s="118">
        <f>'дод 2'!W309</f>
        <v>0</v>
      </c>
      <c r="W213" s="135"/>
      <c r="X213" s="118">
        <f>'дод 2'!Y309</f>
        <v>0</v>
      </c>
      <c r="Y213" s="187"/>
      <c r="Z213" s="167"/>
    </row>
    <row r="214" spans="1:26" s="12" customFormat="1" ht="21.75" customHeight="1" x14ac:dyDescent="0.25">
      <c r="A214" s="100" t="s">
        <v>21</v>
      </c>
      <c r="B214" s="100"/>
      <c r="C214" s="6" t="s">
        <v>143</v>
      </c>
      <c r="D214" s="118">
        <f t="shared" ref="D214:X214" si="71">D216+D218+D226+D228</f>
        <v>116040718.08</v>
      </c>
      <c r="E214" s="118">
        <f t="shared" si="71"/>
        <v>0</v>
      </c>
      <c r="F214" s="118">
        <f t="shared" si="71"/>
        <v>0</v>
      </c>
      <c r="G214" s="118">
        <f>G216+G218+G226+G228+G229</f>
        <v>116024528.98</v>
      </c>
      <c r="H214" s="118">
        <f t="shared" ref="H214:I214" si="72">H216+H218+H226+H228+H229</f>
        <v>0</v>
      </c>
      <c r="I214" s="118">
        <f t="shared" si="72"/>
        <v>0</v>
      </c>
      <c r="J214" s="135">
        <f t="shared" si="68"/>
        <v>99.986048776439986</v>
      </c>
      <c r="K214" s="118">
        <f t="shared" si="71"/>
        <v>16843492</v>
      </c>
      <c r="L214" s="118">
        <f t="shared" si="71"/>
        <v>8843492</v>
      </c>
      <c r="M214" s="118">
        <f t="shared" si="71"/>
        <v>8000000</v>
      </c>
      <c r="N214" s="118">
        <f t="shared" si="71"/>
        <v>0</v>
      </c>
      <c r="O214" s="118">
        <f t="shared" si="71"/>
        <v>0</v>
      </c>
      <c r="P214" s="118">
        <f t="shared" si="71"/>
        <v>8843492</v>
      </c>
      <c r="Q214" s="118">
        <f>Q216+Q218+Q226+Q228+Q229</f>
        <v>16730633.640000001</v>
      </c>
      <c r="R214" s="118">
        <f t="shared" ref="R214:V214" si="73">R216+R218+R226+R228+R229</f>
        <v>8787208</v>
      </c>
      <c r="S214" s="118">
        <f t="shared" si="73"/>
        <v>7943425.6399999997</v>
      </c>
      <c r="T214" s="118">
        <f t="shared" si="73"/>
        <v>0</v>
      </c>
      <c r="U214" s="118">
        <f t="shared" si="73"/>
        <v>0</v>
      </c>
      <c r="V214" s="118">
        <f t="shared" si="73"/>
        <v>8787208</v>
      </c>
      <c r="W214" s="135">
        <f t="shared" si="69"/>
        <v>99.329958657029081</v>
      </c>
      <c r="X214" s="118">
        <f t="shared" si="71"/>
        <v>132755162.62</v>
      </c>
      <c r="Y214" s="187"/>
      <c r="Z214" s="167"/>
    </row>
    <row r="215" spans="1:26" s="12" customFormat="1" ht="17.25" customHeight="1" x14ac:dyDescent="0.25">
      <c r="A215" s="100"/>
      <c r="B215" s="100"/>
      <c r="C215" s="6" t="s">
        <v>342</v>
      </c>
      <c r="D215" s="118">
        <f>D219</f>
        <v>290000</v>
      </c>
      <c r="E215" s="118">
        <f t="shared" ref="E215:X215" si="74">E219</f>
        <v>0</v>
      </c>
      <c r="F215" s="118">
        <f t="shared" si="74"/>
        <v>0</v>
      </c>
      <c r="G215" s="118">
        <f>G219</f>
        <v>290000</v>
      </c>
      <c r="H215" s="118">
        <f t="shared" ref="H215:I215" si="75">H219</f>
        <v>0</v>
      </c>
      <c r="I215" s="118">
        <f t="shared" si="75"/>
        <v>0</v>
      </c>
      <c r="J215" s="135">
        <f t="shared" si="68"/>
        <v>100</v>
      </c>
      <c r="K215" s="118">
        <f t="shared" si="74"/>
        <v>8000000</v>
      </c>
      <c r="L215" s="118">
        <f t="shared" ref="L215" si="76">L219</f>
        <v>0</v>
      </c>
      <c r="M215" s="118">
        <f t="shared" si="74"/>
        <v>8000000</v>
      </c>
      <c r="N215" s="118">
        <f t="shared" si="74"/>
        <v>0</v>
      </c>
      <c r="O215" s="118">
        <f t="shared" si="74"/>
        <v>0</v>
      </c>
      <c r="P215" s="118">
        <f t="shared" si="74"/>
        <v>0</v>
      </c>
      <c r="Q215" s="118">
        <f t="shared" ref="Q215:V215" si="77">Q219</f>
        <v>7943425.6399999997</v>
      </c>
      <c r="R215" s="118">
        <f t="shared" si="77"/>
        <v>0</v>
      </c>
      <c r="S215" s="118">
        <f t="shared" si="77"/>
        <v>7943425.6399999997</v>
      </c>
      <c r="T215" s="118">
        <f t="shared" si="77"/>
        <v>0</v>
      </c>
      <c r="U215" s="118">
        <f t="shared" si="77"/>
        <v>0</v>
      </c>
      <c r="V215" s="118">
        <f t="shared" si="77"/>
        <v>0</v>
      </c>
      <c r="W215" s="135">
        <f t="shared" si="69"/>
        <v>99.292820500000005</v>
      </c>
      <c r="X215" s="118">
        <f t="shared" si="74"/>
        <v>8233425.6399999997</v>
      </c>
      <c r="Y215" s="187"/>
      <c r="Z215" s="167"/>
    </row>
    <row r="216" spans="1:26" s="12" customFormat="1" ht="21.75" customHeight="1" x14ac:dyDescent="0.25">
      <c r="A216" s="100" t="s">
        <v>325</v>
      </c>
      <c r="B216" s="100"/>
      <c r="C216" s="6" t="s">
        <v>388</v>
      </c>
      <c r="D216" s="118">
        <f>D217</f>
        <v>111090200</v>
      </c>
      <c r="E216" s="118">
        <f t="shared" ref="E216:X216" si="78">E217</f>
        <v>0</v>
      </c>
      <c r="F216" s="118">
        <f t="shared" si="78"/>
        <v>0</v>
      </c>
      <c r="G216" s="118">
        <f>G217</f>
        <v>111090200</v>
      </c>
      <c r="H216" s="118">
        <f t="shared" si="78"/>
        <v>0</v>
      </c>
      <c r="I216" s="118">
        <f t="shared" si="78"/>
        <v>0</v>
      </c>
      <c r="J216" s="135">
        <f t="shared" si="68"/>
        <v>100</v>
      </c>
      <c r="K216" s="118">
        <f t="shared" si="78"/>
        <v>0</v>
      </c>
      <c r="L216" s="118">
        <f t="shared" si="78"/>
        <v>0</v>
      </c>
      <c r="M216" s="118">
        <f t="shared" si="78"/>
        <v>0</v>
      </c>
      <c r="N216" s="118">
        <f t="shared" si="78"/>
        <v>0</v>
      </c>
      <c r="O216" s="118">
        <f t="shared" si="78"/>
        <v>0</v>
      </c>
      <c r="P216" s="118">
        <f t="shared" si="78"/>
        <v>0</v>
      </c>
      <c r="Q216" s="118">
        <f t="shared" si="78"/>
        <v>0</v>
      </c>
      <c r="R216" s="118">
        <f t="shared" si="78"/>
        <v>0</v>
      </c>
      <c r="S216" s="118">
        <f t="shared" si="78"/>
        <v>0</v>
      </c>
      <c r="T216" s="118">
        <f t="shared" si="78"/>
        <v>0</v>
      </c>
      <c r="U216" s="118">
        <f t="shared" si="78"/>
        <v>0</v>
      </c>
      <c r="V216" s="118">
        <f t="shared" si="78"/>
        <v>0</v>
      </c>
      <c r="W216" s="135"/>
      <c r="X216" s="118">
        <f t="shared" si="78"/>
        <v>111090200</v>
      </c>
      <c r="Y216" s="187"/>
      <c r="Z216" s="167"/>
    </row>
    <row r="217" spans="1:26" s="12" customFormat="1" ht="21.75" customHeight="1" x14ac:dyDescent="0.25">
      <c r="A217" s="99" t="s">
        <v>123</v>
      </c>
      <c r="B217" s="104" t="s">
        <v>68</v>
      </c>
      <c r="C217" s="7" t="s">
        <v>142</v>
      </c>
      <c r="D217" s="119">
        <f>'дод 2'!E310</f>
        <v>111090200</v>
      </c>
      <c r="E217" s="119">
        <f>'дод 2'!F310</f>
        <v>0</v>
      </c>
      <c r="F217" s="119">
        <f>'дод 2'!G310</f>
        <v>0</v>
      </c>
      <c r="G217" s="119">
        <f>'дод 2'!H310</f>
        <v>111090200</v>
      </c>
      <c r="H217" s="119">
        <f>'дод 2'!I310</f>
        <v>0</v>
      </c>
      <c r="I217" s="119">
        <f>'дод 2'!J310</f>
        <v>0</v>
      </c>
      <c r="J217" s="164">
        <f t="shared" si="68"/>
        <v>100</v>
      </c>
      <c r="K217" s="119">
        <f>'дод 2'!L310</f>
        <v>0</v>
      </c>
      <c r="L217" s="119">
        <f>'дод 2'!M310</f>
        <v>0</v>
      </c>
      <c r="M217" s="119">
        <f>'дод 2'!N310</f>
        <v>0</v>
      </c>
      <c r="N217" s="119">
        <f>'дод 2'!O310</f>
        <v>0</v>
      </c>
      <c r="O217" s="119">
        <f>'дод 2'!P310</f>
        <v>0</v>
      </c>
      <c r="P217" s="119">
        <f>'дод 2'!Q310</f>
        <v>0</v>
      </c>
      <c r="Q217" s="119">
        <f>'дод 2'!R310</f>
        <v>0</v>
      </c>
      <c r="R217" s="119">
        <f>'дод 2'!S310</f>
        <v>0</v>
      </c>
      <c r="S217" s="119">
        <f>'дод 2'!T310</f>
        <v>0</v>
      </c>
      <c r="T217" s="119">
        <f>'дод 2'!U310</f>
        <v>0</v>
      </c>
      <c r="U217" s="119">
        <f>'дод 2'!V310</f>
        <v>0</v>
      </c>
      <c r="V217" s="119">
        <f>'дод 2'!W310</f>
        <v>0</v>
      </c>
      <c r="W217" s="135"/>
      <c r="X217" s="119">
        <f>'дод 2'!Y310</f>
        <v>111090200</v>
      </c>
      <c r="Y217" s="187"/>
      <c r="Z217" s="167"/>
    </row>
    <row r="218" spans="1:26" s="12" customFormat="1" ht="69" customHeight="1" x14ac:dyDescent="0.25">
      <c r="A218" s="100" t="s">
        <v>533</v>
      </c>
      <c r="B218" s="104"/>
      <c r="C218" s="158" t="s">
        <v>534</v>
      </c>
      <c r="D218" s="118">
        <f>SUM(D220+D222+D224)</f>
        <v>290000</v>
      </c>
      <c r="E218" s="118">
        <f t="shared" ref="E218:X218" si="79">SUM(E220+E222+E224)</f>
        <v>0</v>
      </c>
      <c r="F218" s="118">
        <f t="shared" si="79"/>
        <v>0</v>
      </c>
      <c r="G218" s="118">
        <f>SUM(G220+G222+G224)</f>
        <v>290000</v>
      </c>
      <c r="H218" s="118">
        <f t="shared" ref="H218:I218" si="80">SUM(H220+H222+H224)</f>
        <v>0</v>
      </c>
      <c r="I218" s="118">
        <f t="shared" si="80"/>
        <v>0</v>
      </c>
      <c r="J218" s="135">
        <f t="shared" si="68"/>
        <v>100</v>
      </c>
      <c r="K218" s="118">
        <f t="shared" si="79"/>
        <v>8000000</v>
      </c>
      <c r="L218" s="118">
        <f t="shared" si="79"/>
        <v>0</v>
      </c>
      <c r="M218" s="118">
        <f t="shared" si="79"/>
        <v>8000000</v>
      </c>
      <c r="N218" s="118">
        <f t="shared" si="79"/>
        <v>0</v>
      </c>
      <c r="O218" s="118">
        <f t="shared" si="79"/>
        <v>0</v>
      </c>
      <c r="P218" s="118">
        <f t="shared" si="79"/>
        <v>0</v>
      </c>
      <c r="Q218" s="118">
        <f t="shared" ref="Q218:V218" si="81">SUM(Q220+Q222+Q224)</f>
        <v>7943425.6399999997</v>
      </c>
      <c r="R218" s="118">
        <f t="shared" si="81"/>
        <v>0</v>
      </c>
      <c r="S218" s="118">
        <f t="shared" si="81"/>
        <v>7943425.6399999997</v>
      </c>
      <c r="T218" s="118">
        <f t="shared" si="81"/>
        <v>0</v>
      </c>
      <c r="U218" s="118">
        <f t="shared" si="81"/>
        <v>0</v>
      </c>
      <c r="V218" s="118">
        <f t="shared" si="81"/>
        <v>0</v>
      </c>
      <c r="W218" s="135">
        <f t="shared" si="69"/>
        <v>99.292820500000005</v>
      </c>
      <c r="X218" s="118">
        <f t="shared" si="79"/>
        <v>8233425.6399999997</v>
      </c>
      <c r="Y218" s="187"/>
      <c r="Z218" s="167"/>
    </row>
    <row r="219" spans="1:26" s="12" customFormat="1" ht="15.75" x14ac:dyDescent="0.25">
      <c r="A219" s="100"/>
      <c r="B219" s="101"/>
      <c r="C219" s="6" t="s">
        <v>342</v>
      </c>
      <c r="D219" s="118">
        <f>SUM(D221+D225+D223)</f>
        <v>290000</v>
      </c>
      <c r="E219" s="118">
        <f t="shared" ref="E219:X219" si="82">SUM(E221+E225+E223)</f>
        <v>0</v>
      </c>
      <c r="F219" s="118">
        <f t="shared" si="82"/>
        <v>0</v>
      </c>
      <c r="G219" s="118">
        <f>SUM(G221+G225+G223)</f>
        <v>290000</v>
      </c>
      <c r="H219" s="118">
        <f t="shared" ref="H219:I219" si="83">SUM(H221+H225+H223)</f>
        <v>0</v>
      </c>
      <c r="I219" s="118">
        <f t="shared" si="83"/>
        <v>0</v>
      </c>
      <c r="J219" s="135">
        <f t="shared" si="68"/>
        <v>100</v>
      </c>
      <c r="K219" s="118">
        <f t="shared" si="82"/>
        <v>8000000</v>
      </c>
      <c r="L219" s="118">
        <f t="shared" si="82"/>
        <v>0</v>
      </c>
      <c r="M219" s="118">
        <f t="shared" si="82"/>
        <v>8000000</v>
      </c>
      <c r="N219" s="118">
        <f t="shared" si="82"/>
        <v>0</v>
      </c>
      <c r="O219" s="118">
        <f t="shared" si="82"/>
        <v>0</v>
      </c>
      <c r="P219" s="118">
        <f t="shared" si="82"/>
        <v>0</v>
      </c>
      <c r="Q219" s="118">
        <f t="shared" ref="Q219:V219" si="84">SUM(Q221+Q225+Q223)</f>
        <v>7943425.6399999997</v>
      </c>
      <c r="R219" s="118">
        <f t="shared" si="84"/>
        <v>0</v>
      </c>
      <c r="S219" s="118">
        <f t="shared" si="84"/>
        <v>7943425.6399999997</v>
      </c>
      <c r="T219" s="118">
        <f t="shared" si="84"/>
        <v>0</v>
      </c>
      <c r="U219" s="118">
        <f t="shared" si="84"/>
        <v>0</v>
      </c>
      <c r="V219" s="118">
        <f t="shared" si="84"/>
        <v>0</v>
      </c>
      <c r="W219" s="135">
        <f t="shared" si="69"/>
        <v>99.292820500000005</v>
      </c>
      <c r="X219" s="118">
        <f t="shared" si="82"/>
        <v>8233425.6399999997</v>
      </c>
      <c r="Y219" s="187"/>
      <c r="Z219" s="167"/>
    </row>
    <row r="220" spans="1:26" s="12" customFormat="1" ht="75.75" customHeight="1" x14ac:dyDescent="0.25">
      <c r="A220" s="99" t="s">
        <v>572</v>
      </c>
      <c r="B220" s="104" t="s">
        <v>68</v>
      </c>
      <c r="C220" s="89" t="s">
        <v>573</v>
      </c>
      <c r="D220" s="119">
        <f>SUM('дод 2'!E110)</f>
        <v>229000</v>
      </c>
      <c r="E220" s="119">
        <f>SUM('дод 2'!F110)</f>
        <v>0</v>
      </c>
      <c r="F220" s="119">
        <f>SUM('дод 2'!G110)</f>
        <v>0</v>
      </c>
      <c r="G220" s="119">
        <f>SUM('дод 2'!H110)</f>
        <v>229000</v>
      </c>
      <c r="H220" s="119">
        <f>SUM('дод 2'!I110)</f>
        <v>0</v>
      </c>
      <c r="I220" s="119">
        <f>SUM('дод 2'!J110)</f>
        <v>0</v>
      </c>
      <c r="J220" s="164">
        <f t="shared" si="68"/>
        <v>100</v>
      </c>
      <c r="K220" s="119">
        <f>SUM('дод 2'!L110)</f>
        <v>0</v>
      </c>
      <c r="L220" s="119">
        <f>SUM('дод 2'!M110)</f>
        <v>0</v>
      </c>
      <c r="M220" s="119">
        <f>SUM('дод 2'!N110)</f>
        <v>0</v>
      </c>
      <c r="N220" s="119">
        <f>SUM('дод 2'!O110)</f>
        <v>0</v>
      </c>
      <c r="O220" s="119">
        <f>SUM('дод 2'!P110)</f>
        <v>0</v>
      </c>
      <c r="P220" s="119">
        <f>SUM('дод 2'!Q110)</f>
        <v>0</v>
      </c>
      <c r="Q220" s="119">
        <f>SUM('дод 2'!R110)</f>
        <v>0</v>
      </c>
      <c r="R220" s="119">
        <f>SUM('дод 2'!S110)</f>
        <v>0</v>
      </c>
      <c r="S220" s="119">
        <f>SUM('дод 2'!T110)</f>
        <v>0</v>
      </c>
      <c r="T220" s="119">
        <f>SUM('дод 2'!U110)</f>
        <v>0</v>
      </c>
      <c r="U220" s="119">
        <f>SUM('дод 2'!V110)</f>
        <v>0</v>
      </c>
      <c r="V220" s="119">
        <f>SUM('дод 2'!W110)</f>
        <v>0</v>
      </c>
      <c r="W220" s="164"/>
      <c r="X220" s="119">
        <f>SUM('дод 2'!Y110)</f>
        <v>229000</v>
      </c>
      <c r="Y220" s="187"/>
      <c r="Z220" s="167"/>
    </row>
    <row r="221" spans="1:26" s="12" customFormat="1" ht="15.75" x14ac:dyDescent="0.25">
      <c r="A221" s="99"/>
      <c r="B221" s="104"/>
      <c r="C221" s="7" t="s">
        <v>342</v>
      </c>
      <c r="D221" s="119">
        <f>SUM('дод 2'!E111)</f>
        <v>229000</v>
      </c>
      <c r="E221" s="119">
        <f>SUM('дод 2'!F111)</f>
        <v>0</v>
      </c>
      <c r="F221" s="119">
        <f>SUM('дод 2'!G111)</f>
        <v>0</v>
      </c>
      <c r="G221" s="119">
        <f>SUM('дод 2'!H111)</f>
        <v>229000</v>
      </c>
      <c r="H221" s="119">
        <f>SUM('дод 2'!I111)</f>
        <v>0</v>
      </c>
      <c r="I221" s="119">
        <f>SUM('дод 2'!J111)</f>
        <v>0</v>
      </c>
      <c r="J221" s="164">
        <f t="shared" si="68"/>
        <v>100</v>
      </c>
      <c r="K221" s="119">
        <f>SUM('дод 2'!L111)</f>
        <v>0</v>
      </c>
      <c r="L221" s="119">
        <f>SUM('дод 2'!M111)</f>
        <v>0</v>
      </c>
      <c r="M221" s="119">
        <f>SUM('дод 2'!N111)</f>
        <v>0</v>
      </c>
      <c r="N221" s="119">
        <f>SUM('дод 2'!O111)</f>
        <v>0</v>
      </c>
      <c r="O221" s="119">
        <f>SUM('дод 2'!P111)</f>
        <v>0</v>
      </c>
      <c r="P221" s="119">
        <f>SUM('дод 2'!Q111)</f>
        <v>0</v>
      </c>
      <c r="Q221" s="119">
        <f>SUM('дод 2'!R111)</f>
        <v>0</v>
      </c>
      <c r="R221" s="119">
        <f>SUM('дод 2'!S111)</f>
        <v>0</v>
      </c>
      <c r="S221" s="119">
        <f>SUM('дод 2'!T111)</f>
        <v>0</v>
      </c>
      <c r="T221" s="119">
        <f>SUM('дод 2'!U111)</f>
        <v>0</v>
      </c>
      <c r="U221" s="119">
        <f>SUM('дод 2'!V111)</f>
        <v>0</v>
      </c>
      <c r="V221" s="119">
        <f>SUM('дод 2'!W111)</f>
        <v>0</v>
      </c>
      <c r="W221" s="164"/>
      <c r="X221" s="119">
        <f>SUM('дод 2'!Y111)</f>
        <v>229000</v>
      </c>
      <c r="Y221" s="187"/>
      <c r="Z221" s="167"/>
    </row>
    <row r="222" spans="1:26" s="12" customFormat="1" ht="102.75" customHeight="1" x14ac:dyDescent="0.25">
      <c r="A222" s="99" t="s">
        <v>532</v>
      </c>
      <c r="B222" s="104" t="s">
        <v>68</v>
      </c>
      <c r="C222" s="159" t="s">
        <v>531</v>
      </c>
      <c r="D222" s="119">
        <f>'дод 2'!E311</f>
        <v>0</v>
      </c>
      <c r="E222" s="119">
        <f>'дод 2'!F311</f>
        <v>0</v>
      </c>
      <c r="F222" s="119">
        <f>'дод 2'!G311</f>
        <v>0</v>
      </c>
      <c r="G222" s="119">
        <f>'дод 2'!H311</f>
        <v>0</v>
      </c>
      <c r="H222" s="119">
        <f>'дод 2'!I311</f>
        <v>0</v>
      </c>
      <c r="I222" s="119">
        <f>'дод 2'!J311</f>
        <v>0</v>
      </c>
      <c r="J222" s="135"/>
      <c r="K222" s="119">
        <f>'дод 2'!L311</f>
        <v>8000000</v>
      </c>
      <c r="L222" s="119">
        <f>'дод 2'!M311</f>
        <v>0</v>
      </c>
      <c r="M222" s="119">
        <f>'дод 2'!N311</f>
        <v>8000000</v>
      </c>
      <c r="N222" s="119">
        <f>'дод 2'!O311</f>
        <v>0</v>
      </c>
      <c r="O222" s="119">
        <f>'дод 2'!P311</f>
        <v>0</v>
      </c>
      <c r="P222" s="119">
        <f>'дод 2'!Q311</f>
        <v>0</v>
      </c>
      <c r="Q222" s="119">
        <f>'дод 2'!R311</f>
        <v>7943425.6399999997</v>
      </c>
      <c r="R222" s="119">
        <f>'дод 2'!S311</f>
        <v>0</v>
      </c>
      <c r="S222" s="119">
        <f>'дод 2'!T311</f>
        <v>7943425.6399999997</v>
      </c>
      <c r="T222" s="119">
        <f>'дод 2'!U311</f>
        <v>0</v>
      </c>
      <c r="U222" s="119">
        <f>'дод 2'!V311</f>
        <v>0</v>
      </c>
      <c r="V222" s="119">
        <f>'дод 2'!W311</f>
        <v>0</v>
      </c>
      <c r="W222" s="164">
        <f t="shared" si="69"/>
        <v>99.292820500000005</v>
      </c>
      <c r="X222" s="119">
        <f>'дод 2'!Y311</f>
        <v>7943425.6399999997</v>
      </c>
      <c r="Y222" s="187"/>
      <c r="Z222" s="167"/>
    </row>
    <row r="223" spans="1:26" s="12" customFormat="1" ht="15.75" x14ac:dyDescent="0.25">
      <c r="A223" s="99"/>
      <c r="B223" s="104"/>
      <c r="C223" s="7" t="s">
        <v>342</v>
      </c>
      <c r="D223" s="119">
        <f>'дод 2'!E312</f>
        <v>0</v>
      </c>
      <c r="E223" s="119">
        <f>'дод 2'!F312</f>
        <v>0</v>
      </c>
      <c r="F223" s="119">
        <f>'дод 2'!G312</f>
        <v>0</v>
      </c>
      <c r="G223" s="119">
        <f>'дод 2'!H312</f>
        <v>0</v>
      </c>
      <c r="H223" s="119">
        <f>'дод 2'!I312</f>
        <v>0</v>
      </c>
      <c r="I223" s="119">
        <f>'дод 2'!J312</f>
        <v>0</v>
      </c>
      <c r="J223" s="135"/>
      <c r="K223" s="119">
        <f>'дод 2'!L312</f>
        <v>8000000</v>
      </c>
      <c r="L223" s="119">
        <f>'дод 2'!M312</f>
        <v>0</v>
      </c>
      <c r="M223" s="119">
        <f>'дод 2'!N312</f>
        <v>8000000</v>
      </c>
      <c r="N223" s="119">
        <f>'дод 2'!O312</f>
        <v>0</v>
      </c>
      <c r="O223" s="119">
        <f>'дод 2'!P312</f>
        <v>0</v>
      </c>
      <c r="P223" s="119">
        <f>'дод 2'!Q312</f>
        <v>0</v>
      </c>
      <c r="Q223" s="119">
        <f>'дод 2'!R312</f>
        <v>7943425.6399999997</v>
      </c>
      <c r="R223" s="119">
        <f>'дод 2'!S312</f>
        <v>0</v>
      </c>
      <c r="S223" s="119">
        <f>'дод 2'!T312</f>
        <v>7943425.6399999997</v>
      </c>
      <c r="T223" s="119">
        <f>'дод 2'!U312</f>
        <v>0</v>
      </c>
      <c r="U223" s="119">
        <f>'дод 2'!V312</f>
        <v>0</v>
      </c>
      <c r="V223" s="119">
        <f>'дод 2'!W312</f>
        <v>0</v>
      </c>
      <c r="W223" s="164">
        <f t="shared" si="69"/>
        <v>99.292820500000005</v>
      </c>
      <c r="X223" s="119">
        <f>'дод 2'!Y312</f>
        <v>7943425.6399999997</v>
      </c>
      <c r="Y223" s="188">
        <v>24</v>
      </c>
      <c r="Z223" s="167"/>
    </row>
    <row r="224" spans="1:26" s="12" customFormat="1" ht="78.75" x14ac:dyDescent="0.25">
      <c r="A224" s="99" t="s">
        <v>574</v>
      </c>
      <c r="B224" s="104" t="s">
        <v>68</v>
      </c>
      <c r="C224" s="87" t="s">
        <v>589</v>
      </c>
      <c r="D224" s="119">
        <f>SUM('дод 2'!E112)</f>
        <v>61000</v>
      </c>
      <c r="E224" s="119">
        <f>SUM('дод 2'!F112)</f>
        <v>0</v>
      </c>
      <c r="F224" s="119">
        <f>SUM('дод 2'!G112)</f>
        <v>0</v>
      </c>
      <c r="G224" s="119">
        <f>SUM('дод 2'!H112)</f>
        <v>61000</v>
      </c>
      <c r="H224" s="119">
        <f>SUM('дод 2'!I112)</f>
        <v>0</v>
      </c>
      <c r="I224" s="119">
        <f>SUM('дод 2'!J112)</f>
        <v>0</v>
      </c>
      <c r="J224" s="164">
        <f t="shared" si="68"/>
        <v>100</v>
      </c>
      <c r="K224" s="119">
        <f>SUM('дод 2'!L112)</f>
        <v>0</v>
      </c>
      <c r="L224" s="119">
        <f>SUM('дод 2'!M112)</f>
        <v>0</v>
      </c>
      <c r="M224" s="119">
        <f>SUM('дод 2'!N112)</f>
        <v>0</v>
      </c>
      <c r="N224" s="119">
        <f>SUM('дод 2'!O112)</f>
        <v>0</v>
      </c>
      <c r="O224" s="119">
        <f>SUM('дод 2'!P112)</f>
        <v>0</v>
      </c>
      <c r="P224" s="119">
        <f>SUM('дод 2'!Q112)</f>
        <v>0</v>
      </c>
      <c r="Q224" s="119">
        <f>SUM('дод 2'!R112)</f>
        <v>0</v>
      </c>
      <c r="R224" s="119">
        <f>SUM('дод 2'!S112)</f>
        <v>0</v>
      </c>
      <c r="S224" s="119">
        <f>SUM('дод 2'!T112)</f>
        <v>0</v>
      </c>
      <c r="T224" s="119">
        <f>SUM('дод 2'!U112)</f>
        <v>0</v>
      </c>
      <c r="U224" s="119">
        <f>SUM('дод 2'!V112)</f>
        <v>0</v>
      </c>
      <c r="V224" s="119">
        <f>SUM('дод 2'!W112)</f>
        <v>0</v>
      </c>
      <c r="W224" s="164"/>
      <c r="X224" s="119">
        <f>SUM('дод 2'!Y112)</f>
        <v>61000</v>
      </c>
      <c r="Y224" s="188"/>
      <c r="Z224" s="167"/>
    </row>
    <row r="225" spans="1:625" s="12" customFormat="1" ht="15.75" x14ac:dyDescent="0.25">
      <c r="A225" s="99"/>
      <c r="B225" s="104"/>
      <c r="C225" s="7" t="s">
        <v>342</v>
      </c>
      <c r="D225" s="119">
        <f>SUM('дод 2'!E113)</f>
        <v>61000</v>
      </c>
      <c r="E225" s="119">
        <f>SUM('дод 2'!F113)</f>
        <v>0</v>
      </c>
      <c r="F225" s="119">
        <f>SUM('дод 2'!G113)</f>
        <v>0</v>
      </c>
      <c r="G225" s="119">
        <f>SUM('дод 2'!H113)</f>
        <v>61000</v>
      </c>
      <c r="H225" s="119">
        <f>SUM('дод 2'!I113)</f>
        <v>0</v>
      </c>
      <c r="I225" s="119">
        <f>SUM('дод 2'!J113)</f>
        <v>0</v>
      </c>
      <c r="J225" s="164">
        <f t="shared" si="68"/>
        <v>100</v>
      </c>
      <c r="K225" s="119">
        <f>SUM('дод 2'!L113)</f>
        <v>0</v>
      </c>
      <c r="L225" s="119">
        <f>SUM('дод 2'!M113)</f>
        <v>0</v>
      </c>
      <c r="M225" s="119">
        <f>SUM('дод 2'!N113)</f>
        <v>0</v>
      </c>
      <c r="N225" s="119">
        <f>SUM('дод 2'!O113)</f>
        <v>0</v>
      </c>
      <c r="O225" s="119">
        <f>SUM('дод 2'!P113)</f>
        <v>0</v>
      </c>
      <c r="P225" s="119">
        <f>SUM('дод 2'!Q113)</f>
        <v>0</v>
      </c>
      <c r="Q225" s="119">
        <f>SUM('дод 2'!R113)</f>
        <v>0</v>
      </c>
      <c r="R225" s="119">
        <f>SUM('дод 2'!S113)</f>
        <v>0</v>
      </c>
      <c r="S225" s="119">
        <f>SUM('дод 2'!T113)</f>
        <v>0</v>
      </c>
      <c r="T225" s="119">
        <f>SUM('дод 2'!U113)</f>
        <v>0</v>
      </c>
      <c r="U225" s="119">
        <f>SUM('дод 2'!V113)</f>
        <v>0</v>
      </c>
      <c r="V225" s="119">
        <f>SUM('дод 2'!W113)</f>
        <v>0</v>
      </c>
      <c r="W225" s="164"/>
      <c r="X225" s="119">
        <f>SUM('дод 2'!Y113)</f>
        <v>61000</v>
      </c>
      <c r="Y225" s="188"/>
      <c r="Z225" s="167"/>
    </row>
    <row r="226" spans="1:625" s="12" customFormat="1" ht="50.25" customHeight="1" x14ac:dyDescent="0.25">
      <c r="A226" s="100" t="s">
        <v>22</v>
      </c>
      <c r="B226" s="101"/>
      <c r="C226" s="6" t="s">
        <v>23</v>
      </c>
      <c r="D226" s="118">
        <f>D227</f>
        <v>3539318.08</v>
      </c>
      <c r="E226" s="118">
        <f t="shared" ref="E226:X226" si="85">E227</f>
        <v>0</v>
      </c>
      <c r="F226" s="118">
        <f t="shared" si="85"/>
        <v>0</v>
      </c>
      <c r="G226" s="118">
        <f>G227</f>
        <v>3527553.48</v>
      </c>
      <c r="H226" s="118">
        <f t="shared" si="85"/>
        <v>0</v>
      </c>
      <c r="I226" s="118">
        <f t="shared" si="85"/>
        <v>0</v>
      </c>
      <c r="J226" s="135">
        <f t="shared" si="68"/>
        <v>99.667602636042247</v>
      </c>
      <c r="K226" s="118">
        <f t="shared" si="85"/>
        <v>7551500</v>
      </c>
      <c r="L226" s="118">
        <f t="shared" si="85"/>
        <v>7551500</v>
      </c>
      <c r="M226" s="118">
        <f t="shared" si="85"/>
        <v>0</v>
      </c>
      <c r="N226" s="118">
        <f t="shared" si="85"/>
        <v>0</v>
      </c>
      <c r="O226" s="118">
        <f t="shared" si="85"/>
        <v>0</v>
      </c>
      <c r="P226" s="118">
        <f t="shared" si="85"/>
        <v>7551500</v>
      </c>
      <c r="Q226" s="118">
        <f t="shared" si="85"/>
        <v>7495716</v>
      </c>
      <c r="R226" s="118">
        <f t="shared" si="85"/>
        <v>7495716</v>
      </c>
      <c r="S226" s="118">
        <f t="shared" si="85"/>
        <v>0</v>
      </c>
      <c r="T226" s="118">
        <f t="shared" si="85"/>
        <v>0</v>
      </c>
      <c r="U226" s="118">
        <f t="shared" si="85"/>
        <v>0</v>
      </c>
      <c r="V226" s="118">
        <f t="shared" si="85"/>
        <v>7495716</v>
      </c>
      <c r="W226" s="135">
        <f t="shared" si="69"/>
        <v>99.261285837250881</v>
      </c>
      <c r="X226" s="118">
        <f t="shared" si="85"/>
        <v>11023269.48</v>
      </c>
      <c r="Y226" s="188"/>
      <c r="Z226" s="167"/>
    </row>
    <row r="227" spans="1:625" s="12" customFormat="1" ht="30.75" customHeight="1" x14ac:dyDescent="0.25">
      <c r="A227" s="99" t="s">
        <v>24</v>
      </c>
      <c r="B227" s="104" t="s">
        <v>68</v>
      </c>
      <c r="C227" s="10" t="s">
        <v>341</v>
      </c>
      <c r="D227" s="119">
        <f>'дод 2'!E313+'дод 2'!E241+'дод 2'!E191+'дод 2'!E114+'дод 2'!E48+'дод 2'!E79</f>
        <v>3539318.08</v>
      </c>
      <c r="E227" s="119">
        <f>'дод 2'!F313+'дод 2'!F241+'дод 2'!F191+'дод 2'!F114+'дод 2'!F48+'дод 2'!F79</f>
        <v>0</v>
      </c>
      <c r="F227" s="119">
        <f>'дод 2'!G313+'дод 2'!G241+'дод 2'!G191+'дод 2'!G114+'дод 2'!G48+'дод 2'!G79</f>
        <v>0</v>
      </c>
      <c r="G227" s="119">
        <f>'дод 2'!H313+'дод 2'!H241+'дод 2'!H191+'дод 2'!H114+'дод 2'!H48+'дод 2'!H79</f>
        <v>3527553.48</v>
      </c>
      <c r="H227" s="119">
        <f>'дод 2'!I313+'дод 2'!I241+'дод 2'!I191+'дод 2'!I114+'дод 2'!I48+'дод 2'!I79</f>
        <v>0</v>
      </c>
      <c r="I227" s="119">
        <f>'дод 2'!J313+'дод 2'!J241+'дод 2'!J191+'дод 2'!J114+'дод 2'!J48+'дод 2'!J79</f>
        <v>0</v>
      </c>
      <c r="J227" s="164">
        <f t="shared" si="68"/>
        <v>99.667602636042247</v>
      </c>
      <c r="K227" s="119">
        <f>'дод 2'!L313+'дод 2'!L241+'дод 2'!L191+'дод 2'!L114+'дод 2'!L48+'дод 2'!L79</f>
        <v>7551500</v>
      </c>
      <c r="L227" s="119">
        <f>'дод 2'!M313+'дод 2'!M241+'дод 2'!M191+'дод 2'!M114+'дод 2'!M48+'дод 2'!M79</f>
        <v>7551500</v>
      </c>
      <c r="M227" s="119">
        <f>'дод 2'!N313+'дод 2'!N241+'дод 2'!N191+'дод 2'!N114+'дод 2'!N48+'дод 2'!N79</f>
        <v>0</v>
      </c>
      <c r="N227" s="119">
        <f>'дод 2'!O313+'дод 2'!O241+'дод 2'!O191+'дод 2'!O114+'дод 2'!O48+'дод 2'!O79</f>
        <v>0</v>
      </c>
      <c r="O227" s="119">
        <f>'дод 2'!P313+'дод 2'!P241+'дод 2'!P191+'дод 2'!P114+'дод 2'!P48+'дод 2'!P79</f>
        <v>0</v>
      </c>
      <c r="P227" s="119">
        <f>'дод 2'!Q313+'дод 2'!Q241+'дод 2'!Q191+'дод 2'!Q114+'дод 2'!Q48+'дод 2'!Q79</f>
        <v>7551500</v>
      </c>
      <c r="Q227" s="119">
        <f>'дод 2'!R313+'дод 2'!R241+'дод 2'!R191+'дод 2'!R114+'дод 2'!R48+'дод 2'!R79</f>
        <v>7495716</v>
      </c>
      <c r="R227" s="119">
        <f>'дод 2'!S313+'дод 2'!S241+'дод 2'!S191+'дод 2'!S114+'дод 2'!S48+'дод 2'!S79</f>
        <v>7495716</v>
      </c>
      <c r="S227" s="119">
        <f>'дод 2'!T313+'дод 2'!T241+'дод 2'!T191+'дод 2'!T114+'дод 2'!T48+'дод 2'!T79</f>
        <v>0</v>
      </c>
      <c r="T227" s="119">
        <f>'дод 2'!U313+'дод 2'!U241+'дод 2'!U191+'дод 2'!U114+'дод 2'!U48+'дод 2'!U79</f>
        <v>0</v>
      </c>
      <c r="U227" s="119">
        <f>'дод 2'!V313+'дод 2'!V241+'дод 2'!V191+'дод 2'!V114+'дод 2'!V48+'дод 2'!V79</f>
        <v>0</v>
      </c>
      <c r="V227" s="119">
        <f>'дод 2'!W313+'дод 2'!W241+'дод 2'!W191+'дод 2'!W114+'дод 2'!W48+'дод 2'!W79</f>
        <v>7495716</v>
      </c>
      <c r="W227" s="164">
        <f t="shared" si="69"/>
        <v>99.261285837250881</v>
      </c>
      <c r="X227" s="119">
        <f>'дод 2'!Y313+'дод 2'!Y241+'дод 2'!Y191+'дод 2'!Y114+'дод 2'!Y48+'дод 2'!Y79</f>
        <v>11023269.48</v>
      </c>
      <c r="Y227" s="188"/>
      <c r="Z227" s="167"/>
    </row>
    <row r="228" spans="1:625" s="12" customFormat="1" ht="60" hidden="1" customHeight="1" x14ac:dyDescent="0.25">
      <c r="A228" s="100" t="s">
        <v>487</v>
      </c>
      <c r="B228" s="101"/>
      <c r="C228" s="16" t="s">
        <v>488</v>
      </c>
      <c r="D228" s="118">
        <f>D229</f>
        <v>1121200</v>
      </c>
      <c r="E228" s="118">
        <f t="shared" ref="E228:X228" si="86">E229</f>
        <v>0</v>
      </c>
      <c r="F228" s="118">
        <f t="shared" si="86"/>
        <v>0</v>
      </c>
      <c r="G228" s="118"/>
      <c r="H228" s="118"/>
      <c r="I228" s="118"/>
      <c r="J228" s="135">
        <f t="shared" si="68"/>
        <v>0</v>
      </c>
      <c r="K228" s="118">
        <f t="shared" si="86"/>
        <v>1291992</v>
      </c>
      <c r="L228" s="118">
        <f t="shared" si="86"/>
        <v>1291992</v>
      </c>
      <c r="M228" s="118">
        <f t="shared" si="86"/>
        <v>0</v>
      </c>
      <c r="N228" s="118">
        <f t="shared" si="86"/>
        <v>0</v>
      </c>
      <c r="O228" s="118">
        <f t="shared" si="86"/>
        <v>0</v>
      </c>
      <c r="P228" s="118">
        <f t="shared" si="86"/>
        <v>1291992</v>
      </c>
      <c r="Q228" s="118"/>
      <c r="R228" s="118"/>
      <c r="S228" s="118"/>
      <c r="T228" s="118"/>
      <c r="U228" s="118"/>
      <c r="V228" s="118"/>
      <c r="W228" s="135">
        <f t="shared" si="69"/>
        <v>0</v>
      </c>
      <c r="X228" s="118">
        <f t="shared" si="86"/>
        <v>2408267.5</v>
      </c>
      <c r="Y228" s="188"/>
      <c r="Z228" s="167"/>
    </row>
    <row r="229" spans="1:625" s="12" customFormat="1" ht="47.25" x14ac:dyDescent="0.25">
      <c r="A229" s="100" t="s">
        <v>487</v>
      </c>
      <c r="B229" s="101" t="s">
        <v>68</v>
      </c>
      <c r="C229" s="16" t="s">
        <v>488</v>
      </c>
      <c r="D229" s="118">
        <f>'дод 2'!E49+'дод 2'!E80+'дод 2'!E294</f>
        <v>1121200</v>
      </c>
      <c r="E229" s="118">
        <f>'дод 2'!F49+'дод 2'!F80+'дод 2'!F294</f>
        <v>0</v>
      </c>
      <c r="F229" s="118">
        <f>'дод 2'!G49+'дод 2'!G80+'дод 2'!G294</f>
        <v>0</v>
      </c>
      <c r="G229" s="118">
        <f>'дод 2'!H49+'дод 2'!H80+'дод 2'!H294</f>
        <v>1116775.5</v>
      </c>
      <c r="H229" s="118">
        <f>'дод 2'!I49+'дод 2'!I80+'дод 2'!I294</f>
        <v>0</v>
      </c>
      <c r="I229" s="118">
        <f>'дод 2'!J49+'дод 2'!J80+'дод 2'!J294</f>
        <v>0</v>
      </c>
      <c r="J229" s="135">
        <f t="shared" si="68"/>
        <v>99.605378166250446</v>
      </c>
      <c r="K229" s="118">
        <f>'дод 2'!L49+'дод 2'!L80+'дод 2'!L294</f>
        <v>1291992</v>
      </c>
      <c r="L229" s="118">
        <f>'дод 2'!M49+'дод 2'!M80+'дод 2'!M294</f>
        <v>1291992</v>
      </c>
      <c r="M229" s="118">
        <f>'дод 2'!N49+'дод 2'!N80+'дод 2'!N294</f>
        <v>0</v>
      </c>
      <c r="N229" s="118">
        <f>'дод 2'!O49+'дод 2'!O80+'дод 2'!O294</f>
        <v>0</v>
      </c>
      <c r="O229" s="118">
        <f>'дод 2'!P49+'дод 2'!P80+'дод 2'!P294</f>
        <v>0</v>
      </c>
      <c r="P229" s="118">
        <f>'дод 2'!Q49+'дод 2'!Q80+'дод 2'!Q294</f>
        <v>1291992</v>
      </c>
      <c r="Q229" s="118">
        <f>'дод 2'!R49+'дод 2'!R80+'дод 2'!R294</f>
        <v>1291492</v>
      </c>
      <c r="R229" s="118">
        <f>'дод 2'!S49+'дод 2'!S80+'дод 2'!S294</f>
        <v>1291492</v>
      </c>
      <c r="S229" s="118">
        <f>'дод 2'!T49+'дод 2'!T80+'дод 2'!T294</f>
        <v>0</v>
      </c>
      <c r="T229" s="118">
        <f>'дод 2'!U49+'дод 2'!U80+'дод 2'!U294</f>
        <v>0</v>
      </c>
      <c r="U229" s="118">
        <f>'дод 2'!V49+'дод 2'!V80+'дод 2'!V294</f>
        <v>0</v>
      </c>
      <c r="V229" s="118">
        <f>'дод 2'!W49+'дод 2'!W80+'дод 2'!W294</f>
        <v>1291492</v>
      </c>
      <c r="W229" s="135">
        <f t="shared" si="69"/>
        <v>99.961300069969468</v>
      </c>
      <c r="X229" s="118">
        <f>'дод 2'!Y49+'дод 2'!Y80+'дод 2'!Y294</f>
        <v>2408267.5</v>
      </c>
      <c r="Y229" s="188"/>
      <c r="Z229" s="167"/>
    </row>
    <row r="230" spans="1:625" s="12" customFormat="1" ht="23.25" customHeight="1" x14ac:dyDescent="0.25">
      <c r="A230" s="13"/>
      <c r="B230" s="13"/>
      <c r="C230" s="6" t="s">
        <v>34</v>
      </c>
      <c r="D230" s="118">
        <f>D12+D15+D35+D57+D130+D135+D142+D158+D198+D214</f>
        <v>2574765339.1100001</v>
      </c>
      <c r="E230" s="118">
        <f t="shared" ref="E230:X230" si="87">E12+E15+E35+E57+E130+E135+E142+E158+E198+E214</f>
        <v>788845466.63</v>
      </c>
      <c r="F230" s="118">
        <f t="shared" si="87"/>
        <v>113631144.59</v>
      </c>
      <c r="G230" s="118">
        <f>G12+G15+G35+G57+G130+G135+G142+G158+G198+G214</f>
        <v>2476794948.1900001</v>
      </c>
      <c r="H230" s="118">
        <f t="shared" ref="H230:I230" si="88">H12+H15+H35+H57+H130+H135+H142+H158+H198+H214</f>
        <v>785150605.0200001</v>
      </c>
      <c r="I230" s="118">
        <f t="shared" si="88"/>
        <v>107301611.57000001</v>
      </c>
      <c r="J230" s="135">
        <f t="shared" si="68"/>
        <v>96.194977871114858</v>
      </c>
      <c r="K230" s="118">
        <f t="shared" si="87"/>
        <v>659331783.6500001</v>
      </c>
      <c r="L230" s="118">
        <f t="shared" si="87"/>
        <v>489395352.43000001</v>
      </c>
      <c r="M230" s="118">
        <f t="shared" si="87"/>
        <v>123071223.23999999</v>
      </c>
      <c r="N230" s="118">
        <f t="shared" si="87"/>
        <v>7954920</v>
      </c>
      <c r="O230" s="118">
        <f t="shared" si="87"/>
        <v>3315444</v>
      </c>
      <c r="P230" s="118">
        <f t="shared" si="87"/>
        <v>536260560.41000003</v>
      </c>
      <c r="Q230" s="118">
        <f t="shared" ref="Q230:V230" si="89">Q12+Q15+Q35+Q57+Q130+Q135+Q142+Q158+Q198+Q214</f>
        <v>499290189.78999996</v>
      </c>
      <c r="R230" s="118">
        <f t="shared" si="89"/>
        <v>370614482.74000001</v>
      </c>
      <c r="S230" s="118">
        <f t="shared" si="89"/>
        <v>111431838.91999999</v>
      </c>
      <c r="T230" s="118">
        <f t="shared" si="89"/>
        <v>9827387.5899999999</v>
      </c>
      <c r="U230" s="118">
        <f t="shared" si="89"/>
        <v>2750814.42</v>
      </c>
      <c r="V230" s="118">
        <f t="shared" si="89"/>
        <v>387858350.87000006</v>
      </c>
      <c r="W230" s="135">
        <f t="shared" si="69"/>
        <v>75.726698177050622</v>
      </c>
      <c r="X230" s="118">
        <f t="shared" si="87"/>
        <v>2976085137.98</v>
      </c>
      <c r="Y230" s="188"/>
      <c r="Z230" s="167"/>
    </row>
    <row r="231" spans="1:625" s="12" customFormat="1" ht="19.5" customHeight="1" x14ac:dyDescent="0.25">
      <c r="A231" s="13"/>
      <c r="B231" s="13"/>
      <c r="C231" s="6" t="s">
        <v>342</v>
      </c>
      <c r="D231" s="118">
        <f t="shared" ref="D231:P231" si="90">D16+D36+D58+D143+D163+D176+D199+D215</f>
        <v>1054047784.15</v>
      </c>
      <c r="E231" s="118">
        <f t="shared" si="90"/>
        <v>256716014</v>
      </c>
      <c r="F231" s="118">
        <f t="shared" si="90"/>
        <v>0</v>
      </c>
      <c r="G231" s="118">
        <f t="shared" ref="G231:I231" si="91">G16+G36+G58+G143+G163+G176+G199+G215</f>
        <v>1004185870.5700002</v>
      </c>
      <c r="H231" s="118">
        <f t="shared" si="91"/>
        <v>256138804.27000001</v>
      </c>
      <c r="I231" s="118">
        <f t="shared" si="91"/>
        <v>0</v>
      </c>
      <c r="J231" s="135">
        <f t="shared" si="68"/>
        <v>95.269482624053026</v>
      </c>
      <c r="K231" s="118">
        <f t="shared" si="90"/>
        <v>112832633.83</v>
      </c>
      <c r="L231" s="118">
        <f t="shared" si="90"/>
        <v>62319645.829999998</v>
      </c>
      <c r="M231" s="118">
        <f t="shared" si="90"/>
        <v>49000000</v>
      </c>
      <c r="N231" s="118">
        <f t="shared" si="90"/>
        <v>0</v>
      </c>
      <c r="O231" s="118">
        <f t="shared" si="90"/>
        <v>0</v>
      </c>
      <c r="P231" s="118">
        <f t="shared" si="90"/>
        <v>63832633.829999998</v>
      </c>
      <c r="Q231" s="118">
        <f t="shared" ref="Q231:V231" si="92">Q16+Q36+Q58+Q143+Q163+Q176+Q199+Q215</f>
        <v>110979941.05</v>
      </c>
      <c r="R231" s="118">
        <f t="shared" si="92"/>
        <v>60523568.140000001</v>
      </c>
      <c r="S231" s="118">
        <f t="shared" si="92"/>
        <v>48943385.640000001</v>
      </c>
      <c r="T231" s="118">
        <f t="shared" si="92"/>
        <v>0</v>
      </c>
      <c r="U231" s="118">
        <f t="shared" si="92"/>
        <v>0</v>
      </c>
      <c r="V231" s="118">
        <f t="shared" si="92"/>
        <v>62036555.409999996</v>
      </c>
      <c r="W231" s="135">
        <f t="shared" si="69"/>
        <v>98.358016898912965</v>
      </c>
      <c r="X231" s="118">
        <f>X16+X36+X58+X143+X163+X176+X199+X215</f>
        <v>1115165811.6200001</v>
      </c>
      <c r="Y231" s="188"/>
      <c r="Z231" s="167"/>
    </row>
    <row r="232" spans="1:625" s="12" customFormat="1" ht="25.5" customHeight="1" x14ac:dyDescent="0.25">
      <c r="A232" s="32"/>
      <c r="B232" s="32"/>
      <c r="C232" s="3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188"/>
    </row>
    <row r="233" spans="1:625" s="21" customFormat="1" ht="20.25" customHeight="1" x14ac:dyDescent="0.25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88"/>
    </row>
    <row r="234" spans="1:625" s="21" customFormat="1" ht="20.25" customHeight="1" x14ac:dyDescent="0.25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88"/>
    </row>
    <row r="235" spans="1:625" s="21" customFormat="1" ht="20.25" customHeight="1" x14ac:dyDescent="0.25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88"/>
    </row>
    <row r="236" spans="1:625" s="21" customFormat="1" ht="20.25" customHeight="1" x14ac:dyDescent="0.25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88"/>
    </row>
    <row r="237" spans="1:625" s="21" customFormat="1" ht="20.25" customHeight="1" x14ac:dyDescent="0.25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88"/>
    </row>
    <row r="238" spans="1:625" s="21" customFormat="1" ht="20.25" customHeight="1" x14ac:dyDescent="0.25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88"/>
    </row>
    <row r="239" spans="1:625" s="179" customFormat="1" ht="36" customHeight="1" x14ac:dyDescent="0.55000000000000004">
      <c r="A239" s="205" t="s">
        <v>606</v>
      </c>
      <c r="B239" s="205"/>
      <c r="C239" s="205"/>
      <c r="D239" s="205"/>
      <c r="E239" s="205"/>
      <c r="F239" s="174"/>
      <c r="G239" s="174"/>
      <c r="H239" s="180"/>
      <c r="I239" s="174"/>
      <c r="J239" s="176"/>
      <c r="K239" s="176"/>
      <c r="L239" s="177"/>
      <c r="M239" s="177"/>
      <c r="N239" s="177"/>
      <c r="O239" s="178"/>
      <c r="Q239" s="176"/>
      <c r="R239" s="177"/>
      <c r="S239" s="177"/>
      <c r="T239" s="177"/>
      <c r="U239" s="178"/>
      <c r="V239" s="180" t="s">
        <v>607</v>
      </c>
      <c r="W239" s="180"/>
      <c r="Y239" s="188"/>
      <c r="Z239" s="140"/>
      <c r="AA239" s="186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  <c r="AR239" s="181"/>
      <c r="AS239" s="181"/>
      <c r="AT239" s="181"/>
      <c r="AU239" s="181"/>
      <c r="AV239" s="181"/>
      <c r="AW239" s="181"/>
      <c r="AX239" s="181"/>
      <c r="AY239" s="181"/>
      <c r="AZ239" s="181"/>
      <c r="BA239" s="181"/>
      <c r="BB239" s="181"/>
      <c r="BC239" s="181"/>
      <c r="BD239" s="181"/>
      <c r="BE239" s="181"/>
      <c r="BF239" s="181"/>
      <c r="BG239" s="181"/>
      <c r="BH239" s="181"/>
      <c r="BI239" s="181"/>
      <c r="BJ239" s="181"/>
      <c r="BK239" s="181"/>
      <c r="BL239" s="181"/>
      <c r="BM239" s="181"/>
      <c r="BN239" s="181"/>
      <c r="BO239" s="181"/>
      <c r="BP239" s="181"/>
      <c r="BQ239" s="181"/>
      <c r="BR239" s="181"/>
      <c r="BS239" s="181"/>
      <c r="BT239" s="181"/>
      <c r="BU239" s="181"/>
      <c r="BV239" s="181"/>
      <c r="BW239" s="181"/>
      <c r="BX239" s="181"/>
      <c r="BY239" s="181"/>
      <c r="BZ239" s="181"/>
      <c r="CA239" s="181"/>
      <c r="CB239" s="181"/>
      <c r="CC239" s="181"/>
      <c r="CD239" s="181"/>
      <c r="CE239" s="181"/>
      <c r="CF239" s="181"/>
      <c r="CG239" s="181"/>
      <c r="CH239" s="181"/>
      <c r="CI239" s="181"/>
      <c r="CJ239" s="181"/>
      <c r="CK239" s="181"/>
      <c r="CL239" s="181"/>
      <c r="CM239" s="181"/>
      <c r="CN239" s="181"/>
      <c r="CO239" s="181"/>
      <c r="CP239" s="181"/>
      <c r="CQ239" s="181"/>
      <c r="CR239" s="181"/>
      <c r="CS239" s="181"/>
      <c r="CT239" s="181"/>
      <c r="CU239" s="181"/>
      <c r="CV239" s="181"/>
      <c r="CW239" s="181"/>
      <c r="CX239" s="181"/>
      <c r="CY239" s="181"/>
      <c r="CZ239" s="181"/>
      <c r="DA239" s="181"/>
      <c r="DB239" s="181"/>
      <c r="DC239" s="181"/>
      <c r="DD239" s="181"/>
      <c r="DE239" s="181"/>
      <c r="DF239" s="181"/>
      <c r="DG239" s="181"/>
      <c r="DH239" s="181"/>
      <c r="DI239" s="181"/>
      <c r="DJ239" s="181"/>
      <c r="DK239" s="181"/>
      <c r="DL239" s="181"/>
      <c r="DM239" s="181"/>
      <c r="DN239" s="181"/>
      <c r="DO239" s="181"/>
      <c r="DP239" s="181"/>
      <c r="DQ239" s="181"/>
      <c r="DR239" s="181"/>
      <c r="DS239" s="181"/>
      <c r="DT239" s="181"/>
      <c r="DU239" s="181"/>
      <c r="DV239" s="181"/>
      <c r="DW239" s="181"/>
      <c r="DX239" s="181"/>
      <c r="DY239" s="181"/>
      <c r="DZ239" s="181"/>
      <c r="EA239" s="181"/>
      <c r="EB239" s="181"/>
      <c r="EC239" s="181"/>
      <c r="ED239" s="181"/>
      <c r="EE239" s="181"/>
      <c r="EF239" s="181"/>
      <c r="EG239" s="181"/>
      <c r="EH239" s="181"/>
      <c r="EI239" s="181"/>
      <c r="EJ239" s="181"/>
      <c r="EK239" s="181"/>
      <c r="EL239" s="181"/>
      <c r="EM239" s="181"/>
      <c r="EN239" s="181"/>
      <c r="EO239" s="181"/>
      <c r="EP239" s="181"/>
      <c r="EQ239" s="181"/>
      <c r="ER239" s="181"/>
      <c r="ES239" s="181"/>
      <c r="ET239" s="181"/>
      <c r="EU239" s="181"/>
      <c r="EV239" s="181"/>
      <c r="EW239" s="181"/>
      <c r="EX239" s="181"/>
      <c r="EY239" s="181"/>
      <c r="EZ239" s="181"/>
      <c r="FA239" s="181"/>
      <c r="FB239" s="181"/>
      <c r="FC239" s="181"/>
      <c r="FD239" s="181"/>
      <c r="FE239" s="181"/>
      <c r="FF239" s="181"/>
      <c r="FG239" s="181"/>
      <c r="FH239" s="181"/>
      <c r="FI239" s="181"/>
      <c r="FJ239" s="181"/>
      <c r="FK239" s="181"/>
      <c r="FL239" s="181"/>
      <c r="FM239" s="181"/>
      <c r="FN239" s="181"/>
      <c r="FO239" s="181"/>
      <c r="FP239" s="181"/>
      <c r="FQ239" s="181"/>
      <c r="FR239" s="181"/>
      <c r="FS239" s="181"/>
      <c r="FT239" s="181"/>
      <c r="FU239" s="181"/>
      <c r="FV239" s="181"/>
      <c r="FW239" s="181"/>
      <c r="FX239" s="181"/>
      <c r="FY239" s="181"/>
      <c r="FZ239" s="181"/>
      <c r="GA239" s="181"/>
      <c r="GB239" s="181"/>
      <c r="GC239" s="181"/>
      <c r="GD239" s="181"/>
      <c r="GE239" s="181"/>
      <c r="GF239" s="181"/>
      <c r="GG239" s="181"/>
      <c r="GH239" s="181"/>
      <c r="GI239" s="181"/>
      <c r="GJ239" s="181"/>
      <c r="GK239" s="181"/>
      <c r="GL239" s="181"/>
      <c r="GM239" s="181"/>
      <c r="GN239" s="181"/>
      <c r="GO239" s="181"/>
      <c r="GP239" s="181"/>
      <c r="GQ239" s="181"/>
      <c r="GR239" s="181"/>
      <c r="GS239" s="181"/>
      <c r="GT239" s="181"/>
      <c r="GU239" s="181"/>
      <c r="GV239" s="181"/>
      <c r="GW239" s="181"/>
      <c r="GX239" s="181"/>
      <c r="GY239" s="181"/>
      <c r="GZ239" s="181"/>
      <c r="HA239" s="181"/>
      <c r="HB239" s="181"/>
      <c r="HC239" s="181"/>
      <c r="HD239" s="181"/>
      <c r="HE239" s="181"/>
      <c r="HF239" s="181"/>
      <c r="HG239" s="181"/>
      <c r="HH239" s="181"/>
      <c r="HI239" s="181"/>
      <c r="HJ239" s="181"/>
      <c r="HK239" s="181"/>
      <c r="HL239" s="181"/>
      <c r="HM239" s="181"/>
      <c r="HN239" s="181"/>
      <c r="HO239" s="181"/>
      <c r="HP239" s="181"/>
      <c r="HQ239" s="181"/>
      <c r="HR239" s="181"/>
      <c r="HS239" s="181"/>
      <c r="HT239" s="181"/>
      <c r="HU239" s="181"/>
      <c r="HV239" s="181"/>
      <c r="HW239" s="181"/>
      <c r="HX239" s="181"/>
      <c r="HY239" s="181"/>
      <c r="HZ239" s="181"/>
      <c r="IA239" s="181"/>
      <c r="IB239" s="181"/>
      <c r="IC239" s="181"/>
      <c r="ID239" s="181"/>
      <c r="IE239" s="181"/>
      <c r="IF239" s="181"/>
      <c r="IG239" s="181"/>
      <c r="IH239" s="181"/>
      <c r="II239" s="181"/>
      <c r="IJ239" s="181"/>
      <c r="IK239" s="181"/>
      <c r="IL239" s="181"/>
      <c r="IM239" s="181"/>
      <c r="IN239" s="181"/>
      <c r="IO239" s="181"/>
      <c r="IP239" s="181"/>
      <c r="IQ239" s="181"/>
      <c r="IR239" s="181"/>
      <c r="IS239" s="181"/>
      <c r="IT239" s="181"/>
      <c r="IU239" s="181"/>
      <c r="IV239" s="181"/>
      <c r="IW239" s="181"/>
      <c r="IX239" s="181"/>
      <c r="IY239" s="181"/>
      <c r="IZ239" s="181"/>
      <c r="JA239" s="181"/>
      <c r="JB239" s="181"/>
      <c r="JC239" s="181"/>
      <c r="JD239" s="181"/>
      <c r="JE239" s="181"/>
      <c r="JF239" s="181"/>
      <c r="JG239" s="181"/>
      <c r="JH239" s="181"/>
      <c r="JI239" s="181"/>
      <c r="JJ239" s="181"/>
      <c r="JK239" s="181"/>
      <c r="JL239" s="181"/>
      <c r="JM239" s="181"/>
      <c r="JN239" s="181"/>
      <c r="JO239" s="181"/>
      <c r="JP239" s="181"/>
      <c r="JQ239" s="181"/>
      <c r="JR239" s="181"/>
      <c r="JS239" s="181"/>
      <c r="JT239" s="181"/>
      <c r="JU239" s="181"/>
      <c r="JV239" s="181"/>
      <c r="JW239" s="181"/>
      <c r="JX239" s="181"/>
      <c r="JY239" s="181"/>
      <c r="JZ239" s="181"/>
      <c r="KA239" s="181"/>
      <c r="KB239" s="181"/>
      <c r="KC239" s="181"/>
      <c r="KD239" s="181"/>
      <c r="KE239" s="181"/>
      <c r="KF239" s="181"/>
      <c r="KG239" s="181"/>
      <c r="KH239" s="181"/>
      <c r="KI239" s="181"/>
      <c r="KJ239" s="181"/>
      <c r="KK239" s="181"/>
      <c r="KL239" s="181"/>
      <c r="KM239" s="181"/>
      <c r="KN239" s="181"/>
      <c r="KO239" s="181"/>
      <c r="KP239" s="181"/>
      <c r="KQ239" s="181"/>
      <c r="KR239" s="181"/>
      <c r="KS239" s="181"/>
      <c r="KT239" s="181"/>
      <c r="KU239" s="181"/>
      <c r="KV239" s="181"/>
      <c r="KW239" s="181"/>
      <c r="KX239" s="181"/>
      <c r="KY239" s="181"/>
      <c r="KZ239" s="181"/>
      <c r="LA239" s="181"/>
      <c r="LB239" s="181"/>
      <c r="LC239" s="181"/>
      <c r="LD239" s="181"/>
      <c r="LE239" s="181"/>
      <c r="LF239" s="181"/>
      <c r="LG239" s="181"/>
      <c r="LH239" s="181"/>
      <c r="LI239" s="181"/>
      <c r="LJ239" s="181"/>
      <c r="LK239" s="181"/>
      <c r="LL239" s="181"/>
      <c r="LM239" s="181"/>
      <c r="LN239" s="181"/>
      <c r="LO239" s="181"/>
      <c r="LP239" s="181"/>
      <c r="LQ239" s="181"/>
      <c r="LR239" s="181"/>
      <c r="LS239" s="181"/>
      <c r="LT239" s="181"/>
      <c r="LU239" s="181"/>
      <c r="LV239" s="181"/>
      <c r="LW239" s="181"/>
      <c r="LX239" s="181"/>
      <c r="LY239" s="181"/>
      <c r="LZ239" s="181"/>
      <c r="MA239" s="181"/>
      <c r="MB239" s="181"/>
      <c r="MC239" s="181"/>
      <c r="MD239" s="181"/>
      <c r="ME239" s="181"/>
      <c r="MF239" s="181"/>
      <c r="MG239" s="181"/>
      <c r="MH239" s="181"/>
      <c r="MI239" s="181"/>
      <c r="MJ239" s="181"/>
      <c r="MK239" s="181"/>
      <c r="ML239" s="181"/>
      <c r="MM239" s="181"/>
      <c r="MN239" s="181"/>
      <c r="MO239" s="181"/>
      <c r="MP239" s="181"/>
      <c r="MQ239" s="181"/>
      <c r="MR239" s="181"/>
      <c r="MS239" s="181"/>
      <c r="MT239" s="181"/>
      <c r="MU239" s="181"/>
      <c r="MV239" s="181"/>
      <c r="MW239" s="181"/>
      <c r="MX239" s="181"/>
      <c r="MY239" s="181"/>
      <c r="MZ239" s="181"/>
      <c r="NA239" s="181"/>
      <c r="NB239" s="181"/>
      <c r="NC239" s="181"/>
      <c r="ND239" s="181"/>
      <c r="NE239" s="181"/>
      <c r="NF239" s="181"/>
      <c r="NG239" s="181"/>
      <c r="NH239" s="181"/>
      <c r="NI239" s="181"/>
      <c r="NJ239" s="181"/>
      <c r="NK239" s="181"/>
      <c r="NL239" s="181"/>
      <c r="NM239" s="181"/>
      <c r="NN239" s="181"/>
      <c r="NO239" s="181"/>
      <c r="NP239" s="181"/>
      <c r="NQ239" s="181"/>
      <c r="NR239" s="181"/>
      <c r="NS239" s="181"/>
      <c r="NT239" s="181"/>
      <c r="NU239" s="181"/>
      <c r="NV239" s="181"/>
      <c r="NW239" s="181"/>
      <c r="NX239" s="181"/>
      <c r="NY239" s="181"/>
      <c r="NZ239" s="181"/>
      <c r="OA239" s="181"/>
      <c r="OB239" s="181"/>
      <c r="OC239" s="181"/>
      <c r="OD239" s="181"/>
      <c r="OE239" s="181"/>
      <c r="OF239" s="181"/>
      <c r="OG239" s="181"/>
      <c r="OH239" s="181"/>
      <c r="OI239" s="181"/>
      <c r="OJ239" s="181"/>
      <c r="OK239" s="181"/>
      <c r="OL239" s="181"/>
      <c r="OM239" s="181"/>
      <c r="ON239" s="181"/>
      <c r="OO239" s="181"/>
      <c r="OP239" s="181"/>
      <c r="OQ239" s="181"/>
      <c r="OR239" s="181"/>
      <c r="OS239" s="181"/>
      <c r="OT239" s="181"/>
      <c r="OU239" s="181"/>
      <c r="OV239" s="181"/>
      <c r="OW239" s="181"/>
      <c r="OX239" s="181"/>
      <c r="OY239" s="181"/>
      <c r="OZ239" s="181"/>
      <c r="PA239" s="181"/>
      <c r="PB239" s="181"/>
      <c r="PC239" s="181"/>
      <c r="PD239" s="181"/>
      <c r="PE239" s="181"/>
      <c r="PF239" s="181"/>
      <c r="PG239" s="181"/>
      <c r="PH239" s="181"/>
      <c r="PI239" s="181"/>
      <c r="PJ239" s="181"/>
      <c r="PK239" s="181"/>
      <c r="PL239" s="181"/>
      <c r="PM239" s="181"/>
      <c r="PN239" s="181"/>
      <c r="PO239" s="181"/>
      <c r="PP239" s="181"/>
      <c r="PQ239" s="181"/>
      <c r="PR239" s="181"/>
      <c r="PS239" s="181"/>
      <c r="PT239" s="181"/>
      <c r="PU239" s="181"/>
      <c r="PV239" s="181"/>
      <c r="PW239" s="181"/>
      <c r="PX239" s="181"/>
      <c r="PY239" s="181"/>
      <c r="PZ239" s="181"/>
      <c r="QA239" s="181"/>
      <c r="QB239" s="181"/>
      <c r="QC239" s="181"/>
      <c r="QD239" s="181"/>
      <c r="QE239" s="181"/>
      <c r="QF239" s="181"/>
      <c r="QG239" s="181"/>
      <c r="QH239" s="181"/>
      <c r="QI239" s="181"/>
      <c r="QJ239" s="181"/>
      <c r="QK239" s="181"/>
      <c r="QL239" s="181"/>
      <c r="QM239" s="181"/>
      <c r="QN239" s="181"/>
      <c r="QO239" s="181"/>
      <c r="QP239" s="181"/>
      <c r="QQ239" s="181"/>
      <c r="QR239" s="181"/>
      <c r="QS239" s="181"/>
      <c r="QT239" s="181"/>
      <c r="QU239" s="181"/>
      <c r="QV239" s="181"/>
      <c r="QW239" s="181"/>
      <c r="QX239" s="181"/>
      <c r="QY239" s="181"/>
      <c r="QZ239" s="181"/>
      <c r="RA239" s="181"/>
      <c r="RB239" s="181"/>
      <c r="RC239" s="181"/>
      <c r="RD239" s="181"/>
      <c r="RE239" s="181"/>
      <c r="RF239" s="181"/>
      <c r="RG239" s="181"/>
      <c r="RH239" s="181"/>
      <c r="RI239" s="181"/>
      <c r="RJ239" s="181"/>
      <c r="RK239" s="181"/>
      <c r="RL239" s="181"/>
      <c r="RM239" s="181"/>
      <c r="RN239" s="181"/>
      <c r="RO239" s="181"/>
      <c r="RP239" s="181"/>
      <c r="RQ239" s="181"/>
      <c r="RR239" s="181"/>
      <c r="RS239" s="181"/>
      <c r="RT239" s="181"/>
      <c r="RU239" s="181"/>
      <c r="RV239" s="181"/>
      <c r="RW239" s="181"/>
      <c r="RX239" s="181"/>
      <c r="RY239" s="181"/>
      <c r="RZ239" s="181"/>
      <c r="SA239" s="181"/>
      <c r="SB239" s="181"/>
      <c r="SC239" s="181"/>
      <c r="SD239" s="181"/>
      <c r="SE239" s="181"/>
      <c r="SF239" s="181"/>
      <c r="SG239" s="181"/>
      <c r="SH239" s="181"/>
      <c r="SI239" s="181"/>
      <c r="SJ239" s="181"/>
      <c r="SK239" s="181"/>
      <c r="SL239" s="181"/>
      <c r="SM239" s="181"/>
      <c r="SN239" s="181"/>
      <c r="SO239" s="181"/>
      <c r="SP239" s="181"/>
      <c r="SQ239" s="181"/>
      <c r="SR239" s="181"/>
      <c r="SS239" s="181"/>
      <c r="ST239" s="181"/>
      <c r="SU239" s="181"/>
      <c r="SV239" s="181"/>
      <c r="SW239" s="181"/>
      <c r="SX239" s="181"/>
      <c r="SY239" s="181"/>
      <c r="SZ239" s="181"/>
      <c r="TA239" s="181"/>
      <c r="TB239" s="181"/>
      <c r="TC239" s="181"/>
      <c r="TD239" s="181"/>
      <c r="TE239" s="181"/>
      <c r="TF239" s="181"/>
      <c r="TG239" s="181"/>
      <c r="TH239" s="181"/>
      <c r="TI239" s="181"/>
      <c r="TJ239" s="181"/>
      <c r="TK239" s="181"/>
      <c r="TL239" s="181"/>
      <c r="TM239" s="181"/>
      <c r="TN239" s="181"/>
      <c r="TO239" s="181"/>
      <c r="TP239" s="181"/>
      <c r="TQ239" s="181"/>
      <c r="TR239" s="181"/>
      <c r="TS239" s="181"/>
      <c r="TT239" s="181"/>
      <c r="TU239" s="181"/>
      <c r="TV239" s="181"/>
      <c r="TW239" s="181"/>
      <c r="TX239" s="181"/>
      <c r="TY239" s="181"/>
      <c r="TZ239" s="181"/>
      <c r="UA239" s="181"/>
      <c r="UB239" s="181"/>
      <c r="UC239" s="181"/>
      <c r="UD239" s="181"/>
      <c r="UE239" s="181"/>
      <c r="UF239" s="181"/>
      <c r="UG239" s="181"/>
      <c r="UH239" s="181"/>
      <c r="UI239" s="181"/>
      <c r="UJ239" s="181"/>
      <c r="UK239" s="181"/>
      <c r="UL239" s="181"/>
      <c r="UM239" s="181"/>
      <c r="UN239" s="181"/>
      <c r="UO239" s="181"/>
      <c r="UP239" s="181"/>
      <c r="UQ239" s="181"/>
      <c r="UR239" s="181"/>
      <c r="US239" s="181"/>
      <c r="UT239" s="181"/>
      <c r="UU239" s="181"/>
      <c r="UV239" s="181"/>
      <c r="UW239" s="181"/>
      <c r="UX239" s="181"/>
      <c r="UY239" s="181"/>
      <c r="UZ239" s="181"/>
      <c r="VA239" s="181"/>
      <c r="VB239" s="181"/>
      <c r="VC239" s="181"/>
      <c r="VD239" s="181"/>
      <c r="VE239" s="181"/>
      <c r="VF239" s="181"/>
      <c r="VG239" s="181"/>
      <c r="VH239" s="181"/>
      <c r="VI239" s="181"/>
      <c r="VJ239" s="181"/>
      <c r="VK239" s="181"/>
      <c r="VL239" s="181"/>
      <c r="VM239" s="181"/>
      <c r="VN239" s="181"/>
      <c r="VO239" s="181"/>
      <c r="VP239" s="181"/>
      <c r="VQ239" s="181"/>
      <c r="VR239" s="181"/>
      <c r="VS239" s="181"/>
      <c r="VT239" s="181"/>
      <c r="VU239" s="181"/>
      <c r="VV239" s="181"/>
      <c r="VW239" s="181"/>
      <c r="VX239" s="181"/>
      <c r="VY239" s="181"/>
      <c r="VZ239" s="181"/>
      <c r="WA239" s="181"/>
      <c r="WB239" s="181"/>
      <c r="WC239" s="181"/>
      <c r="WD239" s="181"/>
      <c r="WE239" s="181"/>
      <c r="WF239" s="181"/>
      <c r="WG239" s="181"/>
      <c r="WH239" s="181"/>
      <c r="WI239" s="181"/>
      <c r="WJ239" s="181"/>
      <c r="WK239" s="181"/>
      <c r="WL239" s="181"/>
      <c r="WM239" s="181"/>
      <c r="WN239" s="181"/>
      <c r="WO239" s="181"/>
      <c r="WP239" s="181"/>
      <c r="WQ239" s="181"/>
      <c r="WR239" s="181"/>
      <c r="WS239" s="181"/>
      <c r="WT239" s="181"/>
      <c r="WU239" s="181"/>
      <c r="WV239" s="181"/>
      <c r="WW239" s="181"/>
      <c r="WX239" s="181"/>
      <c r="WY239" s="181"/>
      <c r="WZ239" s="181"/>
      <c r="XA239" s="181"/>
    </row>
    <row r="240" spans="1:625" s="179" customFormat="1" ht="38.25" x14ac:dyDescent="0.55000000000000004">
      <c r="A240" s="205" t="s">
        <v>608</v>
      </c>
      <c r="B240" s="205"/>
      <c r="C240" s="205"/>
      <c r="D240" s="205"/>
      <c r="E240" s="182"/>
      <c r="F240" s="182"/>
      <c r="G240" s="182"/>
      <c r="I240" s="174"/>
      <c r="J240" s="176"/>
      <c r="K240" s="176"/>
      <c r="L240" s="177"/>
      <c r="M240" s="177"/>
      <c r="N240" s="177"/>
      <c r="O240" s="184"/>
      <c r="P240" s="184"/>
      <c r="Q240" s="176"/>
      <c r="R240" s="177"/>
      <c r="S240" s="177"/>
      <c r="T240" s="177"/>
      <c r="U240" s="184"/>
      <c r="V240" s="184"/>
      <c r="W240" s="184"/>
      <c r="X240" s="184"/>
      <c r="Y240" s="188"/>
      <c r="Z240" s="185"/>
      <c r="AA240" s="186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  <c r="AR240" s="181"/>
      <c r="AS240" s="181"/>
      <c r="AT240" s="181"/>
      <c r="AU240" s="181"/>
      <c r="AV240" s="181"/>
      <c r="AW240" s="181"/>
      <c r="AX240" s="181"/>
      <c r="AY240" s="181"/>
      <c r="AZ240" s="181"/>
      <c r="BA240" s="181"/>
      <c r="BB240" s="181"/>
      <c r="BC240" s="181"/>
      <c r="BD240" s="181"/>
      <c r="BE240" s="181"/>
      <c r="BF240" s="181"/>
      <c r="BG240" s="181"/>
      <c r="BH240" s="181"/>
      <c r="BI240" s="181"/>
      <c r="BJ240" s="181"/>
      <c r="BK240" s="181"/>
      <c r="BL240" s="181"/>
      <c r="BM240" s="181"/>
      <c r="BN240" s="181"/>
      <c r="BO240" s="181"/>
      <c r="BP240" s="181"/>
      <c r="BQ240" s="181"/>
      <c r="BR240" s="181"/>
      <c r="BS240" s="181"/>
      <c r="BT240" s="181"/>
      <c r="BU240" s="181"/>
      <c r="BV240" s="181"/>
      <c r="BW240" s="181"/>
      <c r="BX240" s="181"/>
      <c r="BY240" s="181"/>
      <c r="BZ240" s="181"/>
      <c r="CA240" s="181"/>
      <c r="CB240" s="181"/>
      <c r="CC240" s="181"/>
      <c r="CD240" s="181"/>
      <c r="CE240" s="181"/>
      <c r="CF240" s="181"/>
      <c r="CG240" s="181"/>
      <c r="CH240" s="181"/>
      <c r="CI240" s="181"/>
      <c r="CJ240" s="181"/>
      <c r="CK240" s="181"/>
      <c r="CL240" s="181"/>
      <c r="CM240" s="181"/>
      <c r="CN240" s="181"/>
      <c r="CO240" s="181"/>
      <c r="CP240" s="181"/>
      <c r="CQ240" s="181"/>
      <c r="CR240" s="181"/>
      <c r="CS240" s="181"/>
      <c r="CT240" s="181"/>
      <c r="CU240" s="181"/>
      <c r="CV240" s="181"/>
      <c r="CW240" s="181"/>
      <c r="CX240" s="181"/>
      <c r="CY240" s="181"/>
      <c r="CZ240" s="181"/>
      <c r="DA240" s="181"/>
      <c r="DB240" s="181"/>
      <c r="DC240" s="181"/>
      <c r="DD240" s="181"/>
      <c r="DE240" s="181"/>
      <c r="DF240" s="181"/>
      <c r="DG240" s="181"/>
      <c r="DH240" s="181"/>
      <c r="DI240" s="181"/>
      <c r="DJ240" s="181"/>
      <c r="DK240" s="181"/>
      <c r="DL240" s="181"/>
      <c r="DM240" s="181"/>
      <c r="DN240" s="181"/>
      <c r="DO240" s="181"/>
      <c r="DP240" s="181"/>
      <c r="DQ240" s="181"/>
      <c r="DR240" s="181"/>
      <c r="DS240" s="181"/>
      <c r="DT240" s="181"/>
      <c r="DU240" s="181"/>
      <c r="DV240" s="181"/>
      <c r="DW240" s="181"/>
      <c r="DX240" s="181"/>
      <c r="DY240" s="181"/>
      <c r="DZ240" s="181"/>
      <c r="EA240" s="181"/>
      <c r="EB240" s="181"/>
      <c r="EC240" s="181"/>
      <c r="ED240" s="181"/>
      <c r="EE240" s="181"/>
      <c r="EF240" s="181"/>
      <c r="EG240" s="181"/>
      <c r="EH240" s="181"/>
      <c r="EI240" s="181"/>
      <c r="EJ240" s="181"/>
      <c r="EK240" s="181"/>
      <c r="EL240" s="181"/>
      <c r="EM240" s="181"/>
      <c r="EN240" s="181"/>
      <c r="EO240" s="181"/>
      <c r="EP240" s="181"/>
      <c r="EQ240" s="181"/>
      <c r="ER240" s="181"/>
      <c r="ES240" s="181"/>
      <c r="ET240" s="181"/>
      <c r="EU240" s="181"/>
      <c r="EV240" s="181"/>
      <c r="EW240" s="181"/>
      <c r="EX240" s="181"/>
      <c r="EY240" s="181"/>
      <c r="EZ240" s="181"/>
      <c r="FA240" s="181"/>
      <c r="FB240" s="181"/>
      <c r="FC240" s="181"/>
      <c r="FD240" s="181"/>
      <c r="FE240" s="181"/>
      <c r="FF240" s="181"/>
      <c r="FG240" s="181"/>
      <c r="FH240" s="181"/>
      <c r="FI240" s="181"/>
      <c r="FJ240" s="181"/>
      <c r="FK240" s="181"/>
      <c r="FL240" s="181"/>
      <c r="FM240" s="181"/>
      <c r="FN240" s="181"/>
      <c r="FO240" s="181"/>
      <c r="FP240" s="181"/>
      <c r="FQ240" s="181"/>
      <c r="FR240" s="181"/>
      <c r="FS240" s="181"/>
      <c r="FT240" s="181"/>
      <c r="FU240" s="181"/>
      <c r="FV240" s="181"/>
      <c r="FW240" s="181"/>
      <c r="FX240" s="181"/>
      <c r="FY240" s="181"/>
      <c r="FZ240" s="181"/>
      <c r="GA240" s="181"/>
      <c r="GB240" s="181"/>
      <c r="GC240" s="181"/>
      <c r="GD240" s="181"/>
      <c r="GE240" s="181"/>
      <c r="GF240" s="181"/>
      <c r="GG240" s="181"/>
      <c r="GH240" s="181"/>
      <c r="GI240" s="181"/>
      <c r="GJ240" s="181"/>
      <c r="GK240" s="181"/>
      <c r="GL240" s="181"/>
      <c r="GM240" s="181"/>
      <c r="GN240" s="181"/>
      <c r="GO240" s="181"/>
      <c r="GP240" s="181"/>
      <c r="GQ240" s="181"/>
      <c r="GR240" s="181"/>
      <c r="GS240" s="181"/>
      <c r="GT240" s="181"/>
      <c r="GU240" s="181"/>
      <c r="GV240" s="181"/>
      <c r="GW240" s="181"/>
      <c r="GX240" s="181"/>
      <c r="GY240" s="181"/>
      <c r="GZ240" s="181"/>
      <c r="HA240" s="181"/>
      <c r="HB240" s="181"/>
      <c r="HC240" s="181"/>
      <c r="HD240" s="181"/>
      <c r="HE240" s="181"/>
      <c r="HF240" s="181"/>
      <c r="HG240" s="181"/>
      <c r="HH240" s="181"/>
      <c r="HI240" s="181"/>
      <c r="HJ240" s="181"/>
      <c r="HK240" s="181"/>
      <c r="HL240" s="181"/>
      <c r="HM240" s="181"/>
      <c r="HN240" s="181"/>
      <c r="HO240" s="181"/>
      <c r="HP240" s="181"/>
      <c r="HQ240" s="181"/>
      <c r="HR240" s="181"/>
      <c r="HS240" s="181"/>
      <c r="HT240" s="181"/>
      <c r="HU240" s="181"/>
      <c r="HV240" s="181"/>
      <c r="HW240" s="181"/>
      <c r="HX240" s="181"/>
      <c r="HY240" s="181"/>
      <c r="HZ240" s="181"/>
      <c r="IA240" s="181"/>
      <c r="IB240" s="181"/>
      <c r="IC240" s="181"/>
      <c r="ID240" s="181"/>
      <c r="IE240" s="181"/>
      <c r="IF240" s="181"/>
      <c r="IG240" s="181"/>
      <c r="IH240" s="181"/>
      <c r="II240" s="181"/>
      <c r="IJ240" s="181"/>
      <c r="IK240" s="181"/>
      <c r="IL240" s="181"/>
      <c r="IM240" s="181"/>
      <c r="IN240" s="181"/>
      <c r="IO240" s="181"/>
      <c r="IP240" s="181"/>
      <c r="IQ240" s="181"/>
      <c r="IR240" s="181"/>
      <c r="IS240" s="181"/>
      <c r="IT240" s="181"/>
      <c r="IU240" s="181"/>
      <c r="IV240" s="181"/>
      <c r="IW240" s="181"/>
      <c r="IX240" s="181"/>
      <c r="IY240" s="181"/>
      <c r="IZ240" s="181"/>
      <c r="JA240" s="181"/>
      <c r="JB240" s="181"/>
      <c r="JC240" s="181"/>
      <c r="JD240" s="181"/>
      <c r="JE240" s="181"/>
      <c r="JF240" s="181"/>
      <c r="JG240" s="181"/>
      <c r="JH240" s="181"/>
      <c r="JI240" s="181"/>
      <c r="JJ240" s="181"/>
      <c r="JK240" s="181"/>
      <c r="JL240" s="181"/>
      <c r="JM240" s="181"/>
      <c r="JN240" s="181"/>
      <c r="JO240" s="181"/>
      <c r="JP240" s="181"/>
      <c r="JQ240" s="181"/>
      <c r="JR240" s="181"/>
      <c r="JS240" s="181"/>
      <c r="JT240" s="181"/>
      <c r="JU240" s="181"/>
      <c r="JV240" s="181"/>
      <c r="JW240" s="181"/>
      <c r="JX240" s="181"/>
      <c r="JY240" s="181"/>
      <c r="JZ240" s="181"/>
      <c r="KA240" s="181"/>
      <c r="KB240" s="181"/>
      <c r="KC240" s="181"/>
      <c r="KD240" s="181"/>
      <c r="KE240" s="181"/>
      <c r="KF240" s="181"/>
      <c r="KG240" s="181"/>
      <c r="KH240" s="181"/>
      <c r="KI240" s="181"/>
      <c r="KJ240" s="181"/>
      <c r="KK240" s="181"/>
      <c r="KL240" s="181"/>
      <c r="KM240" s="181"/>
      <c r="KN240" s="181"/>
      <c r="KO240" s="181"/>
      <c r="KP240" s="181"/>
      <c r="KQ240" s="181"/>
      <c r="KR240" s="181"/>
      <c r="KS240" s="181"/>
      <c r="KT240" s="181"/>
      <c r="KU240" s="181"/>
      <c r="KV240" s="181"/>
      <c r="KW240" s="181"/>
      <c r="KX240" s="181"/>
      <c r="KY240" s="181"/>
      <c r="KZ240" s="181"/>
      <c r="LA240" s="181"/>
      <c r="LB240" s="181"/>
      <c r="LC240" s="181"/>
      <c r="LD240" s="181"/>
      <c r="LE240" s="181"/>
      <c r="LF240" s="181"/>
      <c r="LG240" s="181"/>
      <c r="LH240" s="181"/>
      <c r="LI240" s="181"/>
      <c r="LJ240" s="181"/>
      <c r="LK240" s="181"/>
      <c r="LL240" s="181"/>
      <c r="LM240" s="181"/>
      <c r="LN240" s="181"/>
      <c r="LO240" s="181"/>
      <c r="LP240" s="181"/>
      <c r="LQ240" s="181"/>
      <c r="LR240" s="181"/>
      <c r="LS240" s="181"/>
      <c r="LT240" s="181"/>
      <c r="LU240" s="181"/>
      <c r="LV240" s="181"/>
      <c r="LW240" s="181"/>
      <c r="LX240" s="181"/>
      <c r="LY240" s="181"/>
      <c r="LZ240" s="181"/>
      <c r="MA240" s="181"/>
      <c r="MB240" s="181"/>
      <c r="MC240" s="181"/>
      <c r="MD240" s="181"/>
      <c r="ME240" s="181"/>
      <c r="MF240" s="181"/>
      <c r="MG240" s="181"/>
      <c r="MH240" s="181"/>
      <c r="MI240" s="181"/>
      <c r="MJ240" s="181"/>
      <c r="MK240" s="181"/>
      <c r="ML240" s="181"/>
      <c r="MM240" s="181"/>
      <c r="MN240" s="181"/>
      <c r="MO240" s="181"/>
      <c r="MP240" s="181"/>
      <c r="MQ240" s="181"/>
      <c r="MR240" s="181"/>
      <c r="MS240" s="181"/>
      <c r="MT240" s="181"/>
      <c r="MU240" s="181"/>
      <c r="MV240" s="181"/>
      <c r="MW240" s="181"/>
      <c r="MX240" s="181"/>
      <c r="MY240" s="181"/>
      <c r="MZ240" s="181"/>
      <c r="NA240" s="181"/>
      <c r="NB240" s="181"/>
      <c r="NC240" s="181"/>
      <c r="ND240" s="181"/>
      <c r="NE240" s="181"/>
      <c r="NF240" s="181"/>
      <c r="NG240" s="181"/>
      <c r="NH240" s="181"/>
      <c r="NI240" s="181"/>
      <c r="NJ240" s="181"/>
      <c r="NK240" s="181"/>
      <c r="NL240" s="181"/>
      <c r="NM240" s="181"/>
      <c r="NN240" s="181"/>
      <c r="NO240" s="181"/>
      <c r="NP240" s="181"/>
      <c r="NQ240" s="181"/>
      <c r="NR240" s="181"/>
      <c r="NS240" s="181"/>
      <c r="NT240" s="181"/>
      <c r="NU240" s="181"/>
      <c r="NV240" s="181"/>
      <c r="NW240" s="181"/>
      <c r="NX240" s="181"/>
      <c r="NY240" s="181"/>
      <c r="NZ240" s="181"/>
      <c r="OA240" s="181"/>
      <c r="OB240" s="181"/>
      <c r="OC240" s="181"/>
      <c r="OD240" s="181"/>
      <c r="OE240" s="181"/>
      <c r="OF240" s="181"/>
      <c r="OG240" s="181"/>
      <c r="OH240" s="181"/>
      <c r="OI240" s="181"/>
      <c r="OJ240" s="181"/>
      <c r="OK240" s="181"/>
      <c r="OL240" s="181"/>
      <c r="OM240" s="181"/>
      <c r="ON240" s="181"/>
      <c r="OO240" s="181"/>
      <c r="OP240" s="181"/>
      <c r="OQ240" s="181"/>
      <c r="OR240" s="181"/>
      <c r="OS240" s="181"/>
      <c r="OT240" s="181"/>
      <c r="OU240" s="181"/>
      <c r="OV240" s="181"/>
      <c r="OW240" s="181"/>
      <c r="OX240" s="181"/>
      <c r="OY240" s="181"/>
      <c r="OZ240" s="181"/>
      <c r="PA240" s="181"/>
      <c r="PB240" s="181"/>
      <c r="PC240" s="181"/>
      <c r="PD240" s="181"/>
      <c r="PE240" s="181"/>
      <c r="PF240" s="181"/>
      <c r="PG240" s="181"/>
      <c r="PH240" s="181"/>
      <c r="PI240" s="181"/>
      <c r="PJ240" s="181"/>
      <c r="PK240" s="181"/>
      <c r="PL240" s="181"/>
      <c r="PM240" s="181"/>
      <c r="PN240" s="181"/>
      <c r="PO240" s="181"/>
      <c r="PP240" s="181"/>
      <c r="PQ240" s="181"/>
      <c r="PR240" s="181"/>
      <c r="PS240" s="181"/>
      <c r="PT240" s="181"/>
      <c r="PU240" s="181"/>
      <c r="PV240" s="181"/>
      <c r="PW240" s="181"/>
      <c r="PX240" s="181"/>
      <c r="PY240" s="181"/>
      <c r="PZ240" s="181"/>
      <c r="QA240" s="181"/>
      <c r="QB240" s="181"/>
      <c r="QC240" s="181"/>
      <c r="QD240" s="181"/>
      <c r="QE240" s="181"/>
      <c r="QF240" s="181"/>
      <c r="QG240" s="181"/>
      <c r="QH240" s="181"/>
      <c r="QI240" s="181"/>
      <c r="QJ240" s="181"/>
      <c r="QK240" s="181"/>
      <c r="QL240" s="181"/>
      <c r="QM240" s="181"/>
      <c r="QN240" s="181"/>
      <c r="QO240" s="181"/>
      <c r="QP240" s="181"/>
      <c r="QQ240" s="181"/>
      <c r="QR240" s="181"/>
      <c r="QS240" s="181"/>
      <c r="QT240" s="181"/>
      <c r="QU240" s="181"/>
      <c r="QV240" s="181"/>
      <c r="QW240" s="181"/>
      <c r="QX240" s="181"/>
      <c r="QY240" s="181"/>
      <c r="QZ240" s="181"/>
      <c r="RA240" s="181"/>
      <c r="RB240" s="181"/>
      <c r="RC240" s="181"/>
      <c r="RD240" s="181"/>
      <c r="RE240" s="181"/>
      <c r="RF240" s="181"/>
      <c r="RG240" s="181"/>
      <c r="RH240" s="181"/>
      <c r="RI240" s="181"/>
      <c r="RJ240" s="181"/>
      <c r="RK240" s="181"/>
      <c r="RL240" s="181"/>
      <c r="RM240" s="181"/>
      <c r="RN240" s="181"/>
      <c r="RO240" s="181"/>
      <c r="RP240" s="181"/>
      <c r="RQ240" s="181"/>
      <c r="RR240" s="181"/>
      <c r="RS240" s="181"/>
      <c r="RT240" s="181"/>
      <c r="RU240" s="181"/>
      <c r="RV240" s="181"/>
      <c r="RW240" s="181"/>
      <c r="RX240" s="181"/>
      <c r="RY240" s="181"/>
      <c r="RZ240" s="181"/>
      <c r="SA240" s="181"/>
      <c r="SB240" s="181"/>
      <c r="SC240" s="181"/>
      <c r="SD240" s="181"/>
      <c r="SE240" s="181"/>
      <c r="SF240" s="181"/>
      <c r="SG240" s="181"/>
      <c r="SH240" s="181"/>
      <c r="SI240" s="181"/>
      <c r="SJ240" s="181"/>
      <c r="SK240" s="181"/>
      <c r="SL240" s="181"/>
      <c r="SM240" s="181"/>
      <c r="SN240" s="181"/>
      <c r="SO240" s="181"/>
      <c r="SP240" s="181"/>
      <c r="SQ240" s="181"/>
      <c r="SR240" s="181"/>
      <c r="SS240" s="181"/>
      <c r="ST240" s="181"/>
      <c r="SU240" s="181"/>
      <c r="SV240" s="181"/>
      <c r="SW240" s="181"/>
      <c r="SX240" s="181"/>
      <c r="SY240" s="181"/>
      <c r="SZ240" s="181"/>
      <c r="TA240" s="181"/>
      <c r="TB240" s="181"/>
      <c r="TC240" s="181"/>
      <c r="TD240" s="181"/>
      <c r="TE240" s="181"/>
      <c r="TF240" s="181"/>
      <c r="TG240" s="181"/>
      <c r="TH240" s="181"/>
      <c r="TI240" s="181"/>
      <c r="TJ240" s="181"/>
      <c r="TK240" s="181"/>
      <c r="TL240" s="181"/>
      <c r="TM240" s="181"/>
      <c r="TN240" s="181"/>
      <c r="TO240" s="181"/>
      <c r="TP240" s="181"/>
      <c r="TQ240" s="181"/>
      <c r="TR240" s="181"/>
      <c r="TS240" s="181"/>
      <c r="TT240" s="181"/>
      <c r="TU240" s="181"/>
      <c r="TV240" s="181"/>
      <c r="TW240" s="181"/>
      <c r="TX240" s="181"/>
      <c r="TY240" s="181"/>
      <c r="TZ240" s="181"/>
      <c r="UA240" s="181"/>
      <c r="UB240" s="181"/>
      <c r="UC240" s="181"/>
      <c r="UD240" s="181"/>
      <c r="UE240" s="181"/>
      <c r="UF240" s="181"/>
      <c r="UG240" s="181"/>
      <c r="UH240" s="181"/>
      <c r="UI240" s="181"/>
      <c r="UJ240" s="181"/>
      <c r="UK240" s="181"/>
      <c r="UL240" s="181"/>
      <c r="UM240" s="181"/>
      <c r="UN240" s="181"/>
      <c r="UO240" s="181"/>
      <c r="UP240" s="181"/>
      <c r="UQ240" s="181"/>
      <c r="UR240" s="181"/>
      <c r="US240" s="181"/>
      <c r="UT240" s="181"/>
      <c r="UU240" s="181"/>
      <c r="UV240" s="181"/>
      <c r="UW240" s="181"/>
      <c r="UX240" s="181"/>
      <c r="UY240" s="181"/>
      <c r="UZ240" s="181"/>
      <c r="VA240" s="181"/>
      <c r="VB240" s="181"/>
      <c r="VC240" s="181"/>
      <c r="VD240" s="181"/>
      <c r="VE240" s="181"/>
      <c r="VF240" s="181"/>
      <c r="VG240" s="181"/>
      <c r="VH240" s="181"/>
      <c r="VI240" s="181"/>
      <c r="VJ240" s="181"/>
      <c r="VK240" s="181"/>
      <c r="VL240" s="181"/>
      <c r="VM240" s="181"/>
      <c r="VN240" s="181"/>
      <c r="VO240" s="181"/>
      <c r="VP240" s="181"/>
      <c r="VQ240" s="181"/>
      <c r="VR240" s="181"/>
      <c r="VS240" s="181"/>
      <c r="VT240" s="181"/>
      <c r="VU240" s="181"/>
      <c r="VV240" s="181"/>
      <c r="VW240" s="181"/>
      <c r="VX240" s="181"/>
      <c r="VY240" s="181"/>
      <c r="VZ240" s="181"/>
      <c r="WA240" s="181"/>
      <c r="WB240" s="181"/>
      <c r="WC240" s="181"/>
      <c r="WD240" s="181"/>
      <c r="WE240" s="181"/>
      <c r="WF240" s="181"/>
      <c r="WG240" s="181"/>
      <c r="WH240" s="181"/>
      <c r="WI240" s="181"/>
      <c r="WJ240" s="181"/>
      <c r="WK240" s="181"/>
      <c r="WL240" s="181"/>
      <c r="WM240" s="181"/>
      <c r="WN240" s="181"/>
      <c r="WO240" s="181"/>
      <c r="WP240" s="181"/>
      <c r="WQ240" s="181"/>
      <c r="WR240" s="181"/>
      <c r="WS240" s="181"/>
      <c r="WT240" s="181"/>
      <c r="WU240" s="181"/>
      <c r="WV240" s="181"/>
      <c r="WW240" s="181"/>
      <c r="WX240" s="181"/>
      <c r="WY240" s="181"/>
      <c r="WZ240" s="181"/>
      <c r="XA240" s="181"/>
    </row>
    <row r="241" spans="1:27" s="145" customFormat="1" ht="31.5" x14ac:dyDescent="0.45">
      <c r="A241" s="124"/>
      <c r="B241" s="124"/>
      <c r="C241" s="124"/>
      <c r="D241" s="124"/>
      <c r="E241" s="124"/>
      <c r="F241" s="124"/>
      <c r="G241" s="124"/>
      <c r="H241" s="141"/>
      <c r="I241" s="124"/>
      <c r="J241" s="124"/>
      <c r="K241" s="142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60"/>
      <c r="Y241" s="188"/>
      <c r="Z241" s="148"/>
      <c r="AA241" s="144"/>
    </row>
    <row r="242" spans="1:27" s="74" customFormat="1" ht="20.25" customHeight="1" x14ac:dyDescent="0.25">
      <c r="A242" s="85"/>
      <c r="B242" s="85"/>
      <c r="C242" s="85"/>
      <c r="D242" s="86"/>
      <c r="E242" s="42"/>
      <c r="F242" s="42"/>
      <c r="G242" s="42"/>
      <c r="H242" s="42"/>
      <c r="I242" s="42"/>
      <c r="J242" s="42"/>
      <c r="K242" s="146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188"/>
      <c r="Z242" s="42"/>
      <c r="AA242" s="144"/>
    </row>
    <row r="243" spans="1:27" s="74" customFormat="1" ht="15" x14ac:dyDescent="0.25">
      <c r="A243" s="85"/>
      <c r="B243" s="85"/>
      <c r="C243" s="85"/>
      <c r="D243" s="86"/>
      <c r="E243" s="42"/>
      <c r="F243" s="42"/>
      <c r="G243" s="42"/>
      <c r="H243" s="42"/>
      <c r="I243" s="42"/>
      <c r="J243" s="42"/>
      <c r="K243" s="146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188"/>
      <c r="Z243" s="42"/>
      <c r="AA243" s="144"/>
    </row>
    <row r="244" spans="1:27" s="8" customFormat="1" x14ac:dyDescent="0.35">
      <c r="A244" s="9"/>
      <c r="B244" s="4"/>
      <c r="C244" s="18"/>
      <c r="Y244" s="170"/>
    </row>
    <row r="245" spans="1:27" s="8" customFormat="1" x14ac:dyDescent="0.35">
      <c r="A245" s="9"/>
      <c r="B245" s="4"/>
      <c r="C245" s="18"/>
      <c r="Y245" s="170"/>
    </row>
    <row r="246" spans="1:27" s="8" customFormat="1" ht="27.75" x14ac:dyDescent="0.35">
      <c r="A246" s="211"/>
      <c r="B246" s="212"/>
      <c r="C246" s="212"/>
      <c r="D246" s="161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28"/>
      <c r="Q246" s="28"/>
      <c r="R246" s="28"/>
      <c r="S246" s="28"/>
      <c r="T246" s="28"/>
      <c r="U246" s="28"/>
      <c r="V246" s="28"/>
      <c r="W246" s="28"/>
      <c r="Y246" s="170"/>
    </row>
    <row r="247" spans="1:27" s="8" customFormat="1" ht="27.75" x14ac:dyDescent="0.4">
      <c r="A247" s="25"/>
      <c r="B247" s="27"/>
      <c r="C247" s="27"/>
      <c r="D247" s="27"/>
      <c r="E247" s="27"/>
      <c r="F247" s="27"/>
      <c r="G247" s="27"/>
      <c r="H247" s="27"/>
      <c r="I247" s="27"/>
      <c r="J247" s="27"/>
      <c r="K247" s="38"/>
      <c r="L247" s="38"/>
      <c r="M247" s="38"/>
      <c r="N247" s="31"/>
      <c r="O247" s="38"/>
      <c r="P247" s="26"/>
      <c r="Q247" s="26"/>
      <c r="R247" s="26"/>
      <c r="S247" s="26"/>
      <c r="T247" s="26"/>
      <c r="U247" s="26"/>
      <c r="V247" s="26"/>
      <c r="W247" s="26"/>
      <c r="Y247" s="170"/>
    </row>
    <row r="248" spans="1:27" s="8" customFormat="1" ht="26.25" x14ac:dyDescent="0.4">
      <c r="A248" s="210"/>
      <c r="B248" s="210"/>
      <c r="C248" s="210"/>
      <c r="D248" s="162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Y248" s="170"/>
    </row>
    <row r="249" spans="1:27" s="8" customFormat="1" ht="27.75" x14ac:dyDescent="0.4">
      <c r="A249" s="30"/>
      <c r="B249" s="29"/>
      <c r="C249" s="29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Y249" s="170"/>
    </row>
    <row r="250" spans="1:27" s="8" customFormat="1" x14ac:dyDescent="0.35">
      <c r="A250" s="9"/>
      <c r="B250" s="4"/>
      <c r="C250" s="18"/>
      <c r="D250" s="163"/>
      <c r="M250" s="11"/>
      <c r="N250" s="11"/>
      <c r="Y250" s="170"/>
    </row>
    <row r="251" spans="1:27" s="8" customFormat="1" x14ac:dyDescent="0.35">
      <c r="A251" s="9"/>
      <c r="B251" s="4"/>
      <c r="C251" s="18"/>
      <c r="M251" s="11"/>
      <c r="N251" s="11"/>
      <c r="Y251" s="170"/>
    </row>
    <row r="252" spans="1:27" s="8" customFormat="1" x14ac:dyDescent="0.35">
      <c r="A252" s="9"/>
      <c r="B252" s="4"/>
      <c r="C252" s="18"/>
      <c r="Y252" s="170"/>
    </row>
    <row r="253" spans="1:27" s="8" customFormat="1" x14ac:dyDescent="0.35">
      <c r="A253" s="9"/>
      <c r="B253" s="4"/>
      <c r="C253" s="18"/>
      <c r="Y253" s="170"/>
    </row>
    <row r="254" spans="1:27" s="8" customFormat="1" x14ac:dyDescent="0.35">
      <c r="A254" s="9"/>
      <c r="B254" s="4"/>
      <c r="C254" s="18"/>
      <c r="Y254" s="170"/>
    </row>
    <row r="255" spans="1:27" s="8" customFormat="1" x14ac:dyDescent="0.35">
      <c r="A255" s="9"/>
      <c r="B255" s="4"/>
      <c r="C255" s="18"/>
      <c r="Y255" s="170"/>
    </row>
    <row r="256" spans="1:27" s="8" customFormat="1" x14ac:dyDescent="0.35">
      <c r="A256" s="9"/>
      <c r="B256" s="4"/>
      <c r="C256" s="18"/>
      <c r="Y256" s="170"/>
    </row>
    <row r="257" spans="1:25" s="8" customFormat="1" ht="6.75" customHeight="1" x14ac:dyDescent="0.35">
      <c r="A257" s="9"/>
      <c r="B257" s="4"/>
      <c r="C257" s="18"/>
      <c r="Y257" s="170"/>
    </row>
    <row r="258" spans="1:25" s="8" customFormat="1" ht="1.5" customHeight="1" x14ac:dyDescent="0.35">
      <c r="A258" s="9"/>
      <c r="B258" s="4"/>
      <c r="C258" s="18"/>
      <c r="D258" s="21"/>
      <c r="Y258" s="170"/>
    </row>
    <row r="259" spans="1:25" s="8" customFormat="1" ht="22.5" customHeight="1" x14ac:dyDescent="0.35">
      <c r="A259" s="9"/>
      <c r="B259" s="4"/>
      <c r="C259" s="18"/>
      <c r="Y259" s="170"/>
    </row>
    <row r="260" spans="1:25" s="8" customFormat="1" x14ac:dyDescent="0.35">
      <c r="A260" s="9"/>
      <c r="B260" s="4"/>
      <c r="C260" s="18"/>
      <c r="Y260" s="170"/>
    </row>
    <row r="261" spans="1:25" s="8" customFormat="1" x14ac:dyDescent="0.35">
      <c r="A261" s="9"/>
      <c r="B261" s="4"/>
      <c r="C261" s="18"/>
      <c r="D261" s="21"/>
      <c r="Y261" s="170"/>
    </row>
    <row r="262" spans="1:25" s="8" customFormat="1" x14ac:dyDescent="0.35">
      <c r="A262" s="9"/>
      <c r="B262" s="4"/>
      <c r="C262" s="18"/>
      <c r="Y262" s="170"/>
    </row>
    <row r="263" spans="1:25" s="8" customFormat="1" x14ac:dyDescent="0.35">
      <c r="A263" s="9"/>
      <c r="B263" s="4"/>
      <c r="C263" s="18"/>
      <c r="Y263" s="170"/>
    </row>
    <row r="264" spans="1:25" s="8" customFormat="1" x14ac:dyDescent="0.35">
      <c r="A264" s="9"/>
      <c r="B264" s="4"/>
      <c r="C264" s="18"/>
      <c r="Y264" s="170"/>
    </row>
    <row r="265" spans="1:25" s="8" customFormat="1" x14ac:dyDescent="0.35">
      <c r="A265" s="9"/>
      <c r="B265" s="4"/>
      <c r="C265" s="18"/>
      <c r="Y265" s="170"/>
    </row>
    <row r="266" spans="1:25" s="8" customFormat="1" x14ac:dyDescent="0.35">
      <c r="A266" s="9"/>
      <c r="B266" s="4"/>
      <c r="C266" s="18"/>
      <c r="Y266" s="170"/>
    </row>
    <row r="267" spans="1:25" s="8" customFormat="1" x14ac:dyDescent="0.35">
      <c r="A267" s="9"/>
      <c r="B267" s="4"/>
      <c r="C267" s="18"/>
      <c r="Y267" s="170"/>
    </row>
    <row r="268" spans="1:25" s="8" customFormat="1" x14ac:dyDescent="0.35">
      <c r="A268" s="9"/>
      <c r="B268" s="4"/>
      <c r="C268" s="18"/>
      <c r="Y268" s="170"/>
    </row>
    <row r="269" spans="1:25" s="8" customFormat="1" x14ac:dyDescent="0.35">
      <c r="A269" s="9"/>
      <c r="B269" s="4"/>
      <c r="C269" s="18"/>
      <c r="Y269" s="170"/>
    </row>
    <row r="270" spans="1:25" s="8" customFormat="1" x14ac:dyDescent="0.35">
      <c r="A270" s="9"/>
      <c r="B270" s="4"/>
      <c r="C270" s="18"/>
      <c r="Y270" s="170"/>
    </row>
    <row r="271" spans="1:25" s="8" customFormat="1" x14ac:dyDescent="0.35">
      <c r="A271" s="9"/>
      <c r="B271" s="4"/>
      <c r="C271" s="18"/>
      <c r="Y271" s="170"/>
    </row>
    <row r="272" spans="1:25" s="8" customFormat="1" x14ac:dyDescent="0.35">
      <c r="A272" s="9"/>
      <c r="B272" s="4"/>
      <c r="C272" s="18"/>
      <c r="Y272" s="170"/>
    </row>
    <row r="273" spans="1:25" s="8" customFormat="1" x14ac:dyDescent="0.35">
      <c r="A273" s="9"/>
      <c r="B273" s="4"/>
      <c r="C273" s="18"/>
      <c r="Y273" s="170"/>
    </row>
    <row r="274" spans="1:25" s="8" customFormat="1" x14ac:dyDescent="0.35">
      <c r="A274" s="9"/>
      <c r="B274" s="4"/>
      <c r="C274" s="18"/>
      <c r="Y274" s="170"/>
    </row>
    <row r="275" spans="1:25" s="8" customFormat="1" x14ac:dyDescent="0.35">
      <c r="A275" s="9"/>
      <c r="B275" s="4"/>
      <c r="C275" s="18"/>
      <c r="Y275" s="170"/>
    </row>
    <row r="276" spans="1:25" s="8" customFormat="1" x14ac:dyDescent="0.35">
      <c r="A276" s="9"/>
      <c r="B276" s="4"/>
      <c r="C276" s="18"/>
      <c r="Y276" s="170"/>
    </row>
    <row r="277" spans="1:25" s="8" customFormat="1" x14ac:dyDescent="0.35">
      <c r="A277" s="9"/>
      <c r="B277" s="4"/>
      <c r="C277" s="18"/>
      <c r="Y277" s="170"/>
    </row>
    <row r="278" spans="1:25" s="8" customFormat="1" x14ac:dyDescent="0.35">
      <c r="A278" s="9"/>
      <c r="B278" s="4"/>
      <c r="C278" s="18"/>
      <c r="Y278" s="170"/>
    </row>
    <row r="279" spans="1:25" s="8" customFormat="1" x14ac:dyDescent="0.35">
      <c r="A279" s="9"/>
      <c r="B279" s="4"/>
      <c r="C279" s="18"/>
      <c r="Y279" s="170"/>
    </row>
    <row r="280" spans="1:25" s="8" customFormat="1" x14ac:dyDescent="0.35">
      <c r="A280" s="9"/>
      <c r="B280" s="4"/>
      <c r="C280" s="18"/>
      <c r="Y280" s="170"/>
    </row>
    <row r="281" spans="1:25" s="8" customFormat="1" x14ac:dyDescent="0.35">
      <c r="A281" s="9"/>
      <c r="B281" s="4"/>
      <c r="C281" s="18"/>
      <c r="Y281" s="170"/>
    </row>
    <row r="282" spans="1:25" s="8" customFormat="1" x14ac:dyDescent="0.35">
      <c r="A282" s="9"/>
      <c r="B282" s="4"/>
      <c r="C282" s="18"/>
      <c r="Y282" s="170"/>
    </row>
    <row r="283" spans="1:25" s="8" customFormat="1" x14ac:dyDescent="0.35">
      <c r="A283" s="9"/>
      <c r="B283" s="4"/>
      <c r="C283" s="18"/>
      <c r="Y283" s="170"/>
    </row>
    <row r="284" spans="1:25" s="8" customFormat="1" x14ac:dyDescent="0.35">
      <c r="A284" s="9"/>
      <c r="B284" s="4"/>
      <c r="C284" s="18"/>
      <c r="Y284" s="170"/>
    </row>
    <row r="285" spans="1:25" s="8" customFormat="1" x14ac:dyDescent="0.35">
      <c r="A285" s="9"/>
      <c r="B285" s="4"/>
      <c r="C285" s="18"/>
      <c r="Y285" s="170"/>
    </row>
    <row r="286" spans="1:25" s="8" customFormat="1" x14ac:dyDescent="0.35">
      <c r="A286" s="9"/>
      <c r="B286" s="4"/>
      <c r="C286" s="18"/>
      <c r="Y286" s="170"/>
    </row>
    <row r="287" spans="1:25" s="8" customFormat="1" x14ac:dyDescent="0.35">
      <c r="A287" s="9"/>
      <c r="B287" s="4"/>
      <c r="C287" s="18"/>
      <c r="Y287" s="170"/>
    </row>
    <row r="288" spans="1:25" s="8" customFormat="1" x14ac:dyDescent="0.35">
      <c r="A288" s="9"/>
      <c r="B288" s="4"/>
      <c r="C288" s="18"/>
      <c r="Y288" s="170"/>
    </row>
    <row r="289" spans="1:25" s="8" customFormat="1" x14ac:dyDescent="0.35">
      <c r="A289" s="9"/>
      <c r="B289" s="4"/>
      <c r="C289" s="18"/>
      <c r="Y289" s="170"/>
    </row>
    <row r="290" spans="1:25" s="8" customFormat="1" x14ac:dyDescent="0.35">
      <c r="A290" s="9"/>
      <c r="B290" s="4"/>
      <c r="C290" s="18"/>
      <c r="Y290" s="170"/>
    </row>
    <row r="291" spans="1:25" s="8" customFormat="1" x14ac:dyDescent="0.35">
      <c r="A291" s="9"/>
      <c r="B291" s="4"/>
      <c r="C291" s="18"/>
      <c r="Y291" s="170"/>
    </row>
    <row r="292" spans="1:25" s="8" customFormat="1" x14ac:dyDescent="0.35">
      <c r="A292" s="9"/>
      <c r="B292" s="4"/>
      <c r="C292" s="18"/>
      <c r="Y292" s="170"/>
    </row>
    <row r="293" spans="1:25" s="8" customFormat="1" x14ac:dyDescent="0.35">
      <c r="A293" s="9"/>
      <c r="B293" s="4"/>
      <c r="C293" s="18"/>
      <c r="Y293" s="170"/>
    </row>
    <row r="294" spans="1:25" s="8" customFormat="1" x14ac:dyDescent="0.35">
      <c r="A294" s="9"/>
      <c r="B294" s="4"/>
      <c r="C294" s="18"/>
      <c r="Y294" s="170"/>
    </row>
    <row r="295" spans="1:25" s="8" customFormat="1" x14ac:dyDescent="0.35">
      <c r="A295" s="9"/>
      <c r="B295" s="4"/>
      <c r="C295" s="18"/>
      <c r="Y295" s="170"/>
    </row>
    <row r="296" spans="1:25" s="8" customFormat="1" x14ac:dyDescent="0.35">
      <c r="A296" s="9"/>
      <c r="B296" s="4"/>
      <c r="C296" s="18"/>
      <c r="Y296" s="170"/>
    </row>
    <row r="297" spans="1:25" s="8" customFormat="1" x14ac:dyDescent="0.35">
      <c r="A297" s="9"/>
      <c r="B297" s="4"/>
      <c r="C297" s="18"/>
      <c r="Y297" s="170"/>
    </row>
    <row r="298" spans="1:25" s="8" customFormat="1" x14ac:dyDescent="0.35">
      <c r="A298" s="9"/>
      <c r="B298" s="4"/>
      <c r="C298" s="18"/>
      <c r="Y298" s="170"/>
    </row>
    <row r="299" spans="1:25" s="8" customFormat="1" x14ac:dyDescent="0.35">
      <c r="A299" s="9"/>
      <c r="B299" s="4"/>
      <c r="C299" s="18"/>
      <c r="Y299" s="170"/>
    </row>
    <row r="300" spans="1:25" s="8" customFormat="1" x14ac:dyDescent="0.35">
      <c r="A300" s="9"/>
      <c r="B300" s="4"/>
      <c r="C300" s="18"/>
      <c r="Y300" s="170"/>
    </row>
    <row r="301" spans="1:25" s="8" customFormat="1" x14ac:dyDescent="0.35">
      <c r="A301" s="9"/>
      <c r="B301" s="4"/>
      <c r="C301" s="18"/>
      <c r="Y301" s="170"/>
    </row>
    <row r="302" spans="1:25" s="8" customFormat="1" x14ac:dyDescent="0.35">
      <c r="A302" s="9"/>
      <c r="B302" s="4"/>
      <c r="C302" s="18"/>
      <c r="Y302" s="170"/>
    </row>
    <row r="303" spans="1:25" s="8" customFormat="1" x14ac:dyDescent="0.35">
      <c r="A303" s="9"/>
      <c r="B303" s="4"/>
      <c r="C303" s="18"/>
      <c r="Y303" s="170"/>
    </row>
    <row r="304" spans="1:25" s="8" customFormat="1" x14ac:dyDescent="0.35">
      <c r="A304" s="9"/>
      <c r="B304" s="4"/>
      <c r="C304" s="18"/>
      <c r="Y304" s="170"/>
    </row>
    <row r="305" spans="1:25" s="8" customFormat="1" x14ac:dyDescent="0.35">
      <c r="A305" s="9"/>
      <c r="B305" s="4"/>
      <c r="C305" s="18"/>
      <c r="Y305" s="170"/>
    </row>
    <row r="306" spans="1:25" s="8" customFormat="1" x14ac:dyDescent="0.35">
      <c r="A306" s="9"/>
      <c r="B306" s="4"/>
      <c r="C306" s="18"/>
      <c r="Y306" s="170"/>
    </row>
    <row r="307" spans="1:25" s="8" customFormat="1" x14ac:dyDescent="0.35">
      <c r="A307" s="9"/>
      <c r="B307" s="4"/>
      <c r="C307" s="18"/>
      <c r="Y307" s="170"/>
    </row>
    <row r="308" spans="1:25" s="8" customFormat="1" x14ac:dyDescent="0.35">
      <c r="A308" s="9"/>
      <c r="B308" s="4"/>
      <c r="C308" s="18"/>
      <c r="Y308" s="170"/>
    </row>
    <row r="309" spans="1:25" s="8" customFormat="1" x14ac:dyDescent="0.35">
      <c r="A309" s="9"/>
      <c r="B309" s="4"/>
      <c r="C309" s="18"/>
      <c r="Y309" s="170"/>
    </row>
    <row r="310" spans="1:25" s="8" customFormat="1" x14ac:dyDescent="0.35">
      <c r="A310" s="9"/>
      <c r="B310" s="4"/>
      <c r="C310" s="18"/>
      <c r="Y310" s="170"/>
    </row>
    <row r="311" spans="1:25" s="8" customFormat="1" x14ac:dyDescent="0.35">
      <c r="A311" s="9"/>
      <c r="B311" s="4"/>
      <c r="C311" s="18"/>
      <c r="Y311" s="170"/>
    </row>
    <row r="312" spans="1:25" s="8" customFormat="1" x14ac:dyDescent="0.35">
      <c r="A312" s="9"/>
      <c r="B312" s="4"/>
      <c r="C312" s="18"/>
      <c r="Y312" s="170"/>
    </row>
    <row r="313" spans="1:25" s="8" customFormat="1" x14ac:dyDescent="0.35">
      <c r="A313" s="9"/>
      <c r="B313" s="4"/>
      <c r="C313" s="18"/>
      <c r="Y313" s="170"/>
    </row>
    <row r="314" spans="1:25" s="8" customFormat="1" x14ac:dyDescent="0.35">
      <c r="A314" s="9"/>
      <c r="B314" s="4"/>
      <c r="C314" s="18"/>
      <c r="Y314" s="170"/>
    </row>
    <row r="315" spans="1:25" s="8" customFormat="1" x14ac:dyDescent="0.35">
      <c r="A315" s="9"/>
      <c r="B315" s="4"/>
      <c r="C315" s="18"/>
      <c r="Y315" s="170"/>
    </row>
    <row r="316" spans="1:25" s="8" customFormat="1" x14ac:dyDescent="0.35">
      <c r="A316" s="9"/>
      <c r="B316" s="4"/>
      <c r="C316" s="18"/>
      <c r="Y316" s="170"/>
    </row>
    <row r="317" spans="1:25" s="8" customFormat="1" x14ac:dyDescent="0.35">
      <c r="A317" s="9"/>
      <c r="B317" s="4"/>
      <c r="C317" s="18"/>
      <c r="Y317" s="170"/>
    </row>
    <row r="318" spans="1:25" s="8" customFormat="1" x14ac:dyDescent="0.35">
      <c r="A318" s="9"/>
      <c r="B318" s="4"/>
      <c r="C318" s="18"/>
      <c r="Y318" s="170"/>
    </row>
    <row r="319" spans="1:25" s="8" customFormat="1" x14ac:dyDescent="0.35">
      <c r="A319" s="9"/>
      <c r="B319" s="4"/>
      <c r="C319" s="18"/>
      <c r="Y319" s="170"/>
    </row>
    <row r="320" spans="1:25" s="8" customFormat="1" x14ac:dyDescent="0.35">
      <c r="A320" s="9"/>
      <c r="B320" s="4"/>
      <c r="C320" s="18"/>
      <c r="Y320" s="170"/>
    </row>
    <row r="321" spans="1:25" s="8" customFormat="1" x14ac:dyDescent="0.35">
      <c r="A321" s="9"/>
      <c r="B321" s="4"/>
      <c r="C321" s="18"/>
      <c r="Y321" s="170"/>
    </row>
    <row r="322" spans="1:25" s="8" customFormat="1" x14ac:dyDescent="0.35">
      <c r="A322" s="9"/>
      <c r="B322" s="4"/>
      <c r="C322" s="18"/>
      <c r="Y322" s="170"/>
    </row>
    <row r="323" spans="1:25" s="8" customFormat="1" x14ac:dyDescent="0.35">
      <c r="A323" s="9"/>
      <c r="B323" s="4"/>
      <c r="C323" s="18"/>
      <c r="Y323" s="170"/>
    </row>
    <row r="324" spans="1:25" s="8" customFormat="1" x14ac:dyDescent="0.35">
      <c r="A324" s="9"/>
      <c r="B324" s="4"/>
      <c r="C324" s="18"/>
      <c r="Y324" s="170"/>
    </row>
    <row r="325" spans="1:25" s="8" customFormat="1" x14ac:dyDescent="0.35">
      <c r="A325" s="9"/>
      <c r="B325" s="4"/>
      <c r="C325" s="18"/>
      <c r="Y325" s="170"/>
    </row>
    <row r="326" spans="1:25" s="8" customFormat="1" x14ac:dyDescent="0.35">
      <c r="A326" s="9"/>
      <c r="B326" s="4"/>
      <c r="C326" s="18"/>
      <c r="Y326" s="170"/>
    </row>
    <row r="327" spans="1:25" s="8" customFormat="1" x14ac:dyDescent="0.35">
      <c r="A327" s="9"/>
      <c r="B327" s="4"/>
      <c r="C327" s="18"/>
      <c r="Y327" s="170"/>
    </row>
    <row r="328" spans="1:25" s="8" customFormat="1" x14ac:dyDescent="0.35">
      <c r="A328" s="9"/>
      <c r="B328" s="4"/>
      <c r="C328" s="18"/>
      <c r="Y328" s="170"/>
    </row>
    <row r="329" spans="1:25" s="8" customFormat="1" x14ac:dyDescent="0.35">
      <c r="A329" s="9"/>
      <c r="B329" s="4"/>
      <c r="C329" s="18"/>
      <c r="Y329" s="170"/>
    </row>
    <row r="330" spans="1:25" s="8" customFormat="1" x14ac:dyDescent="0.35">
      <c r="A330" s="9"/>
      <c r="B330" s="4"/>
      <c r="C330" s="18"/>
      <c r="Y330" s="170"/>
    </row>
    <row r="331" spans="1:25" s="8" customFormat="1" x14ac:dyDescent="0.35">
      <c r="A331" s="9"/>
      <c r="B331" s="4"/>
      <c r="C331" s="18"/>
      <c r="Y331" s="170"/>
    </row>
    <row r="332" spans="1:25" s="8" customFormat="1" x14ac:dyDescent="0.35">
      <c r="A332" s="9"/>
      <c r="B332" s="4"/>
      <c r="C332" s="18"/>
      <c r="Y332" s="170"/>
    </row>
    <row r="333" spans="1:25" s="8" customFormat="1" x14ac:dyDescent="0.35">
      <c r="A333" s="9"/>
      <c r="B333" s="4"/>
      <c r="C333" s="18"/>
      <c r="Y333" s="170"/>
    </row>
    <row r="334" spans="1:25" s="8" customFormat="1" x14ac:dyDescent="0.35">
      <c r="A334" s="9"/>
      <c r="B334" s="4"/>
      <c r="C334" s="18"/>
      <c r="Y334" s="170"/>
    </row>
    <row r="335" spans="1:25" s="8" customFormat="1" x14ac:dyDescent="0.35">
      <c r="A335" s="9"/>
      <c r="B335" s="4"/>
      <c r="C335" s="18"/>
      <c r="Y335" s="170"/>
    </row>
    <row r="336" spans="1:25" s="8" customFormat="1" x14ac:dyDescent="0.35">
      <c r="A336" s="9"/>
      <c r="B336" s="4"/>
      <c r="C336" s="18"/>
      <c r="Y336" s="170"/>
    </row>
    <row r="337" spans="1:25" s="8" customFormat="1" x14ac:dyDescent="0.35">
      <c r="A337" s="9"/>
      <c r="B337" s="4"/>
      <c r="C337" s="18"/>
      <c r="Y337" s="170"/>
    </row>
    <row r="338" spans="1:25" s="8" customFormat="1" x14ac:dyDescent="0.35">
      <c r="A338" s="9"/>
      <c r="B338" s="4"/>
      <c r="C338" s="18"/>
      <c r="Y338" s="170"/>
    </row>
    <row r="339" spans="1:25" s="8" customFormat="1" x14ac:dyDescent="0.35">
      <c r="A339" s="9"/>
      <c r="B339" s="4"/>
      <c r="C339" s="18"/>
      <c r="Y339" s="170"/>
    </row>
    <row r="340" spans="1:25" s="8" customFormat="1" x14ac:dyDescent="0.35">
      <c r="A340" s="9"/>
      <c r="B340" s="4"/>
      <c r="C340" s="18"/>
      <c r="Y340" s="170"/>
    </row>
    <row r="341" spans="1:25" s="8" customFormat="1" x14ac:dyDescent="0.35">
      <c r="A341" s="9"/>
      <c r="B341" s="4"/>
      <c r="C341" s="18"/>
      <c r="Y341" s="170"/>
    </row>
    <row r="342" spans="1:25" s="8" customFormat="1" x14ac:dyDescent="0.35">
      <c r="A342" s="9"/>
      <c r="B342" s="4"/>
      <c r="C342" s="18"/>
      <c r="Y342" s="170"/>
    </row>
    <row r="343" spans="1:25" s="8" customFormat="1" x14ac:dyDescent="0.35">
      <c r="A343" s="9"/>
      <c r="B343" s="4"/>
      <c r="C343" s="18"/>
      <c r="Y343" s="170"/>
    </row>
    <row r="344" spans="1:25" s="8" customFormat="1" x14ac:dyDescent="0.35">
      <c r="A344" s="9"/>
      <c r="B344" s="4"/>
      <c r="C344" s="18"/>
      <c r="Y344" s="170"/>
    </row>
    <row r="345" spans="1:25" s="8" customFormat="1" x14ac:dyDescent="0.35">
      <c r="A345" s="9"/>
      <c r="B345" s="4"/>
      <c r="C345" s="18"/>
      <c r="Y345" s="170"/>
    </row>
    <row r="346" spans="1:25" s="8" customFormat="1" x14ac:dyDescent="0.35">
      <c r="A346" s="9"/>
      <c r="B346" s="4"/>
      <c r="C346" s="18"/>
      <c r="Y346" s="170"/>
    </row>
    <row r="347" spans="1:25" s="8" customFormat="1" x14ac:dyDescent="0.35">
      <c r="A347" s="9"/>
      <c r="B347" s="4"/>
      <c r="C347" s="18"/>
      <c r="Y347" s="170"/>
    </row>
    <row r="348" spans="1:25" s="8" customFormat="1" x14ac:dyDescent="0.35">
      <c r="A348" s="9"/>
      <c r="B348" s="4"/>
      <c r="C348" s="18"/>
      <c r="Y348" s="170"/>
    </row>
    <row r="349" spans="1:25" s="8" customFormat="1" x14ac:dyDescent="0.35">
      <c r="A349" s="9"/>
      <c r="B349" s="4"/>
      <c r="C349" s="18"/>
      <c r="Y349" s="170"/>
    </row>
    <row r="350" spans="1:25" s="8" customFormat="1" x14ac:dyDescent="0.35">
      <c r="A350" s="9"/>
      <c r="B350" s="4"/>
      <c r="C350" s="18"/>
      <c r="Y350" s="170"/>
    </row>
    <row r="351" spans="1:25" s="8" customFormat="1" x14ac:dyDescent="0.35">
      <c r="A351" s="9"/>
      <c r="B351" s="4"/>
      <c r="C351" s="18"/>
      <c r="Y351" s="170"/>
    </row>
    <row r="352" spans="1:25" s="8" customFormat="1" x14ac:dyDescent="0.35">
      <c r="A352" s="9"/>
      <c r="B352" s="4"/>
      <c r="C352" s="18"/>
      <c r="Y352" s="170"/>
    </row>
    <row r="353" spans="1:25" s="8" customFormat="1" x14ac:dyDescent="0.35">
      <c r="A353" s="9"/>
      <c r="B353" s="4"/>
      <c r="C353" s="18"/>
      <c r="Y353" s="170"/>
    </row>
    <row r="354" spans="1:25" s="8" customFormat="1" x14ac:dyDescent="0.35">
      <c r="A354" s="9"/>
      <c r="B354" s="4"/>
      <c r="C354" s="18"/>
      <c r="Y354" s="170"/>
    </row>
    <row r="355" spans="1:25" s="8" customFormat="1" x14ac:dyDescent="0.35">
      <c r="A355" s="9"/>
      <c r="B355" s="4"/>
      <c r="C355" s="18"/>
      <c r="Y355" s="170"/>
    </row>
    <row r="356" spans="1:25" s="8" customFormat="1" x14ac:dyDescent="0.35">
      <c r="A356" s="9"/>
      <c r="B356" s="4"/>
      <c r="C356" s="18"/>
      <c r="Y356" s="170"/>
    </row>
    <row r="357" spans="1:25" s="8" customFormat="1" x14ac:dyDescent="0.35">
      <c r="A357" s="9"/>
      <c r="B357" s="4"/>
      <c r="C357" s="18"/>
      <c r="Y357" s="170"/>
    </row>
    <row r="358" spans="1:25" s="8" customFormat="1" x14ac:dyDescent="0.35">
      <c r="A358" s="9"/>
      <c r="B358" s="4"/>
      <c r="C358" s="18"/>
      <c r="Y358" s="170"/>
    </row>
    <row r="359" spans="1:25" s="8" customFormat="1" x14ac:dyDescent="0.35">
      <c r="A359" s="9"/>
      <c r="B359" s="4"/>
      <c r="C359" s="18"/>
      <c r="Y359" s="170"/>
    </row>
    <row r="360" spans="1:25" s="8" customFormat="1" x14ac:dyDescent="0.35">
      <c r="A360" s="9"/>
      <c r="B360" s="4"/>
      <c r="C360" s="18"/>
      <c r="Y360" s="170"/>
    </row>
    <row r="361" spans="1:25" s="8" customFormat="1" x14ac:dyDescent="0.35">
      <c r="A361" s="9"/>
      <c r="B361" s="4"/>
      <c r="C361" s="18"/>
      <c r="Y361" s="170"/>
    </row>
    <row r="362" spans="1:25" s="8" customFormat="1" x14ac:dyDescent="0.35">
      <c r="A362" s="9"/>
      <c r="B362" s="4"/>
      <c r="C362" s="18"/>
      <c r="Y362" s="170"/>
    </row>
    <row r="363" spans="1:25" s="8" customFormat="1" x14ac:dyDescent="0.35">
      <c r="A363" s="9"/>
      <c r="B363" s="4"/>
      <c r="C363" s="18"/>
      <c r="Y363" s="170"/>
    </row>
    <row r="364" spans="1:25" s="8" customFormat="1" x14ac:dyDescent="0.35">
      <c r="A364" s="9"/>
      <c r="B364" s="4"/>
      <c r="C364" s="18"/>
      <c r="Y364" s="170"/>
    </row>
    <row r="365" spans="1:25" s="8" customFormat="1" x14ac:dyDescent="0.35">
      <c r="A365" s="9"/>
      <c r="B365" s="4"/>
      <c r="C365" s="18"/>
      <c r="Y365" s="170"/>
    </row>
    <row r="366" spans="1:25" s="8" customFormat="1" x14ac:dyDescent="0.35">
      <c r="A366" s="9"/>
      <c r="B366" s="4"/>
      <c r="C366" s="18"/>
      <c r="Y366" s="170"/>
    </row>
    <row r="367" spans="1:25" s="8" customFormat="1" x14ac:dyDescent="0.35">
      <c r="A367" s="9"/>
      <c r="B367" s="4"/>
      <c r="C367" s="18"/>
      <c r="Y367" s="170"/>
    </row>
    <row r="368" spans="1:25" s="8" customFormat="1" x14ac:dyDescent="0.35">
      <c r="A368" s="9"/>
      <c r="B368" s="4"/>
      <c r="C368" s="18"/>
      <c r="Y368" s="170"/>
    </row>
    <row r="369" spans="1:25" s="8" customFormat="1" x14ac:dyDescent="0.35">
      <c r="A369" s="9"/>
      <c r="B369" s="4"/>
      <c r="C369" s="18"/>
      <c r="Y369" s="170"/>
    </row>
    <row r="370" spans="1:25" s="8" customFormat="1" x14ac:dyDescent="0.35">
      <c r="A370" s="9"/>
      <c r="B370" s="4"/>
      <c r="C370" s="18"/>
      <c r="Y370" s="170"/>
    </row>
    <row r="371" spans="1:25" s="8" customFormat="1" x14ac:dyDescent="0.35">
      <c r="A371" s="9"/>
      <c r="B371" s="4"/>
      <c r="C371" s="18"/>
      <c r="Y371" s="170"/>
    </row>
    <row r="372" spans="1:25" s="8" customFormat="1" x14ac:dyDescent="0.35">
      <c r="A372" s="9"/>
      <c r="B372" s="4"/>
      <c r="C372" s="18"/>
      <c r="Y372" s="170"/>
    </row>
    <row r="373" spans="1:25" s="8" customFormat="1" x14ac:dyDescent="0.35">
      <c r="A373" s="9"/>
      <c r="B373" s="4"/>
      <c r="C373" s="18"/>
      <c r="Y373" s="170"/>
    </row>
    <row r="374" spans="1:25" s="8" customFormat="1" x14ac:dyDescent="0.35">
      <c r="A374" s="9"/>
      <c r="B374" s="4"/>
      <c r="C374" s="18"/>
      <c r="Y374" s="170"/>
    </row>
    <row r="375" spans="1:25" s="8" customFormat="1" x14ac:dyDescent="0.35">
      <c r="A375" s="9"/>
      <c r="B375" s="4"/>
      <c r="C375" s="18"/>
      <c r="Y375" s="170"/>
    </row>
    <row r="376" spans="1:25" s="8" customFormat="1" x14ac:dyDescent="0.35">
      <c r="A376" s="9"/>
      <c r="B376" s="4"/>
      <c r="C376" s="18"/>
      <c r="Y376" s="170"/>
    </row>
    <row r="377" spans="1:25" s="8" customFormat="1" x14ac:dyDescent="0.35">
      <c r="A377" s="9"/>
      <c r="B377" s="4"/>
      <c r="C377" s="18"/>
      <c r="Y377" s="170"/>
    </row>
    <row r="378" spans="1:25" s="8" customFormat="1" x14ac:dyDescent="0.35">
      <c r="A378" s="9"/>
      <c r="B378" s="4"/>
      <c r="C378" s="18"/>
      <c r="Y378" s="170"/>
    </row>
    <row r="379" spans="1:25" s="8" customFormat="1" x14ac:dyDescent="0.35">
      <c r="A379" s="9"/>
      <c r="B379" s="4"/>
      <c r="C379" s="18"/>
      <c r="Y379" s="170"/>
    </row>
    <row r="380" spans="1:25" s="8" customFormat="1" x14ac:dyDescent="0.35">
      <c r="A380" s="9"/>
      <c r="B380" s="4"/>
      <c r="C380" s="18"/>
      <c r="Y380" s="170"/>
    </row>
    <row r="381" spans="1:25" s="8" customFormat="1" x14ac:dyDescent="0.35">
      <c r="A381" s="9"/>
      <c r="B381" s="4"/>
      <c r="C381" s="18"/>
      <c r="Y381" s="170"/>
    </row>
    <row r="382" spans="1:25" s="8" customFormat="1" x14ac:dyDescent="0.35">
      <c r="A382" s="9"/>
      <c r="B382" s="4"/>
      <c r="C382" s="18"/>
      <c r="Y382" s="170"/>
    </row>
    <row r="383" spans="1:25" s="8" customFormat="1" x14ac:dyDescent="0.35">
      <c r="A383" s="9"/>
      <c r="B383" s="4"/>
      <c r="C383" s="18"/>
      <c r="Y383" s="170"/>
    </row>
    <row r="384" spans="1:25" s="8" customFormat="1" x14ac:dyDescent="0.35">
      <c r="A384" s="9"/>
      <c r="B384" s="4"/>
      <c r="C384" s="18"/>
      <c r="Y384" s="170"/>
    </row>
    <row r="385" spans="1:25" s="8" customFormat="1" x14ac:dyDescent="0.35">
      <c r="A385" s="9"/>
      <c r="B385" s="4"/>
      <c r="C385" s="18"/>
      <c r="Y385" s="170"/>
    </row>
    <row r="386" spans="1:25" s="8" customFormat="1" x14ac:dyDescent="0.35">
      <c r="A386" s="9"/>
      <c r="B386" s="4"/>
      <c r="C386" s="18"/>
      <c r="Y386" s="170"/>
    </row>
    <row r="387" spans="1:25" s="8" customFormat="1" x14ac:dyDescent="0.35">
      <c r="A387" s="9"/>
      <c r="B387" s="4"/>
      <c r="C387" s="18"/>
      <c r="Y387" s="170"/>
    </row>
    <row r="388" spans="1:25" s="8" customFormat="1" x14ac:dyDescent="0.35">
      <c r="A388" s="9"/>
      <c r="B388" s="4"/>
      <c r="C388" s="18"/>
      <c r="Y388" s="170"/>
    </row>
    <row r="389" spans="1:25" s="8" customFormat="1" x14ac:dyDescent="0.35">
      <c r="A389" s="9"/>
      <c r="B389" s="4"/>
      <c r="C389" s="18"/>
      <c r="Y389" s="170"/>
    </row>
    <row r="390" spans="1:25" s="8" customFormat="1" x14ac:dyDescent="0.35">
      <c r="A390" s="9"/>
      <c r="B390" s="4"/>
      <c r="C390" s="18"/>
      <c r="Y390" s="170"/>
    </row>
    <row r="391" spans="1:25" s="8" customFormat="1" x14ac:dyDescent="0.35">
      <c r="A391" s="9"/>
      <c r="B391" s="4"/>
      <c r="C391" s="18"/>
      <c r="Y391" s="170"/>
    </row>
    <row r="392" spans="1:25" s="8" customFormat="1" x14ac:dyDescent="0.35">
      <c r="A392" s="9"/>
      <c r="B392" s="4"/>
      <c r="C392" s="18"/>
      <c r="Y392" s="170"/>
    </row>
    <row r="393" spans="1:25" s="8" customFormat="1" x14ac:dyDescent="0.35">
      <c r="A393" s="9"/>
      <c r="B393" s="4"/>
      <c r="C393" s="18"/>
      <c r="Y393" s="170"/>
    </row>
    <row r="394" spans="1:25" s="8" customFormat="1" x14ac:dyDescent="0.35">
      <c r="A394" s="9"/>
      <c r="B394" s="4"/>
      <c r="C394" s="18"/>
      <c r="Y394" s="170"/>
    </row>
    <row r="395" spans="1:25" s="8" customFormat="1" x14ac:dyDescent="0.35">
      <c r="A395" s="9"/>
      <c r="B395" s="4"/>
      <c r="C395" s="18"/>
      <c r="Y395" s="170"/>
    </row>
    <row r="396" spans="1:25" s="8" customFormat="1" x14ac:dyDescent="0.35">
      <c r="A396" s="9"/>
      <c r="B396" s="4"/>
      <c r="C396" s="18"/>
      <c r="Y396" s="170"/>
    </row>
    <row r="397" spans="1:25" s="8" customFormat="1" x14ac:dyDescent="0.35">
      <c r="A397" s="9"/>
      <c r="B397" s="4"/>
      <c r="C397" s="18"/>
      <c r="Y397" s="170"/>
    </row>
    <row r="398" spans="1:25" s="8" customFormat="1" x14ac:dyDescent="0.35">
      <c r="A398" s="9"/>
      <c r="B398" s="4"/>
      <c r="C398" s="18"/>
      <c r="Y398" s="170"/>
    </row>
    <row r="399" spans="1:25" s="8" customFormat="1" x14ac:dyDescent="0.35">
      <c r="A399" s="9"/>
      <c r="B399" s="4"/>
      <c r="C399" s="18"/>
      <c r="Y399" s="170"/>
    </row>
    <row r="400" spans="1:25" s="8" customFormat="1" x14ac:dyDescent="0.35">
      <c r="A400" s="9"/>
      <c r="B400" s="4"/>
      <c r="C400" s="18"/>
      <c r="Y400" s="170"/>
    </row>
    <row r="401" spans="1:25" s="8" customFormat="1" x14ac:dyDescent="0.35">
      <c r="A401" s="9"/>
      <c r="B401" s="4"/>
      <c r="C401" s="18"/>
      <c r="Y401" s="170"/>
    </row>
    <row r="402" spans="1:25" s="8" customFormat="1" x14ac:dyDescent="0.35">
      <c r="A402" s="9"/>
      <c r="B402" s="4"/>
      <c r="C402" s="18"/>
      <c r="Y402" s="170"/>
    </row>
    <row r="403" spans="1:25" s="8" customFormat="1" x14ac:dyDescent="0.35">
      <c r="A403" s="9"/>
      <c r="B403" s="4"/>
      <c r="C403" s="18"/>
      <c r="Y403" s="170"/>
    </row>
    <row r="404" spans="1:25" s="8" customFormat="1" x14ac:dyDescent="0.35">
      <c r="A404" s="9"/>
      <c r="B404" s="4"/>
      <c r="C404" s="18"/>
      <c r="Y404" s="170"/>
    </row>
    <row r="405" spans="1:25" s="8" customFormat="1" x14ac:dyDescent="0.35">
      <c r="A405" s="9"/>
      <c r="B405" s="4"/>
      <c r="C405" s="18"/>
      <c r="Y405" s="170"/>
    </row>
    <row r="406" spans="1:25" s="8" customFormat="1" x14ac:dyDescent="0.35">
      <c r="A406" s="9"/>
      <c r="B406" s="4"/>
      <c r="C406" s="18"/>
      <c r="Y406" s="170"/>
    </row>
    <row r="407" spans="1:25" s="8" customFormat="1" x14ac:dyDescent="0.35">
      <c r="A407" s="9"/>
      <c r="B407" s="4"/>
      <c r="C407" s="18"/>
      <c r="Y407" s="170"/>
    </row>
    <row r="408" spans="1:25" s="8" customFormat="1" x14ac:dyDescent="0.35">
      <c r="A408" s="9"/>
      <c r="B408" s="4"/>
      <c r="C408" s="18"/>
      <c r="Y408" s="170"/>
    </row>
    <row r="409" spans="1:25" s="8" customFormat="1" x14ac:dyDescent="0.35">
      <c r="A409" s="9"/>
      <c r="B409" s="4"/>
      <c r="C409" s="18"/>
      <c r="Y409" s="170"/>
    </row>
    <row r="410" spans="1:25" s="8" customFormat="1" x14ac:dyDescent="0.35">
      <c r="A410" s="9"/>
      <c r="B410" s="4"/>
      <c r="C410" s="18"/>
      <c r="Y410" s="170"/>
    </row>
    <row r="411" spans="1:25" s="8" customFormat="1" x14ac:dyDescent="0.35">
      <c r="A411" s="9"/>
      <c r="B411" s="4"/>
      <c r="C411" s="18"/>
      <c r="Y411" s="170"/>
    </row>
    <row r="412" spans="1:25" s="8" customFormat="1" x14ac:dyDescent="0.35">
      <c r="A412" s="9"/>
      <c r="B412" s="4"/>
      <c r="C412" s="18"/>
      <c r="Y412" s="170"/>
    </row>
    <row r="413" spans="1:25" s="8" customFormat="1" x14ac:dyDescent="0.35">
      <c r="A413" s="9"/>
      <c r="B413" s="4"/>
      <c r="C413" s="18"/>
      <c r="Y413" s="170"/>
    </row>
    <row r="414" spans="1:25" s="8" customFormat="1" x14ac:dyDescent="0.35">
      <c r="A414" s="9"/>
      <c r="B414" s="4"/>
      <c r="C414" s="18"/>
      <c r="Y414" s="170"/>
    </row>
    <row r="415" spans="1:25" s="8" customFormat="1" x14ac:dyDescent="0.35">
      <c r="A415" s="9"/>
      <c r="B415" s="4"/>
      <c r="C415" s="18"/>
      <c r="Y415" s="170"/>
    </row>
    <row r="416" spans="1:25" s="8" customFormat="1" x14ac:dyDescent="0.35">
      <c r="A416" s="9"/>
      <c r="B416" s="4"/>
      <c r="C416" s="18"/>
      <c r="Y416" s="170"/>
    </row>
    <row r="417" spans="1:25" s="8" customFormat="1" x14ac:dyDescent="0.35">
      <c r="A417" s="9"/>
      <c r="B417" s="4"/>
      <c r="C417" s="18"/>
      <c r="Y417" s="170"/>
    </row>
    <row r="418" spans="1:25" s="8" customFormat="1" x14ac:dyDescent="0.35">
      <c r="A418" s="9"/>
      <c r="B418" s="4"/>
      <c r="C418" s="18"/>
      <c r="Y418" s="170"/>
    </row>
    <row r="419" spans="1:25" s="8" customFormat="1" x14ac:dyDescent="0.35">
      <c r="A419" s="9"/>
      <c r="B419" s="4"/>
      <c r="C419" s="18"/>
      <c r="Y419" s="170"/>
    </row>
    <row r="420" spans="1:25" s="8" customFormat="1" x14ac:dyDescent="0.35">
      <c r="A420" s="9"/>
      <c r="B420" s="4"/>
      <c r="C420" s="18"/>
      <c r="Y420" s="170"/>
    </row>
    <row r="421" spans="1:25" s="8" customFormat="1" x14ac:dyDescent="0.35">
      <c r="A421" s="9"/>
      <c r="B421" s="4"/>
      <c r="C421" s="18"/>
      <c r="Y421" s="170"/>
    </row>
    <row r="422" spans="1:25" s="8" customFormat="1" x14ac:dyDescent="0.35">
      <c r="A422" s="9"/>
      <c r="B422" s="4"/>
      <c r="C422" s="18"/>
      <c r="Y422" s="170"/>
    </row>
    <row r="423" spans="1:25" s="8" customFormat="1" x14ac:dyDescent="0.35">
      <c r="A423" s="9"/>
      <c r="B423" s="4"/>
      <c r="C423" s="18"/>
      <c r="Y423" s="170"/>
    </row>
    <row r="424" spans="1:25" s="8" customFormat="1" x14ac:dyDescent="0.35">
      <c r="A424" s="9"/>
      <c r="B424" s="4"/>
      <c r="C424" s="18"/>
      <c r="Y424" s="170"/>
    </row>
    <row r="425" spans="1:25" s="8" customFormat="1" x14ac:dyDescent="0.35">
      <c r="A425" s="9"/>
      <c r="B425" s="4"/>
      <c r="C425" s="18"/>
      <c r="Y425" s="170"/>
    </row>
    <row r="426" spans="1:25" s="8" customFormat="1" x14ac:dyDescent="0.35">
      <c r="A426" s="9"/>
      <c r="B426" s="4"/>
      <c r="C426" s="18"/>
      <c r="Y426" s="170"/>
    </row>
    <row r="427" spans="1:25" s="8" customFormat="1" x14ac:dyDescent="0.35">
      <c r="A427" s="9"/>
      <c r="B427" s="4"/>
      <c r="C427" s="18"/>
      <c r="Y427" s="170"/>
    </row>
    <row r="428" spans="1:25" s="8" customFormat="1" x14ac:dyDescent="0.35">
      <c r="A428" s="9"/>
      <c r="B428" s="4"/>
      <c r="C428" s="18"/>
      <c r="Y428" s="170"/>
    </row>
    <row r="429" spans="1:25" s="8" customFormat="1" x14ac:dyDescent="0.35">
      <c r="A429" s="9"/>
      <c r="B429" s="4"/>
      <c r="C429" s="18"/>
      <c r="Y429" s="170"/>
    </row>
    <row r="430" spans="1:25" s="8" customFormat="1" x14ac:dyDescent="0.35">
      <c r="A430" s="9"/>
      <c r="B430" s="4"/>
      <c r="C430" s="18"/>
      <c r="Y430" s="170"/>
    </row>
    <row r="431" spans="1:25" s="8" customFormat="1" x14ac:dyDescent="0.35">
      <c r="A431" s="9"/>
      <c r="B431" s="4"/>
      <c r="C431" s="18"/>
      <c r="Y431" s="170"/>
    </row>
    <row r="432" spans="1:25" s="8" customFormat="1" x14ac:dyDescent="0.35">
      <c r="A432" s="9"/>
      <c r="B432" s="4"/>
      <c r="C432" s="18"/>
      <c r="Y432" s="170"/>
    </row>
    <row r="433" spans="1:25" s="8" customFormat="1" x14ac:dyDescent="0.35">
      <c r="A433" s="9"/>
      <c r="B433" s="4"/>
      <c r="C433" s="18"/>
      <c r="Y433" s="170"/>
    </row>
    <row r="434" spans="1:25" s="8" customFormat="1" x14ac:dyDescent="0.35">
      <c r="A434" s="9"/>
      <c r="B434" s="4"/>
      <c r="C434" s="18"/>
      <c r="Y434" s="170"/>
    </row>
    <row r="435" spans="1:25" s="8" customFormat="1" x14ac:dyDescent="0.35">
      <c r="A435" s="9"/>
      <c r="B435" s="4"/>
      <c r="C435" s="18"/>
      <c r="Y435" s="170"/>
    </row>
    <row r="436" spans="1:25" s="8" customFormat="1" x14ac:dyDescent="0.35">
      <c r="A436" s="9"/>
      <c r="B436" s="4"/>
      <c r="C436" s="18"/>
      <c r="Y436" s="170"/>
    </row>
    <row r="437" spans="1:25" s="8" customFormat="1" x14ac:dyDescent="0.35">
      <c r="A437" s="9"/>
      <c r="B437" s="4"/>
      <c r="C437" s="18"/>
      <c r="Y437" s="170"/>
    </row>
    <row r="438" spans="1:25" s="8" customFormat="1" x14ac:dyDescent="0.35">
      <c r="A438" s="9"/>
      <c r="B438" s="4"/>
      <c r="C438" s="18"/>
      <c r="Y438" s="170"/>
    </row>
    <row r="439" spans="1:25" s="8" customFormat="1" x14ac:dyDescent="0.35">
      <c r="A439" s="9"/>
      <c r="B439" s="4"/>
      <c r="C439" s="18"/>
      <c r="Y439" s="170"/>
    </row>
    <row r="440" spans="1:25" s="8" customFormat="1" x14ac:dyDescent="0.35">
      <c r="A440" s="9"/>
      <c r="B440" s="4"/>
      <c r="C440" s="18"/>
      <c r="Y440" s="170"/>
    </row>
    <row r="441" spans="1:25" s="8" customFormat="1" x14ac:dyDescent="0.35">
      <c r="A441" s="9"/>
      <c r="B441" s="4"/>
      <c r="C441" s="18"/>
      <c r="Y441" s="170"/>
    </row>
    <row r="442" spans="1:25" s="8" customFormat="1" x14ac:dyDescent="0.35">
      <c r="A442" s="9"/>
      <c r="B442" s="4"/>
      <c r="C442" s="18"/>
      <c r="Y442" s="170"/>
    </row>
    <row r="443" spans="1:25" s="8" customFormat="1" x14ac:dyDescent="0.35">
      <c r="A443" s="9"/>
      <c r="B443" s="4"/>
      <c r="C443" s="18"/>
      <c r="Y443" s="170"/>
    </row>
    <row r="444" spans="1:25" s="8" customFormat="1" x14ac:dyDescent="0.35">
      <c r="A444" s="9"/>
      <c r="B444" s="4"/>
      <c r="C444" s="18"/>
      <c r="Y444" s="170"/>
    </row>
    <row r="445" spans="1:25" s="8" customFormat="1" x14ac:dyDescent="0.35">
      <c r="A445" s="9"/>
      <c r="B445" s="4"/>
      <c r="C445" s="18"/>
      <c r="Y445" s="170"/>
    </row>
    <row r="446" spans="1:25" s="8" customFormat="1" x14ac:dyDescent="0.35">
      <c r="A446" s="9"/>
      <c r="B446" s="4"/>
      <c r="C446" s="18"/>
      <c r="Y446" s="170"/>
    </row>
    <row r="447" spans="1:25" s="8" customFormat="1" x14ac:dyDescent="0.35">
      <c r="A447" s="9"/>
      <c r="B447" s="4"/>
      <c r="C447" s="18"/>
      <c r="Y447" s="170"/>
    </row>
    <row r="448" spans="1:25" s="8" customFormat="1" x14ac:dyDescent="0.35">
      <c r="A448" s="9"/>
      <c r="B448" s="4"/>
      <c r="C448" s="18"/>
      <c r="Y448" s="170"/>
    </row>
    <row r="449" spans="1:25" s="8" customFormat="1" x14ac:dyDescent="0.35">
      <c r="A449" s="9"/>
      <c r="B449" s="4"/>
      <c r="C449" s="18"/>
      <c r="Y449" s="170"/>
    </row>
    <row r="450" spans="1:25" s="8" customFormat="1" x14ac:dyDescent="0.35">
      <c r="A450" s="9"/>
      <c r="B450" s="4"/>
      <c r="C450" s="18"/>
      <c r="Y450" s="170"/>
    </row>
    <row r="451" spans="1:25" s="8" customFormat="1" x14ac:dyDescent="0.35">
      <c r="A451" s="9"/>
      <c r="B451" s="4"/>
      <c r="C451" s="18"/>
      <c r="Y451" s="170"/>
    </row>
    <row r="452" spans="1:25" s="8" customFormat="1" x14ac:dyDescent="0.35">
      <c r="A452" s="9"/>
      <c r="B452" s="4"/>
      <c r="C452" s="18"/>
      <c r="Y452" s="170"/>
    </row>
    <row r="453" spans="1:25" s="8" customFormat="1" x14ac:dyDescent="0.35">
      <c r="A453" s="9"/>
      <c r="B453" s="4"/>
      <c r="C453" s="18"/>
      <c r="Y453" s="170"/>
    </row>
    <row r="454" spans="1:25" s="8" customFormat="1" x14ac:dyDescent="0.35">
      <c r="A454" s="9"/>
      <c r="B454" s="4"/>
      <c r="C454" s="18"/>
      <c r="Y454" s="170"/>
    </row>
    <row r="455" spans="1:25" s="8" customFormat="1" x14ac:dyDescent="0.35">
      <c r="A455" s="9"/>
      <c r="B455" s="4"/>
      <c r="C455" s="18"/>
      <c r="Y455" s="170"/>
    </row>
    <row r="456" spans="1:25" s="8" customFormat="1" x14ac:dyDescent="0.35">
      <c r="A456" s="9"/>
      <c r="B456" s="4"/>
      <c r="C456" s="18"/>
      <c r="Y456" s="170"/>
    </row>
    <row r="457" spans="1:25" s="8" customFormat="1" x14ac:dyDescent="0.35">
      <c r="A457" s="9"/>
      <c r="B457" s="4"/>
      <c r="C457" s="18"/>
      <c r="Y457" s="170"/>
    </row>
    <row r="458" spans="1:25" s="8" customFormat="1" x14ac:dyDescent="0.35">
      <c r="A458" s="9"/>
      <c r="B458" s="4"/>
      <c r="C458" s="18"/>
      <c r="Y458" s="170"/>
    </row>
    <row r="459" spans="1:25" s="8" customFormat="1" x14ac:dyDescent="0.35">
      <c r="A459" s="9"/>
      <c r="B459" s="4"/>
      <c r="C459" s="18"/>
      <c r="Y459" s="170"/>
    </row>
    <row r="460" spans="1:25" s="8" customFormat="1" x14ac:dyDescent="0.35">
      <c r="A460" s="9"/>
      <c r="B460" s="4"/>
      <c r="C460" s="18"/>
      <c r="Y460" s="170"/>
    </row>
    <row r="461" spans="1:25" s="8" customFormat="1" x14ac:dyDescent="0.35">
      <c r="A461" s="9"/>
      <c r="B461" s="4"/>
      <c r="C461" s="18"/>
      <c r="Y461" s="170"/>
    </row>
    <row r="462" spans="1:25" s="8" customFormat="1" x14ac:dyDescent="0.35">
      <c r="A462" s="9"/>
      <c r="B462" s="4"/>
      <c r="C462" s="18"/>
      <c r="Y462" s="170"/>
    </row>
    <row r="463" spans="1:25" s="8" customFormat="1" x14ac:dyDescent="0.35">
      <c r="A463" s="9"/>
      <c r="B463" s="4"/>
      <c r="C463" s="18"/>
      <c r="Y463" s="170"/>
    </row>
    <row r="464" spans="1:25" s="8" customFormat="1" x14ac:dyDescent="0.35">
      <c r="A464" s="9"/>
      <c r="B464" s="4"/>
      <c r="C464" s="18"/>
      <c r="Y464" s="170"/>
    </row>
    <row r="465" spans="1:25" s="8" customFormat="1" x14ac:dyDescent="0.35">
      <c r="A465" s="9"/>
      <c r="B465" s="4"/>
      <c r="C465" s="18"/>
      <c r="Y465" s="170"/>
    </row>
    <row r="466" spans="1:25" s="8" customFormat="1" x14ac:dyDescent="0.35">
      <c r="A466" s="9"/>
      <c r="B466" s="4"/>
      <c r="C466" s="18"/>
      <c r="Y466" s="170"/>
    </row>
    <row r="467" spans="1:25" s="8" customFormat="1" x14ac:dyDescent="0.35">
      <c r="A467" s="9"/>
      <c r="B467" s="4"/>
      <c r="C467" s="18"/>
      <c r="Y467" s="170"/>
    </row>
    <row r="468" spans="1:25" s="8" customFormat="1" x14ac:dyDescent="0.35">
      <c r="A468" s="9"/>
      <c r="B468" s="4"/>
      <c r="C468" s="18"/>
      <c r="Y468" s="170"/>
    </row>
    <row r="469" spans="1:25" s="8" customFormat="1" x14ac:dyDescent="0.35">
      <c r="A469" s="9"/>
      <c r="B469" s="4"/>
      <c r="C469" s="18"/>
      <c r="Y469" s="170"/>
    </row>
    <row r="470" spans="1:25" s="8" customFormat="1" x14ac:dyDescent="0.35">
      <c r="A470" s="9"/>
      <c r="B470" s="4"/>
      <c r="C470" s="18"/>
      <c r="Y470" s="170"/>
    </row>
    <row r="471" spans="1:25" s="8" customFormat="1" x14ac:dyDescent="0.35">
      <c r="A471" s="9"/>
      <c r="B471" s="4"/>
      <c r="C471" s="18"/>
      <c r="Y471" s="170"/>
    </row>
    <row r="472" spans="1:25" s="8" customFormat="1" x14ac:dyDescent="0.35">
      <c r="A472" s="9"/>
      <c r="B472" s="4"/>
      <c r="C472" s="18"/>
      <c r="Y472" s="170"/>
    </row>
    <row r="473" spans="1:25" s="8" customFormat="1" x14ac:dyDescent="0.35">
      <c r="A473" s="9"/>
      <c r="B473" s="4"/>
      <c r="C473" s="18"/>
      <c r="Y473" s="170"/>
    </row>
    <row r="474" spans="1:25" s="8" customFormat="1" x14ac:dyDescent="0.35">
      <c r="A474" s="9"/>
      <c r="B474" s="4"/>
      <c r="C474" s="18"/>
      <c r="Y474" s="170"/>
    </row>
    <row r="475" spans="1:25" s="8" customFormat="1" x14ac:dyDescent="0.35">
      <c r="A475" s="9"/>
      <c r="B475" s="4"/>
      <c r="C475" s="18"/>
      <c r="Y475" s="170"/>
    </row>
    <row r="476" spans="1:25" s="8" customFormat="1" x14ac:dyDescent="0.35">
      <c r="A476" s="9"/>
      <c r="B476" s="4"/>
      <c r="C476" s="18"/>
      <c r="Y476" s="170"/>
    </row>
    <row r="477" spans="1:25" s="8" customFormat="1" x14ac:dyDescent="0.35">
      <c r="A477" s="9"/>
      <c r="B477" s="4"/>
      <c r="C477" s="18"/>
      <c r="Y477" s="170"/>
    </row>
    <row r="478" spans="1:25" s="8" customFormat="1" x14ac:dyDescent="0.35">
      <c r="A478" s="9"/>
      <c r="B478" s="4"/>
      <c r="C478" s="18"/>
      <c r="Y478" s="170"/>
    </row>
    <row r="479" spans="1:25" s="8" customFormat="1" x14ac:dyDescent="0.35">
      <c r="A479" s="9"/>
      <c r="B479" s="4"/>
      <c r="C479" s="18"/>
      <c r="Y479" s="170"/>
    </row>
    <row r="480" spans="1:25" s="8" customFormat="1" x14ac:dyDescent="0.35">
      <c r="A480" s="9"/>
      <c r="B480" s="4"/>
      <c r="C480" s="18"/>
      <c r="Y480" s="170"/>
    </row>
    <row r="481" spans="1:25" s="8" customFormat="1" x14ac:dyDescent="0.35">
      <c r="A481" s="9"/>
      <c r="B481" s="4"/>
      <c r="C481" s="18"/>
      <c r="Y481" s="170"/>
    </row>
    <row r="482" spans="1:25" s="8" customFormat="1" x14ac:dyDescent="0.35">
      <c r="A482" s="9"/>
      <c r="B482" s="4"/>
      <c r="C482" s="18"/>
      <c r="Y482" s="170"/>
    </row>
    <row r="483" spans="1:25" s="8" customFormat="1" x14ac:dyDescent="0.35">
      <c r="A483" s="9"/>
      <c r="B483" s="4"/>
      <c r="C483" s="18"/>
      <c r="Y483" s="170"/>
    </row>
    <row r="484" spans="1:25" s="8" customFormat="1" x14ac:dyDescent="0.35">
      <c r="A484" s="9"/>
      <c r="B484" s="4"/>
      <c r="C484" s="18"/>
      <c r="Y484" s="170"/>
    </row>
    <row r="485" spans="1:25" s="8" customFormat="1" x14ac:dyDescent="0.35">
      <c r="A485" s="9"/>
      <c r="B485" s="4"/>
      <c r="C485" s="18"/>
      <c r="Y485" s="170"/>
    </row>
    <row r="486" spans="1:25" s="8" customFormat="1" x14ac:dyDescent="0.35">
      <c r="A486" s="9"/>
      <c r="B486" s="4"/>
      <c r="C486" s="18"/>
      <c r="Y486" s="170"/>
    </row>
    <row r="487" spans="1:25" s="8" customFormat="1" x14ac:dyDescent="0.35">
      <c r="A487" s="9"/>
      <c r="B487" s="4"/>
      <c r="C487" s="18"/>
      <c r="Y487" s="170"/>
    </row>
    <row r="488" spans="1:25" s="8" customFormat="1" x14ac:dyDescent="0.35">
      <c r="A488" s="9"/>
      <c r="B488" s="4"/>
      <c r="C488" s="18"/>
      <c r="Y488" s="170"/>
    </row>
    <row r="489" spans="1:25" s="8" customFormat="1" x14ac:dyDescent="0.35">
      <c r="A489" s="9"/>
      <c r="B489" s="4"/>
      <c r="C489" s="18"/>
      <c r="Y489" s="170"/>
    </row>
    <row r="490" spans="1:25" s="8" customFormat="1" x14ac:dyDescent="0.35">
      <c r="A490" s="9"/>
      <c r="B490" s="4"/>
      <c r="C490" s="18"/>
      <c r="Y490" s="170"/>
    </row>
    <row r="491" spans="1:25" s="8" customFormat="1" x14ac:dyDescent="0.35">
      <c r="A491" s="9"/>
      <c r="B491" s="4"/>
      <c r="C491" s="18"/>
      <c r="Y491" s="170"/>
    </row>
    <row r="492" spans="1:25" s="8" customFormat="1" x14ac:dyDescent="0.35">
      <c r="A492" s="9"/>
      <c r="B492" s="4"/>
      <c r="C492" s="18"/>
      <c r="Y492" s="170"/>
    </row>
    <row r="493" spans="1:25" s="8" customFormat="1" x14ac:dyDescent="0.35">
      <c r="A493" s="9"/>
      <c r="B493" s="4"/>
      <c r="C493" s="18"/>
      <c r="Y493" s="170"/>
    </row>
    <row r="494" spans="1:25" s="8" customFormat="1" x14ac:dyDescent="0.35">
      <c r="A494" s="9"/>
      <c r="B494" s="4"/>
      <c r="C494" s="18"/>
      <c r="Y494" s="170"/>
    </row>
    <row r="495" spans="1:25" s="8" customFormat="1" x14ac:dyDescent="0.35">
      <c r="A495" s="9"/>
      <c r="B495" s="4"/>
      <c r="C495" s="18"/>
      <c r="Y495" s="170"/>
    </row>
    <row r="496" spans="1:25" s="8" customFormat="1" x14ac:dyDescent="0.35">
      <c r="A496" s="9"/>
      <c r="B496" s="4"/>
      <c r="C496" s="18"/>
      <c r="Y496" s="170"/>
    </row>
    <row r="497" spans="1:25" s="8" customFormat="1" x14ac:dyDescent="0.35">
      <c r="A497" s="9"/>
      <c r="B497" s="4"/>
      <c r="C497" s="18"/>
      <c r="Y497" s="170"/>
    </row>
    <row r="498" spans="1:25" s="8" customFormat="1" x14ac:dyDescent="0.35">
      <c r="A498" s="9"/>
      <c r="B498" s="4"/>
      <c r="C498" s="18"/>
      <c r="Y498" s="170"/>
    </row>
    <row r="499" spans="1:25" s="8" customFormat="1" x14ac:dyDescent="0.35">
      <c r="A499" s="9"/>
      <c r="B499" s="4"/>
      <c r="C499" s="18"/>
      <c r="Y499" s="170"/>
    </row>
    <row r="500" spans="1:25" s="8" customFormat="1" x14ac:dyDescent="0.35">
      <c r="A500" s="9"/>
      <c r="B500" s="4"/>
      <c r="C500" s="18"/>
      <c r="Y500" s="170"/>
    </row>
    <row r="501" spans="1:25" s="8" customFormat="1" x14ac:dyDescent="0.35">
      <c r="A501" s="9"/>
      <c r="B501" s="4"/>
      <c r="C501" s="18"/>
      <c r="Y501" s="170"/>
    </row>
    <row r="502" spans="1:25" s="8" customFormat="1" x14ac:dyDescent="0.35">
      <c r="A502" s="9"/>
      <c r="B502" s="4"/>
      <c r="C502" s="18"/>
      <c r="Y502" s="170"/>
    </row>
    <row r="503" spans="1:25" s="8" customFormat="1" x14ac:dyDescent="0.35">
      <c r="A503" s="9"/>
      <c r="B503" s="4"/>
      <c r="C503" s="18"/>
      <c r="Y503" s="170"/>
    </row>
    <row r="504" spans="1:25" s="8" customFormat="1" x14ac:dyDescent="0.35">
      <c r="A504" s="9"/>
      <c r="B504" s="4"/>
      <c r="C504" s="18"/>
      <c r="Y504" s="170"/>
    </row>
    <row r="505" spans="1:25" s="8" customFormat="1" x14ac:dyDescent="0.35">
      <c r="A505" s="9"/>
      <c r="B505" s="4"/>
      <c r="C505" s="18"/>
      <c r="Y505" s="170"/>
    </row>
    <row r="506" spans="1:25" s="8" customFormat="1" x14ac:dyDescent="0.35">
      <c r="A506" s="9"/>
      <c r="B506" s="4"/>
      <c r="C506" s="18"/>
      <c r="Y506" s="170"/>
    </row>
    <row r="507" spans="1:25" s="8" customFormat="1" x14ac:dyDescent="0.35">
      <c r="A507" s="9"/>
      <c r="B507" s="4"/>
      <c r="C507" s="18"/>
      <c r="Y507" s="170"/>
    </row>
    <row r="508" spans="1:25" s="8" customFormat="1" x14ac:dyDescent="0.35">
      <c r="A508" s="9"/>
      <c r="B508" s="4"/>
      <c r="C508" s="18"/>
      <c r="Y508" s="170"/>
    </row>
    <row r="509" spans="1:25" s="8" customFormat="1" x14ac:dyDescent="0.35">
      <c r="A509" s="9"/>
      <c r="B509" s="4"/>
      <c r="C509" s="18"/>
      <c r="Y509" s="170"/>
    </row>
    <row r="510" spans="1:25" s="8" customFormat="1" x14ac:dyDescent="0.35">
      <c r="A510" s="9"/>
      <c r="B510" s="4"/>
      <c r="C510" s="18"/>
      <c r="Y510" s="170"/>
    </row>
    <row r="511" spans="1:25" s="8" customFormat="1" x14ac:dyDescent="0.35">
      <c r="A511" s="9"/>
      <c r="B511" s="4"/>
      <c r="C511" s="18"/>
      <c r="Y511" s="170"/>
    </row>
    <row r="512" spans="1:25" s="8" customFormat="1" x14ac:dyDescent="0.35">
      <c r="A512" s="9"/>
      <c r="B512" s="4"/>
      <c r="C512" s="18"/>
      <c r="Y512" s="170"/>
    </row>
    <row r="513" spans="1:25" s="8" customFormat="1" x14ac:dyDescent="0.35">
      <c r="A513" s="9"/>
      <c r="B513" s="4"/>
      <c r="C513" s="18"/>
      <c r="Y513" s="170"/>
    </row>
    <row r="514" spans="1:25" s="8" customFormat="1" x14ac:dyDescent="0.35">
      <c r="A514" s="9"/>
      <c r="B514" s="4"/>
      <c r="C514" s="18"/>
      <c r="Y514" s="170"/>
    </row>
    <row r="515" spans="1:25" s="8" customFormat="1" x14ac:dyDescent="0.35">
      <c r="A515" s="9"/>
      <c r="B515" s="4"/>
      <c r="C515" s="18"/>
      <c r="Y515" s="170"/>
    </row>
    <row r="516" spans="1:25" s="8" customFormat="1" x14ac:dyDescent="0.35">
      <c r="A516" s="9"/>
      <c r="B516" s="4"/>
      <c r="C516" s="18"/>
      <c r="Y516" s="170"/>
    </row>
    <row r="517" spans="1:25" s="8" customFormat="1" x14ac:dyDescent="0.35">
      <c r="A517" s="9"/>
      <c r="B517" s="4"/>
      <c r="C517" s="18"/>
      <c r="Y517" s="170"/>
    </row>
    <row r="518" spans="1:25" s="8" customFormat="1" x14ac:dyDescent="0.35">
      <c r="A518" s="9"/>
      <c r="B518" s="4"/>
      <c r="C518" s="18"/>
      <c r="Y518" s="170"/>
    </row>
    <row r="519" spans="1:25" s="8" customFormat="1" x14ac:dyDescent="0.35">
      <c r="A519" s="9"/>
      <c r="B519" s="4"/>
      <c r="C519" s="18"/>
      <c r="Y519" s="170"/>
    </row>
    <row r="520" spans="1:25" s="8" customFormat="1" x14ac:dyDescent="0.35">
      <c r="A520" s="9"/>
      <c r="B520" s="4"/>
      <c r="C520" s="18"/>
      <c r="Y520" s="170"/>
    </row>
    <row r="521" spans="1:25" s="8" customFormat="1" x14ac:dyDescent="0.35">
      <c r="A521" s="9"/>
      <c r="B521" s="4"/>
      <c r="C521" s="18"/>
      <c r="Y521" s="170"/>
    </row>
    <row r="522" spans="1:25" s="8" customFormat="1" x14ac:dyDescent="0.35">
      <c r="A522" s="9"/>
      <c r="B522" s="4"/>
      <c r="C522" s="18"/>
      <c r="Y522" s="170"/>
    </row>
    <row r="523" spans="1:25" s="8" customFormat="1" x14ac:dyDescent="0.35">
      <c r="A523" s="9"/>
      <c r="B523" s="4"/>
      <c r="C523" s="18"/>
      <c r="Y523" s="170"/>
    </row>
    <row r="524" spans="1:25" s="8" customFormat="1" x14ac:dyDescent="0.35">
      <c r="A524" s="9"/>
      <c r="B524" s="4"/>
      <c r="C524" s="18"/>
      <c r="Y524" s="170"/>
    </row>
    <row r="525" spans="1:25" s="8" customFormat="1" x14ac:dyDescent="0.35">
      <c r="A525" s="9"/>
      <c r="B525" s="4"/>
      <c r="C525" s="18"/>
      <c r="Y525" s="170"/>
    </row>
    <row r="526" spans="1:25" s="8" customFormat="1" x14ac:dyDescent="0.35">
      <c r="A526" s="9"/>
      <c r="B526" s="4"/>
      <c r="C526" s="18"/>
      <c r="Y526" s="170"/>
    </row>
    <row r="527" spans="1:25" s="8" customFormat="1" x14ac:dyDescent="0.35">
      <c r="A527" s="9"/>
      <c r="B527" s="4"/>
      <c r="C527" s="18"/>
      <c r="Y527" s="170"/>
    </row>
    <row r="528" spans="1:25" s="8" customFormat="1" x14ac:dyDescent="0.35">
      <c r="A528" s="9"/>
      <c r="B528" s="4"/>
      <c r="C528" s="18"/>
      <c r="Y528" s="170"/>
    </row>
    <row r="529" spans="1:25" s="8" customFormat="1" x14ac:dyDescent="0.35">
      <c r="A529" s="9"/>
      <c r="B529" s="4"/>
      <c r="C529" s="18"/>
      <c r="Y529" s="170"/>
    </row>
    <row r="530" spans="1:25" s="8" customFormat="1" x14ac:dyDescent="0.35">
      <c r="A530" s="9"/>
      <c r="B530" s="4"/>
      <c r="C530" s="18"/>
      <c r="Y530" s="170"/>
    </row>
    <row r="531" spans="1:25" s="8" customFormat="1" x14ac:dyDescent="0.35">
      <c r="A531" s="9"/>
      <c r="B531" s="4"/>
      <c r="C531" s="18"/>
      <c r="Y531" s="170"/>
    </row>
    <row r="532" spans="1:25" s="8" customFormat="1" x14ac:dyDescent="0.35">
      <c r="A532" s="9"/>
      <c r="B532" s="4"/>
      <c r="C532" s="18"/>
      <c r="Y532" s="170"/>
    </row>
    <row r="533" spans="1:25" s="8" customFormat="1" x14ac:dyDescent="0.35">
      <c r="A533" s="9"/>
      <c r="B533" s="4"/>
      <c r="C533" s="18"/>
      <c r="Y533" s="170"/>
    </row>
    <row r="534" spans="1:25" s="8" customFormat="1" x14ac:dyDescent="0.35">
      <c r="A534" s="9"/>
      <c r="B534" s="4"/>
      <c r="C534" s="18"/>
      <c r="Y534" s="170"/>
    </row>
    <row r="535" spans="1:25" s="8" customFormat="1" x14ac:dyDescent="0.35">
      <c r="A535" s="9"/>
      <c r="B535" s="4"/>
      <c r="C535" s="18"/>
      <c r="Y535" s="170"/>
    </row>
    <row r="536" spans="1:25" s="8" customFormat="1" x14ac:dyDescent="0.35">
      <c r="A536" s="9"/>
      <c r="B536" s="4"/>
      <c r="C536" s="18"/>
      <c r="Y536" s="170"/>
    </row>
    <row r="537" spans="1:25" s="8" customFormat="1" x14ac:dyDescent="0.35">
      <c r="A537" s="9"/>
      <c r="B537" s="4"/>
      <c r="C537" s="18"/>
      <c r="Y537" s="170"/>
    </row>
    <row r="538" spans="1:25" s="8" customFormat="1" x14ac:dyDescent="0.35">
      <c r="A538" s="9"/>
      <c r="B538" s="4"/>
      <c r="C538" s="18"/>
      <c r="Y538" s="170"/>
    </row>
    <row r="539" spans="1:25" s="8" customFormat="1" x14ac:dyDescent="0.35">
      <c r="A539" s="9"/>
      <c r="B539" s="4"/>
      <c r="C539" s="18"/>
      <c r="Y539" s="170"/>
    </row>
    <row r="540" spans="1:25" s="8" customFormat="1" x14ac:dyDescent="0.35">
      <c r="A540" s="9"/>
      <c r="B540" s="4"/>
      <c r="C540" s="18"/>
      <c r="Y540" s="170"/>
    </row>
    <row r="541" spans="1:25" s="8" customFormat="1" x14ac:dyDescent="0.35">
      <c r="A541" s="9"/>
      <c r="B541" s="4"/>
      <c r="C541" s="18"/>
      <c r="Y541" s="170"/>
    </row>
    <row r="542" spans="1:25" s="8" customFormat="1" x14ac:dyDescent="0.35">
      <c r="A542" s="9"/>
      <c r="B542" s="4"/>
      <c r="C542" s="18"/>
      <c r="Y542" s="170"/>
    </row>
    <row r="543" spans="1:25" s="8" customFormat="1" x14ac:dyDescent="0.35">
      <c r="A543" s="9"/>
      <c r="B543" s="4"/>
      <c r="C543" s="18"/>
      <c r="Y543" s="170"/>
    </row>
    <row r="544" spans="1:25" s="8" customFormat="1" x14ac:dyDescent="0.35">
      <c r="A544" s="9"/>
      <c r="B544" s="4"/>
      <c r="C544" s="18"/>
      <c r="Y544" s="170"/>
    </row>
    <row r="545" spans="1:25" s="8" customFormat="1" x14ac:dyDescent="0.35">
      <c r="A545" s="9"/>
      <c r="B545" s="4"/>
      <c r="C545" s="18"/>
      <c r="Y545" s="170"/>
    </row>
    <row r="546" spans="1:25" s="8" customFormat="1" x14ac:dyDescent="0.35">
      <c r="A546" s="9"/>
      <c r="B546" s="4"/>
      <c r="C546" s="18"/>
      <c r="Y546" s="170"/>
    </row>
    <row r="547" spans="1:25" s="8" customFormat="1" x14ac:dyDescent="0.35">
      <c r="A547" s="9"/>
      <c r="B547" s="4"/>
      <c r="C547" s="18"/>
      <c r="Y547" s="170"/>
    </row>
    <row r="548" spans="1:25" s="8" customFormat="1" x14ac:dyDescent="0.35">
      <c r="A548" s="9"/>
      <c r="B548" s="4"/>
      <c r="C548" s="18"/>
      <c r="Y548" s="170"/>
    </row>
    <row r="549" spans="1:25" s="8" customFormat="1" x14ac:dyDescent="0.35">
      <c r="A549" s="9"/>
      <c r="B549" s="4"/>
      <c r="C549" s="18"/>
      <c r="Y549" s="170"/>
    </row>
    <row r="550" spans="1:25" s="8" customFormat="1" x14ac:dyDescent="0.35">
      <c r="A550" s="9"/>
      <c r="B550" s="4"/>
      <c r="C550" s="18"/>
      <c r="Y550" s="170"/>
    </row>
    <row r="551" spans="1:25" s="8" customFormat="1" x14ac:dyDescent="0.35">
      <c r="A551" s="9"/>
      <c r="B551" s="4"/>
      <c r="C551" s="18"/>
      <c r="Y551" s="170"/>
    </row>
    <row r="552" spans="1:25" s="8" customFormat="1" x14ac:dyDescent="0.35">
      <c r="A552" s="9"/>
      <c r="B552" s="4"/>
      <c r="C552" s="18"/>
      <c r="Y552" s="170"/>
    </row>
    <row r="553" spans="1:25" s="8" customFormat="1" x14ac:dyDescent="0.35">
      <c r="A553" s="9"/>
      <c r="B553" s="4"/>
      <c r="C553" s="18"/>
      <c r="Y553" s="170"/>
    </row>
    <row r="554" spans="1:25" s="8" customFormat="1" x14ac:dyDescent="0.35">
      <c r="A554" s="9"/>
      <c r="B554" s="4"/>
      <c r="C554" s="18"/>
      <c r="Y554" s="170"/>
    </row>
    <row r="555" spans="1:25" s="8" customFormat="1" x14ac:dyDescent="0.35">
      <c r="A555" s="9"/>
      <c r="B555" s="4"/>
      <c r="C555" s="18"/>
      <c r="Y555" s="170"/>
    </row>
    <row r="556" spans="1:25" s="8" customFormat="1" x14ac:dyDescent="0.35">
      <c r="A556" s="9"/>
      <c r="B556" s="4"/>
      <c r="C556" s="18"/>
      <c r="Y556" s="170"/>
    </row>
    <row r="557" spans="1:25" s="8" customFormat="1" x14ac:dyDescent="0.35">
      <c r="A557" s="9"/>
      <c r="B557" s="4"/>
      <c r="C557" s="18"/>
      <c r="Y557" s="170"/>
    </row>
    <row r="558" spans="1:25" s="8" customFormat="1" x14ac:dyDescent="0.35">
      <c r="A558" s="9"/>
      <c r="B558" s="4"/>
      <c r="C558" s="18"/>
      <c r="Y558" s="170"/>
    </row>
    <row r="559" spans="1:25" s="8" customFormat="1" x14ac:dyDescent="0.35">
      <c r="A559" s="9"/>
      <c r="B559" s="4"/>
      <c r="C559" s="18"/>
      <c r="Y559" s="170"/>
    </row>
    <row r="560" spans="1:25" s="8" customFormat="1" x14ac:dyDescent="0.35">
      <c r="A560" s="9"/>
      <c r="B560" s="4"/>
      <c r="C560" s="18"/>
      <c r="Y560" s="170"/>
    </row>
    <row r="561" spans="1:25" s="8" customFormat="1" x14ac:dyDescent="0.35">
      <c r="A561" s="9"/>
      <c r="B561" s="4"/>
      <c r="C561" s="18"/>
      <c r="Y561" s="170"/>
    </row>
    <row r="562" spans="1:25" s="8" customFormat="1" x14ac:dyDescent="0.35">
      <c r="A562" s="9"/>
      <c r="B562" s="4"/>
      <c r="C562" s="18"/>
      <c r="Y562" s="170"/>
    </row>
    <row r="563" spans="1:25" s="8" customFormat="1" x14ac:dyDescent="0.35">
      <c r="A563" s="9"/>
      <c r="B563" s="4"/>
      <c r="C563" s="18"/>
      <c r="Y563" s="170"/>
    </row>
    <row r="564" spans="1:25" s="8" customFormat="1" x14ac:dyDescent="0.35">
      <c r="A564" s="9"/>
      <c r="B564" s="4"/>
      <c r="C564" s="18"/>
      <c r="Y564" s="170"/>
    </row>
    <row r="565" spans="1:25" s="8" customFormat="1" x14ac:dyDescent="0.35">
      <c r="A565" s="9"/>
      <c r="B565" s="4"/>
      <c r="C565" s="18"/>
      <c r="Y565" s="170"/>
    </row>
    <row r="566" spans="1:25" s="8" customFormat="1" x14ac:dyDescent="0.35">
      <c r="A566" s="9"/>
      <c r="B566" s="4"/>
      <c r="C566" s="18"/>
      <c r="Y566" s="170"/>
    </row>
    <row r="567" spans="1:25" s="8" customFormat="1" x14ac:dyDescent="0.35">
      <c r="A567" s="9"/>
      <c r="B567" s="4"/>
      <c r="C567" s="18"/>
      <c r="Y567" s="170"/>
    </row>
  </sheetData>
  <mergeCells count="40">
    <mergeCell ref="Y223:Y243"/>
    <mergeCell ref="R1:T1"/>
    <mergeCell ref="W8:W11"/>
    <mergeCell ref="T10:U10"/>
    <mergeCell ref="V10:V11"/>
    <mergeCell ref="Y1:Y52"/>
    <mergeCell ref="Y53:Y95"/>
    <mergeCell ref="Y96:Y117"/>
    <mergeCell ref="Y118:Y137"/>
    <mergeCell ref="Y138:Y182"/>
    <mergeCell ref="Y183:Y222"/>
    <mergeCell ref="Q9:V9"/>
    <mergeCell ref="L3:P3"/>
    <mergeCell ref="A6:X6"/>
    <mergeCell ref="N10:O10"/>
    <mergeCell ref="X8:X11"/>
    <mergeCell ref="L10:L11"/>
    <mergeCell ref="G10:G11"/>
    <mergeCell ref="J8:J11"/>
    <mergeCell ref="G9:I9"/>
    <mergeCell ref="Q10:Q11"/>
    <mergeCell ref="R10:R11"/>
    <mergeCell ref="S10:S11"/>
    <mergeCell ref="H10:I10"/>
    <mergeCell ref="M10:M11"/>
    <mergeCell ref="K10:K11"/>
    <mergeCell ref="P10:P11"/>
    <mergeCell ref="A239:E239"/>
    <mergeCell ref="E10:F10"/>
    <mergeCell ref="K9:P9"/>
    <mergeCell ref="A248:C248"/>
    <mergeCell ref="A246:C246"/>
    <mergeCell ref="B8:B11"/>
    <mergeCell ref="C8:C11"/>
    <mergeCell ref="A8:A11"/>
    <mergeCell ref="A240:D240"/>
    <mergeCell ref="D10:D11"/>
    <mergeCell ref="D9:F9"/>
    <mergeCell ref="D8:I8"/>
    <mergeCell ref="K8:V8"/>
  </mergeCells>
  <phoneticPr fontId="2" type="noConversion"/>
  <printOptions horizontalCentered="1"/>
  <pageMargins left="7.874015748031496E-2" right="7.874015748031496E-2" top="0.98425196850393704" bottom="0.39370078740157483" header="0.62992125984251968" footer="0.19685039370078741"/>
  <pageSetup paperSize="9" scale="33" fitToHeight="7" orientation="landscape" verticalDpi="300" r:id="rId1"/>
  <headerFooter differentFirst="1" scaleWithDoc="0" alignWithMargins="0">
    <oddHeader>&amp;RПродовження додатку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2020-02-12T08:31:51Z</cp:lastPrinted>
  <dcterms:created xsi:type="dcterms:W3CDTF">2014-01-17T10:52:16Z</dcterms:created>
  <dcterms:modified xsi:type="dcterms:W3CDTF">2020-02-20T11:27:51Z</dcterms:modified>
</cp:coreProperties>
</file>