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1'!$A$1:$P$71</definedName>
    <definedName name="_xlnm.Print_Area" localSheetId="1">'додаток 2'!$A$1:$Q$85</definedName>
    <definedName name="_xlnm.Print_Area" localSheetId="2">'додаток 3'!$A$1:$P$46</definedName>
    <definedName name="_xlnm.Print_Area" localSheetId="3">'додаток 4'!$A$1:$O$36</definedName>
  </definedNames>
  <calcPr fullCalcOnLoad="1"/>
</workbook>
</file>

<file path=xl/sharedStrings.xml><?xml version="1.0" encoding="utf-8"?>
<sst xmlns="http://schemas.openxmlformats.org/spreadsheetml/2006/main" count="376" uniqueCount="108">
  <si>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</si>
  <si>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</si>
  <si>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</si>
  <si>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</si>
  <si>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</si>
  <si>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</si>
  <si>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</si>
  <si>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</si>
  <si>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</si>
  <si>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</si>
  <si>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</si>
  <si>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</si>
  <si>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</si>
  <si>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</si>
  <si>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</si>
  <si>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</si>
  <si>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</si>
  <si>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</si>
  <si>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</si>
  <si>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</si>
  <si>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</si>
  <si>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</si>
  <si>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</si>
  <si>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</si>
  <si>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</si>
  <si>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</si>
  <si>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</si>
  <si>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</si>
  <si>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</si>
  <si>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</si>
  <si>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</si>
  <si>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</si>
  <si>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</si>
  <si>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</si>
  <si>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</si>
  <si>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</si>
  <si>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</si>
  <si>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</si>
  <si>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</si>
  <si>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</si>
  <si>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</si>
  <si>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</si>
  <si>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</si>
  <si>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</si>
  <si>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</si>
  <si>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</si>
  <si>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</si>
  <si>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</si>
  <si>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</si>
  <si>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</si>
  <si>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</si>
  <si>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</si>
  <si>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</si>
  <si>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</si>
  <si>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>Органи місцевого самоврядування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</si>
  <si>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</si>
  <si>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</si>
  <si>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</si>
  <si>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</si>
  <si>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</si>
  <si>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</si>
  <si>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</si>
  <si>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</si>
  <si>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</si>
  <si>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</si>
  <si>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</si>
  <si>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</si>
  <si>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</si>
  <si>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</si>
  <si>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</si>
  <si>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</si>
  <si>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</si>
  <si>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Додаток 4</t>
  </si>
  <si>
    <t>тис. куб.м.</t>
  </si>
  <si>
    <t>листопд</t>
  </si>
  <si>
    <t>КУ"Сумська міська клінічна лікарня №1"</t>
  </si>
  <si>
    <t>КУ"Сумська міська клінічна лікарня №4"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</si>
  <si>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</si>
  <si>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</si>
  <si>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</si>
  <si>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</si>
  <si>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</si>
  <si>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</si>
  <si>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</si>
  <si>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</si>
  <si>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</si>
  <si>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</si>
  <si>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поліклінка №6"</t>
  </si>
  <si>
    <t>КУ "Сумська міська клінічна поліклініка №6"</t>
  </si>
  <si>
    <t xml:space="preserve">В.о. начальника відділу </t>
  </si>
  <si>
    <t>2018 рік</t>
  </si>
  <si>
    <t>споживання теплової енергії по установах та закладах відділу охорони здоров'я Сумської міської ради на 2018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</si>
  <si>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2018 рік</t>
  </si>
  <si>
    <t xml:space="preserve">       споживання електричної енергії по установах та закладах відділу охорони здоров'я Сумської міської ради на 2018 рік</t>
  </si>
  <si>
    <t>споживання природного газу по установах та закладах відділу охорони здоров'я Сумської міської ради на 2018 рік</t>
  </si>
  <si>
    <t>КНП "Центр первинної медико-санітарної допомоги №1"</t>
  </si>
  <si>
    <t>КНП "Центр первинної медико-санітарної допомоги №2"</t>
  </si>
  <si>
    <t>КНП "Центр первинної медико-санітарної допомги №1"</t>
  </si>
  <si>
    <t>КНП "Центр первинної медико-санітарної допомги №2"</t>
  </si>
  <si>
    <t>Разом по лікарням:</t>
  </si>
  <si>
    <t>Разом по галузі:</t>
  </si>
  <si>
    <t>затвердж.</t>
  </si>
  <si>
    <t>+/-</t>
  </si>
  <si>
    <t>КУ "Сумська міська клінічна дитяча лікарня Святої Зінаїди"  / КНП "Дитяча клінічна лікарня Святої Зінаїди" Сумської міської ради</t>
  </si>
  <si>
    <t>КУ "Сумська міська клінічна дитяча лікарня Святої Зінаїди" / КНП "Дитяча клінічна лікарня Святої Зінаїди" Сумської міської ради</t>
  </si>
  <si>
    <t>КУ "Сумська міська дитяча клінічна  лікарня Святої Зінаїди" / КНП "Дитяча клінічна лікарня Святої Зінаїди" Сумської міської ради</t>
  </si>
  <si>
    <t>О.Ю. Чумаченко</t>
  </si>
  <si>
    <t>від 15.01.2019 № 46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</si>
</sst>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4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205" fontId="2" fillId="32" borderId="10" xfId="0" applyNumberFormat="1" applyFont="1" applyFill="1" applyBorder="1" applyAlignment="1">
      <alignment horizontal="center"/>
    </xf>
    <xf numFmtId="209" fontId="2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05" fontId="10" fillId="0" borderId="10" xfId="0" applyNumberFormat="1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204" fontId="18" fillId="33" borderId="1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52" applyFont="1" applyFill="1" applyBorder="1" applyAlignment="1">
      <alignment horizontal="right" vertical="center" wrapText="1"/>
      <protection/>
    </xf>
    <xf numFmtId="204" fontId="18" fillId="33" borderId="10" xfId="52" applyNumberFormat="1" applyFont="1" applyFill="1" applyBorder="1" applyAlignment="1">
      <alignment horizontal="right" vertical="center" wrapText="1"/>
      <protection/>
    </xf>
    <xf numFmtId="204" fontId="2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205" fontId="18" fillId="33" borderId="10" xfId="0" applyNumberFormat="1" applyFont="1" applyFill="1" applyBorder="1" applyAlignment="1">
      <alignment horizontal="center"/>
    </xf>
    <xf numFmtId="204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205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04" fontId="18" fillId="33" borderId="11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210" fontId="18" fillId="33" borderId="10" xfId="53" applyNumberFormat="1" applyFont="1" applyFill="1" applyBorder="1" applyAlignment="1">
      <alignment horizontal="right"/>
      <protection/>
    </xf>
    <xf numFmtId="0" fontId="22" fillId="33" borderId="10" xfId="53" applyFont="1" applyFill="1" applyBorder="1" applyAlignment="1">
      <alignment horizontal="right"/>
      <protection/>
    </xf>
    <xf numFmtId="210" fontId="18" fillId="33" borderId="10" xfId="0" applyNumberFormat="1" applyFont="1" applyFill="1" applyBorder="1" applyAlignment="1">
      <alignment horizontal="center" vertical="center"/>
    </xf>
    <xf numFmtId="204" fontId="11" fillId="33" borderId="12" xfId="0" applyNumberFormat="1" applyFont="1" applyFill="1" applyBorder="1" applyAlignment="1">
      <alignment horizontal="left"/>
    </xf>
    <xf numFmtId="0" fontId="18" fillId="33" borderId="13" xfId="0" applyFont="1" applyFill="1" applyBorder="1" applyAlignment="1">
      <alignment horizontal="center"/>
    </xf>
    <xf numFmtId="204" fontId="18" fillId="33" borderId="13" xfId="0" applyNumberFormat="1" applyFont="1" applyFill="1" applyBorder="1" applyAlignment="1">
      <alignment horizontal="center"/>
    </xf>
    <xf numFmtId="205" fontId="0" fillId="0" borderId="0" xfId="0" applyNumberFormat="1" applyAlignment="1">
      <alignment/>
    </xf>
    <xf numFmtId="0" fontId="24" fillId="33" borderId="10" xfId="0" applyFont="1" applyFill="1" applyBorder="1" applyAlignment="1">
      <alignment horizontal="center" vertical="top" wrapText="1"/>
    </xf>
    <xf numFmtId="183" fontId="18" fillId="33" borderId="10" xfId="0" applyNumberFormat="1" applyFont="1" applyFill="1" applyBorder="1" applyAlignment="1">
      <alignment horizontal="center" vertical="top" wrapText="1"/>
    </xf>
    <xf numFmtId="205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18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left"/>
    </xf>
    <xf numFmtId="1" fontId="18" fillId="33" borderId="13" xfId="0" applyNumberFormat="1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1" fontId="11" fillId="33" borderId="1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4" fillId="33" borderId="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8" fillId="33" borderId="15" xfId="0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204" fontId="18" fillId="33" borderId="0" xfId="0" applyNumberFormat="1" applyFont="1" applyFill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justify"/>
    </xf>
    <xf numFmtId="204" fontId="0" fillId="33" borderId="0" xfId="0" applyNumberFormat="1" applyFill="1" applyAlignment="1">
      <alignment/>
    </xf>
    <xf numFmtId="0" fontId="18" fillId="33" borderId="1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/>
    </xf>
    <xf numFmtId="204" fontId="18" fillId="33" borderId="14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8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horizontal="left" textRotation="90"/>
    </xf>
    <xf numFmtId="49" fontId="0" fillId="33" borderId="0" xfId="0" applyNumberFormat="1" applyFont="1" applyFill="1" applyAlignment="1">
      <alignment horizontal="right"/>
    </xf>
    <xf numFmtId="1" fontId="18" fillId="33" borderId="12" xfId="0" applyNumberFormat="1" applyFont="1" applyFill="1" applyBorder="1" applyAlignment="1">
      <alignment horizontal="left"/>
    </xf>
    <xf numFmtId="204" fontId="62" fillId="33" borderId="0" xfId="0" applyNumberFormat="1" applyFont="1" applyFill="1" applyAlignment="1">
      <alignment/>
    </xf>
    <xf numFmtId="0" fontId="18" fillId="33" borderId="14" xfId="0" applyFont="1" applyFill="1" applyBorder="1" applyAlignment="1">
      <alignment horizontal="center" vertical="top" wrapText="1"/>
    </xf>
    <xf numFmtId="204" fontId="18" fillId="33" borderId="12" xfId="0" applyNumberFormat="1" applyFont="1" applyFill="1" applyBorder="1" applyAlignment="1">
      <alignment horizontal="left"/>
    </xf>
    <xf numFmtId="0" fontId="24" fillId="33" borderId="14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204" fontId="11" fillId="33" borderId="10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top" wrapText="1"/>
    </xf>
    <xf numFmtId="1" fontId="22" fillId="33" borderId="10" xfId="0" applyNumberFormat="1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left"/>
    </xf>
    <xf numFmtId="2" fontId="18" fillId="33" borderId="12" xfId="0" applyNumberFormat="1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/>
    </xf>
    <xf numFmtId="204" fontId="19" fillId="33" borderId="0" xfId="0" applyNumberFormat="1" applyFont="1" applyFill="1" applyAlignment="1">
      <alignment/>
    </xf>
    <xf numFmtId="1" fontId="19" fillId="33" borderId="0" xfId="0" applyNumberFormat="1" applyFont="1" applyFill="1" applyAlignment="1">
      <alignment/>
    </xf>
    <xf numFmtId="204" fontId="63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1" fontId="18" fillId="33" borderId="13" xfId="0" applyNumberFormat="1" applyFont="1" applyFill="1" applyBorder="1" applyAlignment="1">
      <alignment horizontal="center"/>
    </xf>
    <xf numFmtId="1" fontId="18" fillId="33" borderId="19" xfId="0" applyNumberFormat="1" applyFont="1" applyFill="1" applyBorder="1" applyAlignment="1">
      <alignment horizontal="center"/>
    </xf>
    <xf numFmtId="1" fontId="18" fillId="33" borderId="15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justify"/>
    </xf>
    <xf numFmtId="0" fontId="18" fillId="33" borderId="15" xfId="0" applyFont="1" applyFill="1" applyBorder="1" applyAlignment="1">
      <alignment horizontal="justify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justify"/>
    </xf>
    <xf numFmtId="0" fontId="24" fillId="33" borderId="15" xfId="0" applyFont="1" applyFill="1" applyBorder="1" applyAlignment="1">
      <alignment horizontal="justify"/>
    </xf>
    <xf numFmtId="183" fontId="24" fillId="33" borderId="13" xfId="0" applyNumberFormat="1" applyFont="1" applyFill="1" applyBorder="1" applyAlignment="1">
      <alignment horizontal="justify"/>
    </xf>
    <xf numFmtId="183" fontId="24" fillId="33" borderId="15" xfId="0" applyNumberFormat="1" applyFont="1" applyFill="1" applyBorder="1" applyAlignment="1">
      <alignment horizontal="justify"/>
    </xf>
    <xf numFmtId="0" fontId="25" fillId="33" borderId="15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204" fontId="18" fillId="33" borderId="13" xfId="0" applyNumberFormat="1" applyFont="1" applyFill="1" applyBorder="1" applyAlignment="1">
      <alignment horizontal="center"/>
    </xf>
    <xf numFmtId="204" fontId="18" fillId="33" borderId="19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18" fillId="33" borderId="13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183" fontId="18" fillId="33" borderId="13" xfId="0" applyNumberFormat="1" applyFont="1" applyFill="1" applyBorder="1" applyAlignment="1">
      <alignment horizontal="justify"/>
    </xf>
    <xf numFmtId="183" fontId="18" fillId="33" borderId="15" xfId="0" applyNumberFormat="1" applyFont="1" applyFill="1" applyBorder="1" applyAlignment="1">
      <alignment horizontal="justify"/>
    </xf>
    <xf numFmtId="0" fontId="18" fillId="33" borderId="14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view="pageBreakPreview" zoomScale="75" zoomScaleNormal="75" zoomScaleSheetLayoutView="75" zoomScalePageLayoutView="0" workbookViewId="0" topLeftCell="A37">
      <selection activeCell="K4" sqref="K4"/>
    </sheetView>
  </sheetViews>
  <sheetFormatPr defaultColWidth="9.140625" defaultRowHeight="12.75"/>
  <cols>
    <col min="1" max="1" width="6.7109375" style="54" customWidth="1"/>
    <col min="2" max="2" width="31.421875" style="54" customWidth="1"/>
    <col min="3" max="3" width="40.7109375" style="54" customWidth="1"/>
    <col min="4" max="4" width="9.00390625" style="54" customWidth="1"/>
    <col min="5" max="5" width="8.421875" style="54" customWidth="1"/>
    <col min="6" max="6" width="8.140625" style="54" customWidth="1"/>
    <col min="7" max="8" width="8.28125" style="54" customWidth="1"/>
    <col min="9" max="9" width="7.00390625" style="54" customWidth="1"/>
    <col min="10" max="10" width="8.00390625" style="54" customWidth="1"/>
    <col min="11" max="11" width="9.28125" style="54" customWidth="1"/>
    <col min="12" max="12" width="7.28125" style="54" customWidth="1"/>
    <col min="13" max="13" width="8.00390625" style="54" customWidth="1"/>
    <col min="14" max="15" width="10.00390625" style="54" customWidth="1"/>
    <col min="16" max="16" width="11.57421875" style="54" customWidth="1"/>
    <col min="17" max="17" width="12.140625" style="85" hidden="1" customWidth="1"/>
    <col min="18" max="18" width="11.00390625" style="54" hidden="1" customWidth="1"/>
    <col min="19" max="19" width="9.140625" style="54" customWidth="1"/>
    <col min="20" max="20" width="9.8515625" style="54" bestFit="1" customWidth="1"/>
    <col min="21" max="16384" width="9.140625" style="54" customWidth="1"/>
  </cols>
  <sheetData>
    <row r="1" spans="10:16" ht="18.75">
      <c r="J1" s="55"/>
      <c r="K1" s="109" t="s">
        <v>0</v>
      </c>
      <c r="L1" s="109"/>
      <c r="M1" s="109"/>
      <c r="N1" s="109"/>
      <c r="O1" s="109"/>
      <c r="P1" s="55"/>
    </row>
    <row r="2" spans="1:16" ht="20.25">
      <c r="A2" s="110"/>
      <c r="B2" s="110"/>
      <c r="C2" s="110"/>
      <c r="D2" s="111"/>
      <c r="E2" s="111"/>
      <c r="F2" s="111"/>
      <c r="G2" s="111"/>
      <c r="H2" s="89"/>
      <c r="I2" s="89"/>
      <c r="J2" s="112"/>
      <c r="K2" s="60" t="s">
        <v>1</v>
      </c>
      <c r="L2" s="60"/>
      <c r="M2" s="60"/>
      <c r="N2" s="60"/>
      <c r="O2" s="55"/>
      <c r="P2" s="55"/>
    </row>
    <row r="3" spans="1:16" ht="20.25">
      <c r="A3" s="110"/>
      <c r="B3" s="113"/>
      <c r="C3" s="65"/>
      <c r="D3" s="65"/>
      <c r="E3" s="65"/>
      <c r="F3" s="65"/>
      <c r="G3" s="65"/>
      <c r="H3" s="65"/>
      <c r="I3" s="65"/>
      <c r="J3" s="114"/>
      <c r="K3" s="56" t="s">
        <v>107</v>
      </c>
      <c r="L3" s="56"/>
      <c r="M3" s="56"/>
      <c r="N3" s="60"/>
      <c r="O3" s="61"/>
      <c r="P3" s="55"/>
    </row>
    <row r="4" spans="1:27" ht="20.25">
      <c r="A4" s="115"/>
      <c r="B4" s="116"/>
      <c r="C4" s="63"/>
      <c r="D4" s="64"/>
      <c r="E4" s="64"/>
      <c r="F4" s="64"/>
      <c r="G4" s="64" t="s">
        <v>2</v>
      </c>
      <c r="H4" s="55"/>
      <c r="I4" s="64"/>
      <c r="J4" s="64"/>
      <c r="K4" s="64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16" ht="18.75">
      <c r="A5" s="117"/>
      <c r="B5" s="142" t="s">
        <v>91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3:16" ht="15.75">
      <c r="C6" s="11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81" t="s">
        <v>3</v>
      </c>
      <c r="P6" s="117"/>
    </row>
    <row r="7" spans="1:18" ht="54.75">
      <c r="A7" s="28" t="s">
        <v>51</v>
      </c>
      <c r="B7" s="92" t="s">
        <v>4</v>
      </c>
      <c r="C7" s="92" t="s">
        <v>5</v>
      </c>
      <c r="D7" s="119" t="s">
        <v>6</v>
      </c>
      <c r="E7" s="119" t="s">
        <v>7</v>
      </c>
      <c r="F7" s="119" t="s">
        <v>8</v>
      </c>
      <c r="G7" s="119" t="s">
        <v>9</v>
      </c>
      <c r="H7" s="119" t="s">
        <v>10</v>
      </c>
      <c r="I7" s="119" t="s">
        <v>11</v>
      </c>
      <c r="J7" s="119" t="s">
        <v>12</v>
      </c>
      <c r="K7" s="119" t="s">
        <v>13</v>
      </c>
      <c r="L7" s="119" t="s">
        <v>14</v>
      </c>
      <c r="M7" s="119" t="s">
        <v>15</v>
      </c>
      <c r="N7" s="119" t="s">
        <v>16</v>
      </c>
      <c r="O7" s="119" t="s">
        <v>17</v>
      </c>
      <c r="P7" s="119" t="s">
        <v>90</v>
      </c>
      <c r="Q7" s="120" t="s">
        <v>101</v>
      </c>
      <c r="R7" s="121" t="s">
        <v>102</v>
      </c>
    </row>
    <row r="8" spans="1:18" ht="31.5">
      <c r="A8" s="143" t="s">
        <v>18</v>
      </c>
      <c r="B8" s="51" t="s">
        <v>19</v>
      </c>
      <c r="C8" s="149"/>
      <c r="D8" s="29">
        <f>D9+D10+9.1</f>
        <v>407.6</v>
      </c>
      <c r="E8" s="29">
        <f>E9+E10+6.8</f>
        <v>278.7</v>
      </c>
      <c r="F8" s="29">
        <f>F9+F10+5.5</f>
        <v>271</v>
      </c>
      <c r="G8" s="29">
        <f>G9+G10+1.6</f>
        <v>121.89999999999999</v>
      </c>
      <c r="H8" s="29">
        <f>H9+H10</f>
        <v>5.199999999999999</v>
      </c>
      <c r="I8" s="29">
        <f>I9+I10</f>
        <v>6.9</v>
      </c>
      <c r="J8" s="29">
        <f>J9+J10</f>
        <v>6.4</v>
      </c>
      <c r="K8" s="29">
        <f>K9+K10</f>
        <v>6.6</v>
      </c>
      <c r="L8" s="29">
        <f>L9+L10</f>
        <v>6.3</v>
      </c>
      <c r="M8" s="29">
        <f>M9+M10+0.7</f>
        <v>38.300000000000004</v>
      </c>
      <c r="N8" s="29">
        <f>N9+N10+4.5</f>
        <v>163</v>
      </c>
      <c r="O8" s="29">
        <f>O9+O10+7.9</f>
        <v>282.09999999999997</v>
      </c>
      <c r="P8" s="29">
        <f>SUM(D8:O8)</f>
        <v>1594</v>
      </c>
      <c r="Q8" s="85">
        <v>1609.7</v>
      </c>
      <c r="R8" s="96">
        <f aca="true" t="shared" si="0" ref="R8:R66">P8-Q8</f>
        <v>-15.700000000000045</v>
      </c>
    </row>
    <row r="9" spans="1:18" ht="15.75">
      <c r="A9" s="144"/>
      <c r="B9" s="92" t="s">
        <v>78</v>
      </c>
      <c r="C9" s="150"/>
      <c r="D9" s="29">
        <f>D12</f>
        <v>398.5</v>
      </c>
      <c r="E9" s="29">
        <f aca="true" t="shared" si="1" ref="E9:L9">E12</f>
        <v>271.5</v>
      </c>
      <c r="F9" s="29">
        <f t="shared" si="1"/>
        <v>265.4</v>
      </c>
      <c r="G9" s="29">
        <f t="shared" si="1"/>
        <v>120.2</v>
      </c>
      <c r="H9" s="29">
        <f t="shared" si="1"/>
        <v>5.1</v>
      </c>
      <c r="I9" s="29">
        <f t="shared" si="1"/>
        <v>6.9</v>
      </c>
      <c r="J9" s="29">
        <f t="shared" si="1"/>
        <v>6.4</v>
      </c>
      <c r="K9" s="29">
        <f t="shared" si="1"/>
        <v>6.6</v>
      </c>
      <c r="L9" s="29">
        <f t="shared" si="1"/>
        <v>6.3</v>
      </c>
      <c r="M9" s="29">
        <f>M12+M14</f>
        <v>37.6</v>
      </c>
      <c r="N9" s="29">
        <f>N12+N14</f>
        <v>158.1</v>
      </c>
      <c r="O9" s="29">
        <f>O12+O14</f>
        <v>273.9</v>
      </c>
      <c r="P9" s="30">
        <f>SUM(D9:O9)</f>
        <v>1556.4999999999995</v>
      </c>
      <c r="Q9" s="122">
        <v>1546.0300000000002</v>
      </c>
      <c r="R9" s="123">
        <f t="shared" si="0"/>
        <v>10.469999999999345</v>
      </c>
    </row>
    <row r="10" spans="1:18" ht="15.75">
      <c r="A10" s="145"/>
      <c r="B10" s="92" t="s">
        <v>23</v>
      </c>
      <c r="C10" s="151"/>
      <c r="D10" s="29">
        <f>D13</f>
        <v>0</v>
      </c>
      <c r="E10" s="29">
        <f aca="true" t="shared" si="2" ref="E10:P10">E13</f>
        <v>0.4</v>
      </c>
      <c r="F10" s="29">
        <f t="shared" si="2"/>
        <v>0.1</v>
      </c>
      <c r="G10" s="29">
        <f t="shared" si="2"/>
        <v>0.1</v>
      </c>
      <c r="H10" s="29">
        <f t="shared" si="2"/>
        <v>0.1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0.4</v>
      </c>
      <c r="O10" s="29">
        <f t="shared" si="2"/>
        <v>0.3</v>
      </c>
      <c r="P10" s="29">
        <f t="shared" si="2"/>
        <v>1.4000000000000001</v>
      </c>
      <c r="Q10" s="85">
        <v>2</v>
      </c>
      <c r="R10" s="96">
        <f t="shared" si="0"/>
        <v>-0.5999999999999999</v>
      </c>
    </row>
    <row r="11" spans="1:18" ht="15.75">
      <c r="A11" s="97"/>
      <c r="B11" s="92"/>
      <c r="C11" s="149" t="s">
        <v>26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96">
        <f t="shared" si="0"/>
        <v>0</v>
      </c>
    </row>
    <row r="12" spans="1:18" ht="15.75">
      <c r="A12" s="97"/>
      <c r="B12" s="92" t="s">
        <v>78</v>
      </c>
      <c r="C12" s="150"/>
      <c r="D12" s="29">
        <v>398.5</v>
      </c>
      <c r="E12" s="29">
        <v>271.5</v>
      </c>
      <c r="F12" s="29">
        <v>265.4</v>
      </c>
      <c r="G12" s="29">
        <v>120.2</v>
      </c>
      <c r="H12" s="29">
        <v>5.1</v>
      </c>
      <c r="I12" s="29">
        <v>6.9</v>
      </c>
      <c r="J12" s="29">
        <v>6.4</v>
      </c>
      <c r="K12" s="29">
        <v>6.6</v>
      </c>
      <c r="L12" s="29">
        <v>6.3</v>
      </c>
      <c r="M12" s="29">
        <v>37.6</v>
      </c>
      <c r="N12" s="29">
        <v>158.1</v>
      </c>
      <c r="O12" s="29">
        <v>273.9</v>
      </c>
      <c r="P12" s="30">
        <f>SUM(D12:O12)</f>
        <v>1556.4999999999995</v>
      </c>
      <c r="Q12" s="85">
        <v>1538.1000000000001</v>
      </c>
      <c r="R12" s="96">
        <f t="shared" si="0"/>
        <v>18.39999999999941</v>
      </c>
    </row>
    <row r="13" spans="1:18" ht="15.75">
      <c r="A13" s="97"/>
      <c r="B13" s="92" t="s">
        <v>23</v>
      </c>
      <c r="C13" s="151"/>
      <c r="D13" s="29">
        <v>0</v>
      </c>
      <c r="E13" s="29">
        <v>0.4</v>
      </c>
      <c r="F13" s="29">
        <v>0.1</v>
      </c>
      <c r="G13" s="29">
        <v>0.1</v>
      </c>
      <c r="H13" s="29">
        <v>0.1</v>
      </c>
      <c r="I13" s="29">
        <v>0</v>
      </c>
      <c r="J13" s="29"/>
      <c r="K13" s="29"/>
      <c r="L13" s="29"/>
      <c r="M13" s="29">
        <v>0</v>
      </c>
      <c r="N13" s="29">
        <v>0.4</v>
      </c>
      <c r="O13" s="29">
        <v>0.3</v>
      </c>
      <c r="P13" s="30">
        <f>SUM(D13:O13)</f>
        <v>1.4000000000000001</v>
      </c>
      <c r="Q13" s="85">
        <v>2</v>
      </c>
      <c r="R13" s="96">
        <f t="shared" si="0"/>
        <v>-0.5999999999999999</v>
      </c>
    </row>
    <row r="14" spans="1:18" ht="33" customHeight="1">
      <c r="A14" s="97"/>
      <c r="B14" s="92" t="s">
        <v>78</v>
      </c>
      <c r="C14" s="124" t="s">
        <v>83</v>
      </c>
      <c r="D14" s="29"/>
      <c r="E14" s="29"/>
      <c r="F14" s="29"/>
      <c r="G14" s="29"/>
      <c r="H14" s="29"/>
      <c r="I14" s="29"/>
      <c r="J14" s="29"/>
      <c r="K14" s="29"/>
      <c r="L14" s="29"/>
      <c r="M14" s="30">
        <v>0</v>
      </c>
      <c r="N14" s="30">
        <v>0</v>
      </c>
      <c r="O14" s="30">
        <v>0</v>
      </c>
      <c r="P14" s="30">
        <f>SUM(M14:O14)</f>
        <v>0</v>
      </c>
      <c r="Q14" s="85">
        <v>7.93</v>
      </c>
      <c r="R14" s="96">
        <f t="shared" si="0"/>
        <v>-7.93</v>
      </c>
    </row>
    <row r="15" spans="1:18" ht="34.5" customHeight="1">
      <c r="A15" s="143" t="s">
        <v>21</v>
      </c>
      <c r="B15" s="51" t="s">
        <v>22</v>
      </c>
      <c r="C15" s="149" t="s">
        <v>83</v>
      </c>
      <c r="D15" s="29">
        <f>D16+D17+20</f>
        <v>226.3</v>
      </c>
      <c r="E15" s="29">
        <f>E16+E17+15</f>
        <v>290.5</v>
      </c>
      <c r="F15" s="29">
        <f>F16+F17+15</f>
        <v>269.1</v>
      </c>
      <c r="G15" s="29">
        <f>G16+G17+15</f>
        <v>184.8</v>
      </c>
      <c r="H15" s="29">
        <f>H16+H17</f>
        <v>0</v>
      </c>
      <c r="I15" s="29">
        <f>I16+I17</f>
        <v>0</v>
      </c>
      <c r="J15" s="29">
        <f>J16+J17</f>
        <v>0</v>
      </c>
      <c r="K15" s="29">
        <f>K16+K17</f>
        <v>0</v>
      </c>
      <c r="L15" s="29">
        <f>L16+L17</f>
        <v>0</v>
      </c>
      <c r="M15" s="29">
        <f>M16+M17+15</f>
        <v>56.8</v>
      </c>
      <c r="N15" s="29">
        <f>N16+N17+15</f>
        <v>90.7</v>
      </c>
      <c r="O15" s="29">
        <f>O16+O17+20</f>
        <v>331.2</v>
      </c>
      <c r="P15" s="29">
        <f aca="true" t="shared" si="3" ref="P15:P21">SUM(D15:O15)</f>
        <v>1449.4</v>
      </c>
      <c r="Q15" s="85">
        <v>1365</v>
      </c>
      <c r="R15" s="96">
        <f t="shared" si="0"/>
        <v>84.40000000000009</v>
      </c>
    </row>
    <row r="16" spans="1:18" ht="15.75">
      <c r="A16" s="144"/>
      <c r="B16" s="92" t="s">
        <v>78</v>
      </c>
      <c r="C16" s="150"/>
      <c r="D16" s="31">
        <v>188.3</v>
      </c>
      <c r="E16" s="31">
        <v>259.5</v>
      </c>
      <c r="F16" s="31">
        <v>240.1</v>
      </c>
      <c r="G16" s="31">
        <v>162.8</v>
      </c>
      <c r="H16" s="31"/>
      <c r="I16" s="31"/>
      <c r="J16" s="31"/>
      <c r="K16" s="31"/>
      <c r="L16" s="31"/>
      <c r="M16" s="31">
        <v>37.8</v>
      </c>
      <c r="N16" s="31">
        <v>62.7</v>
      </c>
      <c r="O16" s="32">
        <v>297.2</v>
      </c>
      <c r="P16" s="33">
        <f t="shared" si="3"/>
        <v>1248.4</v>
      </c>
      <c r="Q16" s="122">
        <v>1163.9</v>
      </c>
      <c r="R16" s="123">
        <f>P16-Q16</f>
        <v>84.5</v>
      </c>
    </row>
    <row r="17" spans="1:18" ht="15.75">
      <c r="A17" s="145"/>
      <c r="B17" s="92" t="s">
        <v>23</v>
      </c>
      <c r="C17" s="151"/>
      <c r="D17" s="34">
        <v>18</v>
      </c>
      <c r="E17" s="34">
        <v>16</v>
      </c>
      <c r="F17" s="34">
        <v>14</v>
      </c>
      <c r="G17" s="34">
        <v>7</v>
      </c>
      <c r="H17" s="34"/>
      <c r="I17" s="34"/>
      <c r="J17" s="34"/>
      <c r="K17" s="34"/>
      <c r="L17" s="34"/>
      <c r="M17" s="34">
        <v>4</v>
      </c>
      <c r="N17" s="34">
        <v>13</v>
      </c>
      <c r="O17" s="34">
        <v>14</v>
      </c>
      <c r="P17" s="33">
        <f t="shared" si="3"/>
        <v>86</v>
      </c>
      <c r="Q17" s="85">
        <v>87</v>
      </c>
      <c r="R17" s="96">
        <f t="shared" si="0"/>
        <v>-1</v>
      </c>
    </row>
    <row r="18" spans="1:18" ht="31.5">
      <c r="A18" s="143" t="s">
        <v>24</v>
      </c>
      <c r="B18" s="51" t="s">
        <v>25</v>
      </c>
      <c r="C18" s="149" t="s">
        <v>26</v>
      </c>
      <c r="D18" s="29">
        <f>D19+D20+23.3</f>
        <v>660.3</v>
      </c>
      <c r="E18" s="29">
        <f>E19+E20+17.1</f>
        <v>580.2</v>
      </c>
      <c r="F18" s="29">
        <f>F19+F20+16.4</f>
        <v>500.4</v>
      </c>
      <c r="G18" s="29">
        <f>G19+G20+10</f>
        <v>312</v>
      </c>
      <c r="H18" s="29">
        <f>H19+H20</f>
        <v>31.2</v>
      </c>
      <c r="I18" s="29">
        <f>I19+I20</f>
        <v>0</v>
      </c>
      <c r="J18" s="29">
        <f>J19+J20</f>
        <v>0</v>
      </c>
      <c r="K18" s="29">
        <f>K19+K20</f>
        <v>0</v>
      </c>
      <c r="L18" s="29">
        <f>L19+L20</f>
        <v>0</v>
      </c>
      <c r="M18" s="29">
        <f>M19+M20+3</f>
        <v>105.9</v>
      </c>
      <c r="N18" s="29">
        <f>N19+N20+8</f>
        <v>284</v>
      </c>
      <c r="O18" s="29">
        <f>O19+O20+6</f>
        <v>358</v>
      </c>
      <c r="P18" s="29">
        <f>SUM(D18:O18)</f>
        <v>2832</v>
      </c>
      <c r="Q18" s="85">
        <v>3219</v>
      </c>
      <c r="R18" s="96">
        <f t="shared" si="0"/>
        <v>-387</v>
      </c>
    </row>
    <row r="19" spans="1:18" ht="15.75">
      <c r="A19" s="145"/>
      <c r="B19" s="92" t="s">
        <v>78</v>
      </c>
      <c r="C19" s="150"/>
      <c r="D19" s="29">
        <v>637</v>
      </c>
      <c r="E19" s="29">
        <v>561</v>
      </c>
      <c r="F19" s="29">
        <v>484</v>
      </c>
      <c r="G19" s="29">
        <v>302</v>
      </c>
      <c r="H19" s="29">
        <v>27</v>
      </c>
      <c r="I19" s="29">
        <v>0</v>
      </c>
      <c r="J19" s="29">
        <v>0</v>
      </c>
      <c r="K19" s="29">
        <v>0</v>
      </c>
      <c r="L19" s="29">
        <v>0</v>
      </c>
      <c r="M19" s="29">
        <v>101</v>
      </c>
      <c r="N19" s="29">
        <v>276</v>
      </c>
      <c r="O19" s="29">
        <v>352</v>
      </c>
      <c r="P19" s="30">
        <f t="shared" si="3"/>
        <v>2740</v>
      </c>
      <c r="Q19" s="125">
        <v>2780.6</v>
      </c>
      <c r="R19" s="96">
        <f t="shared" si="0"/>
        <v>-40.59999999999991</v>
      </c>
    </row>
    <row r="20" spans="1:18" ht="15.75">
      <c r="A20" s="97"/>
      <c r="B20" s="92" t="s">
        <v>23</v>
      </c>
      <c r="C20" s="151"/>
      <c r="D20" s="29">
        <v>0</v>
      </c>
      <c r="E20" s="29">
        <v>2.1</v>
      </c>
      <c r="F20" s="29">
        <v>0</v>
      </c>
      <c r="G20" s="29">
        <v>0</v>
      </c>
      <c r="H20" s="29">
        <v>4.2</v>
      </c>
      <c r="I20" s="29">
        <v>0</v>
      </c>
      <c r="J20" s="29">
        <v>0</v>
      </c>
      <c r="K20" s="29"/>
      <c r="L20" s="29"/>
      <c r="M20" s="29">
        <v>1.9</v>
      </c>
      <c r="N20" s="29">
        <v>0</v>
      </c>
      <c r="O20" s="29">
        <v>0</v>
      </c>
      <c r="P20" s="29">
        <f t="shared" si="3"/>
        <v>8.200000000000001</v>
      </c>
      <c r="Q20" s="85">
        <v>13</v>
      </c>
      <c r="R20" s="96">
        <f t="shared" si="0"/>
        <v>-4.799999999999999</v>
      </c>
    </row>
    <row r="21" spans="1:18" ht="94.5">
      <c r="A21" s="75"/>
      <c r="B21" s="126" t="s">
        <v>103</v>
      </c>
      <c r="C21" s="92" t="s">
        <v>27</v>
      </c>
      <c r="D21" s="29">
        <f>D22+26</f>
        <v>453.8</v>
      </c>
      <c r="E21" s="29">
        <f>E22+26</f>
        <v>342.8</v>
      </c>
      <c r="F21" s="29">
        <f>F22+26</f>
        <v>503.8</v>
      </c>
      <c r="G21" s="29">
        <f>G22+26</f>
        <v>413.4</v>
      </c>
      <c r="H21" s="29">
        <v>14</v>
      </c>
      <c r="I21" s="29">
        <v>4</v>
      </c>
      <c r="J21" s="29">
        <v>20</v>
      </c>
      <c r="K21" s="29">
        <v>5</v>
      </c>
      <c r="L21" s="29">
        <v>8</v>
      </c>
      <c r="M21" s="29">
        <f>M22+26</f>
        <v>145</v>
      </c>
      <c r="N21" s="29">
        <f>N22+26</f>
        <v>274.4</v>
      </c>
      <c r="O21" s="29">
        <f>O22+26</f>
        <v>593.7</v>
      </c>
      <c r="P21" s="29">
        <f t="shared" si="3"/>
        <v>2777.9000000000005</v>
      </c>
      <c r="Q21" s="85">
        <v>2731</v>
      </c>
      <c r="R21" s="96">
        <f t="shared" si="0"/>
        <v>46.900000000000546</v>
      </c>
    </row>
    <row r="22" spans="1:19" ht="15.75">
      <c r="A22" s="97"/>
      <c r="B22" s="92" t="s">
        <v>78</v>
      </c>
      <c r="C22" s="92"/>
      <c r="D22" s="29">
        <f>D23+D24</f>
        <v>427.8</v>
      </c>
      <c r="E22" s="29">
        <f aca="true" t="shared" si="4" ref="E22:P22">E23+E24</f>
        <v>316.8</v>
      </c>
      <c r="F22" s="29">
        <f t="shared" si="4"/>
        <v>477.8</v>
      </c>
      <c r="G22" s="29">
        <f t="shared" si="4"/>
        <v>387.4</v>
      </c>
      <c r="H22" s="29">
        <f t="shared" si="4"/>
        <v>14</v>
      </c>
      <c r="I22" s="29">
        <f t="shared" si="4"/>
        <v>4</v>
      </c>
      <c r="J22" s="29">
        <f t="shared" si="4"/>
        <v>20</v>
      </c>
      <c r="K22" s="29">
        <f t="shared" si="4"/>
        <v>5</v>
      </c>
      <c r="L22" s="29">
        <f t="shared" si="4"/>
        <v>7.1</v>
      </c>
      <c r="M22" s="29">
        <f t="shared" si="4"/>
        <v>119</v>
      </c>
      <c r="N22" s="29">
        <f t="shared" si="4"/>
        <v>248.4</v>
      </c>
      <c r="O22" s="29">
        <f t="shared" si="4"/>
        <v>567.7</v>
      </c>
      <c r="P22" s="29">
        <f t="shared" si="4"/>
        <v>2595</v>
      </c>
      <c r="Q22" s="85">
        <v>2547.2999999999997</v>
      </c>
      <c r="R22" s="123">
        <f t="shared" si="0"/>
        <v>47.70000000000027</v>
      </c>
      <c r="S22" s="96"/>
    </row>
    <row r="23" spans="1:18" ht="15.75">
      <c r="A23" s="97"/>
      <c r="B23" s="127"/>
      <c r="C23" s="92" t="s">
        <v>26</v>
      </c>
      <c r="D23" s="29">
        <v>367</v>
      </c>
      <c r="E23" s="29">
        <v>255</v>
      </c>
      <c r="F23" s="29">
        <v>421</v>
      </c>
      <c r="G23" s="29">
        <v>361</v>
      </c>
      <c r="H23" s="29">
        <v>14</v>
      </c>
      <c r="I23" s="29">
        <v>4</v>
      </c>
      <c r="J23" s="29">
        <v>20</v>
      </c>
      <c r="K23" s="29">
        <v>5</v>
      </c>
      <c r="L23" s="30">
        <v>7.1</v>
      </c>
      <c r="M23" s="29">
        <v>119</v>
      </c>
      <c r="N23" s="29">
        <v>221</v>
      </c>
      <c r="O23" s="29">
        <v>521</v>
      </c>
      <c r="P23" s="29">
        <f>SUM(D23:O23)</f>
        <v>2315.1</v>
      </c>
      <c r="Q23" s="122">
        <v>2163.2</v>
      </c>
      <c r="R23" s="96">
        <f t="shared" si="0"/>
        <v>151.9000000000001</v>
      </c>
    </row>
    <row r="24" spans="1:18" ht="32.25" customHeight="1">
      <c r="A24" s="104" t="s">
        <v>28</v>
      </c>
      <c r="B24" s="128"/>
      <c r="C24" s="92" t="s">
        <v>83</v>
      </c>
      <c r="D24" s="29">
        <v>60.8</v>
      </c>
      <c r="E24" s="29">
        <v>61.8</v>
      </c>
      <c r="F24" s="29">
        <v>56.8</v>
      </c>
      <c r="G24" s="29">
        <v>26.4</v>
      </c>
      <c r="H24" s="29">
        <v>0</v>
      </c>
      <c r="I24" s="29"/>
      <c r="J24" s="29"/>
      <c r="K24" s="29"/>
      <c r="L24" s="29">
        <v>0</v>
      </c>
      <c r="M24" s="35">
        <v>0</v>
      </c>
      <c r="N24" s="35">
        <v>27.4</v>
      </c>
      <c r="O24" s="35">
        <v>46.7</v>
      </c>
      <c r="P24" s="29">
        <f>SUM(D24:O24)</f>
        <v>279.9</v>
      </c>
      <c r="Q24" s="122">
        <v>384.1</v>
      </c>
      <c r="R24" s="96">
        <f t="shared" si="0"/>
        <v>-104.20000000000005</v>
      </c>
    </row>
    <row r="25" spans="1:18" ht="15.75">
      <c r="A25" s="75"/>
      <c r="B25" s="129" t="s">
        <v>29</v>
      </c>
      <c r="C25" s="100" t="s">
        <v>27</v>
      </c>
      <c r="D25" s="36">
        <f aca="true" t="shared" si="5" ref="D25:P25">D8+D15+D18+D21</f>
        <v>1748</v>
      </c>
      <c r="E25" s="36">
        <f t="shared" si="5"/>
        <v>1492.2</v>
      </c>
      <c r="F25" s="36">
        <f t="shared" si="5"/>
        <v>1544.3</v>
      </c>
      <c r="G25" s="36">
        <f t="shared" si="5"/>
        <v>1032.1</v>
      </c>
      <c r="H25" s="36">
        <f t="shared" si="5"/>
        <v>50.4</v>
      </c>
      <c r="I25" s="36">
        <f t="shared" si="5"/>
        <v>10.9</v>
      </c>
      <c r="J25" s="36">
        <f t="shared" si="5"/>
        <v>26.4</v>
      </c>
      <c r="K25" s="36">
        <f t="shared" si="5"/>
        <v>11.6</v>
      </c>
      <c r="L25" s="36">
        <f t="shared" si="5"/>
        <v>14.3</v>
      </c>
      <c r="M25" s="36">
        <f t="shared" si="5"/>
        <v>346</v>
      </c>
      <c r="N25" s="36">
        <f t="shared" si="5"/>
        <v>812.1</v>
      </c>
      <c r="O25" s="36">
        <f t="shared" si="5"/>
        <v>1565</v>
      </c>
      <c r="P25" s="36">
        <f t="shared" si="5"/>
        <v>8653.3</v>
      </c>
      <c r="Q25" s="85">
        <v>8924.7</v>
      </c>
      <c r="R25" s="96">
        <f t="shared" si="0"/>
        <v>-271.40000000000146</v>
      </c>
    </row>
    <row r="26" spans="1:18" ht="15.75">
      <c r="A26" s="97"/>
      <c r="B26" s="100" t="s">
        <v>80</v>
      </c>
      <c r="C26" s="100"/>
      <c r="D26" s="36">
        <f>D27+D28</f>
        <v>1651.6</v>
      </c>
      <c r="E26" s="36">
        <f aca="true" t="shared" si="6" ref="E26:P26">E27+E28</f>
        <v>1408.8</v>
      </c>
      <c r="F26" s="36">
        <f t="shared" si="6"/>
        <v>1467.3000000000002</v>
      </c>
      <c r="G26" s="36">
        <f t="shared" si="6"/>
        <v>972.4000000000001</v>
      </c>
      <c r="H26" s="36">
        <f t="shared" si="6"/>
        <v>46.1</v>
      </c>
      <c r="I26" s="36">
        <f t="shared" si="6"/>
        <v>10.9</v>
      </c>
      <c r="J26" s="36">
        <f t="shared" si="6"/>
        <v>26.4</v>
      </c>
      <c r="K26" s="36">
        <f t="shared" si="6"/>
        <v>11.6</v>
      </c>
      <c r="L26" s="36">
        <f t="shared" si="6"/>
        <v>13.399999999999999</v>
      </c>
      <c r="M26" s="36">
        <f t="shared" si="6"/>
        <v>295.40000000000003</v>
      </c>
      <c r="N26" s="36">
        <f t="shared" si="6"/>
        <v>745.2</v>
      </c>
      <c r="O26" s="36">
        <f t="shared" si="6"/>
        <v>1490.8000000000002</v>
      </c>
      <c r="P26" s="36">
        <f t="shared" si="6"/>
        <v>8139.900000000001</v>
      </c>
      <c r="Q26" s="85">
        <v>8122.330000000001</v>
      </c>
      <c r="R26" s="96">
        <f t="shared" si="0"/>
        <v>17.56999999999971</v>
      </c>
    </row>
    <row r="27" spans="1:18" ht="21" customHeight="1">
      <c r="A27" s="104"/>
      <c r="B27" s="100"/>
      <c r="C27" s="100" t="s">
        <v>26</v>
      </c>
      <c r="D27" s="36">
        <f>D12+D19+D23</f>
        <v>1402.5</v>
      </c>
      <c r="E27" s="36">
        <f aca="true" t="shared" si="7" ref="E27:O27">E12+E19+E23</f>
        <v>1087.5</v>
      </c>
      <c r="F27" s="36">
        <f t="shared" si="7"/>
        <v>1170.4</v>
      </c>
      <c r="G27" s="36">
        <f t="shared" si="7"/>
        <v>783.2</v>
      </c>
      <c r="H27" s="36">
        <f t="shared" si="7"/>
        <v>46.1</v>
      </c>
      <c r="I27" s="36">
        <f t="shared" si="7"/>
        <v>10.9</v>
      </c>
      <c r="J27" s="36">
        <f t="shared" si="7"/>
        <v>26.4</v>
      </c>
      <c r="K27" s="36">
        <f t="shared" si="7"/>
        <v>11.6</v>
      </c>
      <c r="L27" s="36">
        <f t="shared" si="7"/>
        <v>13.399999999999999</v>
      </c>
      <c r="M27" s="36">
        <f t="shared" si="7"/>
        <v>257.6</v>
      </c>
      <c r="N27" s="36">
        <f t="shared" si="7"/>
        <v>655.1</v>
      </c>
      <c r="O27" s="36">
        <f t="shared" si="7"/>
        <v>1146.9</v>
      </c>
      <c r="P27" s="36">
        <f>SUM(D27:O27)</f>
        <v>6611.6</v>
      </c>
      <c r="Q27" s="47">
        <v>6481.900000000001</v>
      </c>
      <c r="R27" s="96">
        <f t="shared" si="0"/>
        <v>129.69999999999982</v>
      </c>
    </row>
    <row r="28" spans="1:18" ht="36" customHeight="1">
      <c r="A28" s="97"/>
      <c r="B28" s="100"/>
      <c r="C28" s="100" t="s">
        <v>83</v>
      </c>
      <c r="D28" s="130">
        <f>D16+D24+D14</f>
        <v>249.10000000000002</v>
      </c>
      <c r="E28" s="130">
        <f aca="true" t="shared" si="8" ref="E28:P28">E16+E24+E14</f>
        <v>321.3</v>
      </c>
      <c r="F28" s="130">
        <f t="shared" si="8"/>
        <v>296.9</v>
      </c>
      <c r="G28" s="130">
        <f t="shared" si="8"/>
        <v>189.20000000000002</v>
      </c>
      <c r="H28" s="130">
        <f t="shared" si="8"/>
        <v>0</v>
      </c>
      <c r="I28" s="130">
        <f t="shared" si="8"/>
        <v>0</v>
      </c>
      <c r="J28" s="130">
        <f t="shared" si="8"/>
        <v>0</v>
      </c>
      <c r="K28" s="130">
        <f t="shared" si="8"/>
        <v>0</v>
      </c>
      <c r="L28" s="130">
        <f t="shared" si="8"/>
        <v>0</v>
      </c>
      <c r="M28" s="130">
        <f t="shared" si="8"/>
        <v>37.8</v>
      </c>
      <c r="N28" s="130">
        <f t="shared" si="8"/>
        <v>90.1</v>
      </c>
      <c r="O28" s="130">
        <f t="shared" si="8"/>
        <v>343.9</v>
      </c>
      <c r="P28" s="130">
        <f t="shared" si="8"/>
        <v>1528.3000000000002</v>
      </c>
      <c r="Q28" s="85">
        <v>1640.43</v>
      </c>
      <c r="R28" s="96">
        <f t="shared" si="0"/>
        <v>-112.12999999999988</v>
      </c>
    </row>
    <row r="29" spans="1:18" ht="15.75">
      <c r="A29" s="104"/>
      <c r="B29" s="100" t="s">
        <v>48</v>
      </c>
      <c r="C29" s="100"/>
      <c r="D29" s="36">
        <f>D10+D17+D20</f>
        <v>18</v>
      </c>
      <c r="E29" s="36">
        <f aca="true" t="shared" si="9" ref="E29:P29">E10+E17+E20</f>
        <v>18.5</v>
      </c>
      <c r="F29" s="36">
        <f t="shared" si="9"/>
        <v>14.1</v>
      </c>
      <c r="G29" s="36">
        <f t="shared" si="9"/>
        <v>7.1</v>
      </c>
      <c r="H29" s="36">
        <f t="shared" si="9"/>
        <v>4.3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5.9</v>
      </c>
      <c r="N29" s="36">
        <f t="shared" si="9"/>
        <v>13.4</v>
      </c>
      <c r="O29" s="36">
        <f t="shared" si="9"/>
        <v>14.3</v>
      </c>
      <c r="P29" s="36">
        <f t="shared" si="9"/>
        <v>95.60000000000001</v>
      </c>
      <c r="Q29" s="85">
        <v>104</v>
      </c>
      <c r="R29" s="96">
        <f t="shared" si="0"/>
        <v>-8.399999999999991</v>
      </c>
    </row>
    <row r="30" spans="1:18" ht="15.75">
      <c r="A30" s="104"/>
      <c r="B30" s="100"/>
      <c r="C30" s="100"/>
      <c r="D30" s="37"/>
      <c r="E30" s="37"/>
      <c r="F30" s="37"/>
      <c r="G30" s="37"/>
      <c r="H30" s="37"/>
      <c r="I30" s="37"/>
      <c r="J30" s="37"/>
      <c r="K30" s="37"/>
      <c r="L30" s="37"/>
      <c r="M30" s="146" t="s">
        <v>49</v>
      </c>
      <c r="N30" s="147"/>
      <c r="O30" s="147"/>
      <c r="P30" s="148"/>
      <c r="R30" s="96">
        <f t="shared" si="0"/>
        <v>0</v>
      </c>
    </row>
    <row r="31" spans="1:18" ht="52.5">
      <c r="A31" s="28" t="s">
        <v>51</v>
      </c>
      <c r="B31" s="92" t="s">
        <v>4</v>
      </c>
      <c r="C31" s="92" t="s">
        <v>5</v>
      </c>
      <c r="D31" s="119" t="s">
        <v>6</v>
      </c>
      <c r="E31" s="119" t="s">
        <v>7</v>
      </c>
      <c r="F31" s="119" t="s">
        <v>8</v>
      </c>
      <c r="G31" s="119" t="s">
        <v>9</v>
      </c>
      <c r="H31" s="119" t="s">
        <v>10</v>
      </c>
      <c r="I31" s="119" t="s">
        <v>11</v>
      </c>
      <c r="J31" s="119" t="s">
        <v>12</v>
      </c>
      <c r="K31" s="119" t="s">
        <v>13</v>
      </c>
      <c r="L31" s="119" t="s">
        <v>14</v>
      </c>
      <c r="M31" s="119" t="s">
        <v>15</v>
      </c>
      <c r="N31" s="119" t="s">
        <v>16</v>
      </c>
      <c r="O31" s="119" t="s">
        <v>17</v>
      </c>
      <c r="P31" s="119" t="s">
        <v>90</v>
      </c>
      <c r="R31" s="96"/>
    </row>
    <row r="32" spans="1:19" ht="46.5" customHeight="1">
      <c r="A32" s="143" t="s">
        <v>30</v>
      </c>
      <c r="B32" s="51" t="s">
        <v>84</v>
      </c>
      <c r="C32" s="92"/>
      <c r="D32" s="29">
        <f>D33+5</f>
        <v>261.8</v>
      </c>
      <c r="E32" s="29">
        <f>E33+5</f>
        <v>256.7</v>
      </c>
      <c r="F32" s="29">
        <f>F33+5</f>
        <v>250.79999999999998</v>
      </c>
      <c r="G32" s="29">
        <f>G33+5</f>
        <v>143.6</v>
      </c>
      <c r="H32" s="29">
        <f>H33</f>
        <v>32.9</v>
      </c>
      <c r="I32" s="29">
        <f>I33</f>
        <v>11</v>
      </c>
      <c r="J32" s="29">
        <f>J33</f>
        <v>11</v>
      </c>
      <c r="K32" s="29">
        <f>K33</f>
        <v>13.9</v>
      </c>
      <c r="L32" s="29">
        <f>L33</f>
        <v>18.9</v>
      </c>
      <c r="M32" s="29">
        <f>M33+5</f>
        <v>84</v>
      </c>
      <c r="N32" s="29">
        <f>N33+5</f>
        <v>171.4</v>
      </c>
      <c r="O32" s="29">
        <f>O33+5</f>
        <v>231</v>
      </c>
      <c r="P32" s="29">
        <f>SUM(D32:O32)</f>
        <v>1487</v>
      </c>
      <c r="Q32" s="85">
        <v>1651</v>
      </c>
      <c r="R32" s="96">
        <f t="shared" si="0"/>
        <v>-164</v>
      </c>
      <c r="S32" s="96"/>
    </row>
    <row r="33" spans="1:18" ht="21" customHeight="1">
      <c r="A33" s="144"/>
      <c r="B33" s="92" t="s">
        <v>78</v>
      </c>
      <c r="C33" s="92"/>
      <c r="D33" s="29">
        <f>D34+D35</f>
        <v>256.8</v>
      </c>
      <c r="E33" s="29">
        <f aca="true" t="shared" si="10" ref="E33:P33">E34+E35</f>
        <v>251.7</v>
      </c>
      <c r="F33" s="29">
        <f t="shared" si="10"/>
        <v>245.79999999999998</v>
      </c>
      <c r="G33" s="29">
        <f t="shared" si="10"/>
        <v>138.6</v>
      </c>
      <c r="H33" s="29">
        <f t="shared" si="10"/>
        <v>32.9</v>
      </c>
      <c r="I33" s="29">
        <f t="shared" si="10"/>
        <v>11</v>
      </c>
      <c r="J33" s="29">
        <f t="shared" si="10"/>
        <v>11</v>
      </c>
      <c r="K33" s="29">
        <f t="shared" si="10"/>
        <v>13.9</v>
      </c>
      <c r="L33" s="29">
        <f t="shared" si="10"/>
        <v>18.9</v>
      </c>
      <c r="M33" s="29">
        <f t="shared" si="10"/>
        <v>79</v>
      </c>
      <c r="N33" s="29">
        <f t="shared" si="10"/>
        <v>166.4</v>
      </c>
      <c r="O33" s="29">
        <f t="shared" si="10"/>
        <v>226</v>
      </c>
      <c r="P33" s="29">
        <f t="shared" si="10"/>
        <v>1452</v>
      </c>
      <c r="Q33" s="85">
        <v>1616</v>
      </c>
      <c r="R33" s="96">
        <f t="shared" si="0"/>
        <v>-164</v>
      </c>
    </row>
    <row r="34" spans="1:18" ht="15.75">
      <c r="A34" s="144"/>
      <c r="C34" s="92" t="s">
        <v>26</v>
      </c>
      <c r="D34" s="29">
        <v>240</v>
      </c>
      <c r="E34" s="29">
        <v>235.2</v>
      </c>
      <c r="F34" s="29">
        <v>229.7</v>
      </c>
      <c r="G34" s="29">
        <v>132</v>
      </c>
      <c r="H34" s="29">
        <v>32.9</v>
      </c>
      <c r="I34" s="29">
        <v>11</v>
      </c>
      <c r="J34" s="29">
        <v>11</v>
      </c>
      <c r="K34" s="29">
        <v>13.9</v>
      </c>
      <c r="L34" s="29">
        <v>18.9</v>
      </c>
      <c r="M34" s="29">
        <v>79</v>
      </c>
      <c r="N34" s="29">
        <v>158.4</v>
      </c>
      <c r="O34" s="29">
        <v>214</v>
      </c>
      <c r="P34" s="102">
        <f>SUM(D34:O34)</f>
        <v>1376</v>
      </c>
      <c r="Q34" s="122">
        <v>1520</v>
      </c>
      <c r="R34" s="96">
        <f t="shared" si="0"/>
        <v>-144</v>
      </c>
    </row>
    <row r="35" spans="1:18" ht="31.5">
      <c r="A35" s="144"/>
      <c r="C35" s="92" t="s">
        <v>83</v>
      </c>
      <c r="D35" s="102">
        <v>16.8</v>
      </c>
      <c r="E35" s="102">
        <v>16.5</v>
      </c>
      <c r="F35" s="102">
        <v>16.1</v>
      </c>
      <c r="G35" s="102">
        <v>6.6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8</v>
      </c>
      <c r="O35" s="102">
        <v>12</v>
      </c>
      <c r="P35" s="102">
        <f>SUM(D35:O35)</f>
        <v>76</v>
      </c>
      <c r="Q35" s="85">
        <v>96</v>
      </c>
      <c r="R35" s="96">
        <f t="shared" si="0"/>
        <v>-20</v>
      </c>
    </row>
    <row r="36" spans="1:18" ht="15.75">
      <c r="A36" s="145"/>
      <c r="B36" s="92" t="s">
        <v>23</v>
      </c>
      <c r="C36" s="92"/>
      <c r="D36" s="102">
        <v>0.5</v>
      </c>
      <c r="E36" s="102">
        <v>0.6</v>
      </c>
      <c r="F36" s="102">
        <v>0.3</v>
      </c>
      <c r="G36" s="102">
        <v>0.2</v>
      </c>
      <c r="H36" s="102">
        <v>0.2</v>
      </c>
      <c r="I36" s="102">
        <v>0</v>
      </c>
      <c r="J36" s="102">
        <v>0</v>
      </c>
      <c r="K36" s="102">
        <v>0</v>
      </c>
      <c r="L36" s="102">
        <v>0.3</v>
      </c>
      <c r="M36" s="102">
        <v>0.2</v>
      </c>
      <c r="N36" s="102">
        <v>0.3</v>
      </c>
      <c r="O36" s="102">
        <v>0.4</v>
      </c>
      <c r="P36" s="102">
        <f>SUM(D36:O36)</f>
        <v>3</v>
      </c>
      <c r="Q36" s="85">
        <v>3</v>
      </c>
      <c r="R36" s="96">
        <f t="shared" si="0"/>
        <v>0</v>
      </c>
    </row>
    <row r="37" spans="1:18" ht="31.5" customHeight="1">
      <c r="A37" s="97"/>
      <c r="B37" s="51" t="s">
        <v>55</v>
      </c>
      <c r="C37" s="131"/>
      <c r="D37" s="132">
        <v>67</v>
      </c>
      <c r="E37" s="132">
        <v>79</v>
      </c>
      <c r="F37" s="132">
        <v>67</v>
      </c>
      <c r="G37" s="132">
        <v>26</v>
      </c>
      <c r="H37" s="132"/>
      <c r="I37" s="132"/>
      <c r="J37" s="132"/>
      <c r="K37" s="132"/>
      <c r="L37" s="132"/>
      <c r="M37" s="132"/>
      <c r="N37" s="132"/>
      <c r="O37" s="132"/>
      <c r="P37" s="29">
        <f aca="true" t="shared" si="11" ref="P37:P42">SUM(D37:G37)</f>
        <v>239</v>
      </c>
      <c r="Q37" s="85">
        <v>239</v>
      </c>
      <c r="R37" s="96">
        <f t="shared" si="0"/>
        <v>0</v>
      </c>
    </row>
    <row r="38" spans="1:18" ht="15.75">
      <c r="A38" s="97"/>
      <c r="B38" s="92" t="s">
        <v>78</v>
      </c>
      <c r="C38" s="131"/>
      <c r="D38" s="132">
        <v>50</v>
      </c>
      <c r="E38" s="132">
        <v>55</v>
      </c>
      <c r="F38" s="132">
        <v>47</v>
      </c>
      <c r="G38" s="132">
        <v>24</v>
      </c>
      <c r="H38" s="132"/>
      <c r="I38" s="132"/>
      <c r="J38" s="132"/>
      <c r="K38" s="132"/>
      <c r="L38" s="132"/>
      <c r="M38" s="132"/>
      <c r="N38" s="132"/>
      <c r="O38" s="132"/>
      <c r="P38" s="29">
        <f t="shared" si="11"/>
        <v>176</v>
      </c>
      <c r="Q38" s="85">
        <v>176</v>
      </c>
      <c r="R38" s="96">
        <f t="shared" si="0"/>
        <v>0</v>
      </c>
    </row>
    <row r="39" spans="1:18" ht="15.75">
      <c r="A39" s="97"/>
      <c r="B39" s="92"/>
      <c r="C39" s="92" t="s">
        <v>26</v>
      </c>
      <c r="D39" s="132"/>
      <c r="E39" s="132"/>
      <c r="F39" s="132">
        <v>2</v>
      </c>
      <c r="G39" s="132">
        <v>4</v>
      </c>
      <c r="H39" s="132"/>
      <c r="I39" s="132"/>
      <c r="J39" s="132"/>
      <c r="K39" s="132"/>
      <c r="L39" s="132"/>
      <c r="M39" s="132"/>
      <c r="N39" s="132"/>
      <c r="O39" s="132"/>
      <c r="P39" s="29">
        <f t="shared" si="11"/>
        <v>6</v>
      </c>
      <c r="Q39" s="85">
        <v>6</v>
      </c>
      <c r="R39" s="96">
        <f t="shared" si="0"/>
        <v>0</v>
      </c>
    </row>
    <row r="40" spans="1:18" ht="15.75" customHeight="1">
      <c r="A40" s="97" t="s">
        <v>77</v>
      </c>
      <c r="B40" s="92"/>
      <c r="C40" s="131" t="s">
        <v>83</v>
      </c>
      <c r="D40" s="132">
        <v>52</v>
      </c>
      <c r="E40" s="132">
        <v>64</v>
      </c>
      <c r="F40" s="132">
        <v>52</v>
      </c>
      <c r="G40" s="132">
        <v>22</v>
      </c>
      <c r="H40" s="132"/>
      <c r="I40" s="132"/>
      <c r="J40" s="132"/>
      <c r="K40" s="132"/>
      <c r="L40" s="132"/>
      <c r="M40" s="132"/>
      <c r="N40" s="132"/>
      <c r="O40" s="132"/>
      <c r="P40" s="29">
        <f t="shared" si="11"/>
        <v>190</v>
      </c>
      <c r="Q40" s="85">
        <v>190</v>
      </c>
      <c r="R40" s="96">
        <f t="shared" si="0"/>
        <v>0</v>
      </c>
    </row>
    <row r="41" spans="1:18" ht="15.75">
      <c r="A41" s="97"/>
      <c r="B41" s="92" t="s">
        <v>78</v>
      </c>
      <c r="C41" s="131"/>
      <c r="D41" s="132">
        <v>50</v>
      </c>
      <c r="E41" s="132">
        <v>55</v>
      </c>
      <c r="F41" s="132">
        <v>45</v>
      </c>
      <c r="G41" s="132">
        <v>20</v>
      </c>
      <c r="H41" s="132"/>
      <c r="I41" s="132"/>
      <c r="J41" s="132"/>
      <c r="K41" s="132"/>
      <c r="L41" s="132"/>
      <c r="M41" s="132"/>
      <c r="N41" s="132"/>
      <c r="O41" s="132"/>
      <c r="P41" s="29">
        <f t="shared" si="11"/>
        <v>170</v>
      </c>
      <c r="Q41" s="85">
        <v>170</v>
      </c>
      <c r="R41" s="96">
        <f t="shared" si="0"/>
        <v>0</v>
      </c>
    </row>
    <row r="42" spans="1:18" ht="15.75">
      <c r="A42" s="97"/>
      <c r="B42" s="92" t="s">
        <v>23</v>
      </c>
      <c r="C42" s="131"/>
      <c r="D42" s="132">
        <v>1</v>
      </c>
      <c r="E42" s="132">
        <v>1</v>
      </c>
      <c r="F42" s="132">
        <v>1</v>
      </c>
      <c r="G42" s="132"/>
      <c r="H42" s="132"/>
      <c r="I42" s="132"/>
      <c r="J42" s="132"/>
      <c r="K42" s="132"/>
      <c r="L42" s="132"/>
      <c r="M42" s="132"/>
      <c r="N42" s="132"/>
      <c r="O42" s="132"/>
      <c r="P42" s="29">
        <f t="shared" si="11"/>
        <v>3</v>
      </c>
      <c r="Q42" s="85">
        <v>3</v>
      </c>
      <c r="R42" s="96">
        <f t="shared" si="0"/>
        <v>0</v>
      </c>
    </row>
    <row r="43" spans="1:18" ht="50.25" customHeight="1">
      <c r="A43" s="152" t="s">
        <v>31</v>
      </c>
      <c r="B43" s="51" t="s">
        <v>97</v>
      </c>
      <c r="C43" s="92"/>
      <c r="D43" s="132"/>
      <c r="E43" s="132"/>
      <c r="F43" s="132"/>
      <c r="G43" s="132"/>
      <c r="H43" s="132"/>
      <c r="I43" s="132"/>
      <c r="J43" s="132"/>
      <c r="K43" s="132"/>
      <c r="L43" s="132"/>
      <c r="M43" s="33">
        <f>M45+M46</f>
        <v>13.4</v>
      </c>
      <c r="N43" s="33">
        <f>N45+N46</f>
        <v>88.3</v>
      </c>
      <c r="O43" s="33">
        <f>O45+O46</f>
        <v>109.89999999999999</v>
      </c>
      <c r="P43" s="33">
        <f>SUM(M43:O43)</f>
        <v>211.6</v>
      </c>
      <c r="Q43" s="85">
        <v>242.3</v>
      </c>
      <c r="R43" s="96">
        <f t="shared" si="0"/>
        <v>-30.700000000000017</v>
      </c>
    </row>
    <row r="44" spans="1:21" ht="15.75">
      <c r="A44" s="152"/>
      <c r="B44" s="92" t="s">
        <v>78</v>
      </c>
      <c r="C44" s="92"/>
      <c r="D44" s="132"/>
      <c r="E44" s="132"/>
      <c r="F44" s="132"/>
      <c r="G44" s="132"/>
      <c r="H44" s="132"/>
      <c r="I44" s="132"/>
      <c r="J44" s="132"/>
      <c r="K44" s="132"/>
      <c r="L44" s="132"/>
      <c r="M44" s="33">
        <f>M45+M47</f>
        <v>13.4</v>
      </c>
      <c r="N44" s="33">
        <f>N45+N47</f>
        <v>80.3</v>
      </c>
      <c r="O44" s="33">
        <f>O45+O47</f>
        <v>101.89999999999999</v>
      </c>
      <c r="P44" s="33">
        <f>P45+P47</f>
        <v>195.6</v>
      </c>
      <c r="Q44" s="85">
        <v>223.1</v>
      </c>
      <c r="R44" s="96">
        <f t="shared" si="0"/>
        <v>-27.5</v>
      </c>
      <c r="T44" s="96"/>
      <c r="U44" s="96"/>
    </row>
    <row r="45" spans="1:21" ht="15.75">
      <c r="A45" s="152"/>
      <c r="B45" s="92"/>
      <c r="C45" s="92" t="s">
        <v>26</v>
      </c>
      <c r="D45" s="132"/>
      <c r="E45" s="132"/>
      <c r="F45" s="132"/>
      <c r="G45" s="132"/>
      <c r="H45" s="132"/>
      <c r="I45" s="132"/>
      <c r="J45" s="132"/>
      <c r="K45" s="132"/>
      <c r="L45" s="132"/>
      <c r="M45" s="33">
        <v>13.4</v>
      </c>
      <c r="N45" s="33">
        <v>8.3</v>
      </c>
      <c r="O45" s="33">
        <v>8.8</v>
      </c>
      <c r="P45" s="29">
        <f>SUM(M45:O45)</f>
        <v>30.500000000000004</v>
      </c>
      <c r="Q45" s="85">
        <v>55.9</v>
      </c>
      <c r="R45" s="96">
        <f t="shared" si="0"/>
        <v>-25.399999999999995</v>
      </c>
      <c r="T45" s="96"/>
      <c r="U45" s="96"/>
    </row>
    <row r="46" spans="1:21" ht="31.5">
      <c r="A46" s="152"/>
      <c r="B46" s="92"/>
      <c r="C46" s="131" t="s">
        <v>83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33">
        <v>0</v>
      </c>
      <c r="N46" s="33">
        <f>N47+8</f>
        <v>80</v>
      </c>
      <c r="O46" s="33">
        <f>O47+8</f>
        <v>101.1</v>
      </c>
      <c r="P46" s="29">
        <f>SUM(M46:O46)</f>
        <v>181.1</v>
      </c>
      <c r="Q46" s="85">
        <v>195</v>
      </c>
      <c r="R46" s="96">
        <f t="shared" si="0"/>
        <v>-13.900000000000006</v>
      </c>
      <c r="S46" s="96"/>
      <c r="T46" s="96"/>
      <c r="U46" s="96"/>
    </row>
    <row r="47" spans="1:21" ht="15.75">
      <c r="A47" s="152"/>
      <c r="B47" s="92" t="s">
        <v>78</v>
      </c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33">
        <v>0</v>
      </c>
      <c r="N47" s="33">
        <v>72</v>
      </c>
      <c r="O47" s="33">
        <v>93.1</v>
      </c>
      <c r="P47" s="30">
        <f>SUM(M47:O47)</f>
        <v>165.1</v>
      </c>
      <c r="Q47" s="133">
        <v>167.2</v>
      </c>
      <c r="R47" s="96">
        <f t="shared" si="0"/>
        <v>-2.0999999999999943</v>
      </c>
      <c r="T47" s="96"/>
      <c r="U47" s="96"/>
    </row>
    <row r="48" spans="1:21" ht="15.75">
      <c r="A48" s="152"/>
      <c r="B48" s="92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33"/>
      <c r="N48" s="33"/>
      <c r="O48" s="33"/>
      <c r="P48" s="29"/>
      <c r="R48" s="96">
        <f t="shared" si="0"/>
        <v>0</v>
      </c>
      <c r="T48" s="96"/>
      <c r="U48" s="96"/>
    </row>
    <row r="49" spans="1:21" ht="31.5">
      <c r="A49" s="143" t="s">
        <v>32</v>
      </c>
      <c r="B49" s="51" t="s">
        <v>88</v>
      </c>
      <c r="C49" s="149" t="s">
        <v>26</v>
      </c>
      <c r="D49" s="29">
        <f>D50+D51</f>
        <v>44</v>
      </c>
      <c r="E49" s="29">
        <f>E50+E51</f>
        <v>37</v>
      </c>
      <c r="F49" s="29">
        <f>F50+F51</f>
        <v>17</v>
      </c>
      <c r="G49" s="29">
        <f>G50+G51</f>
        <v>12</v>
      </c>
      <c r="H49" s="29"/>
      <c r="I49" s="29"/>
      <c r="J49" s="29"/>
      <c r="K49" s="29"/>
      <c r="L49" s="29"/>
      <c r="M49" s="29"/>
      <c r="N49" s="29"/>
      <c r="O49" s="29"/>
      <c r="P49" s="29">
        <f>SUM(D49:O49)</f>
        <v>110</v>
      </c>
      <c r="Q49" s="85">
        <v>110</v>
      </c>
      <c r="R49" s="96">
        <f t="shared" si="0"/>
        <v>0</v>
      </c>
      <c r="T49" s="96"/>
      <c r="U49" s="96"/>
    </row>
    <row r="50" spans="1:21" ht="15.75">
      <c r="A50" s="144"/>
      <c r="B50" s="92" t="s">
        <v>78</v>
      </c>
      <c r="C50" s="150"/>
      <c r="D50" s="29">
        <v>16</v>
      </c>
      <c r="E50" s="29">
        <v>13</v>
      </c>
      <c r="F50" s="29">
        <v>2</v>
      </c>
      <c r="G50" s="29">
        <v>2</v>
      </c>
      <c r="H50" s="29"/>
      <c r="I50" s="29"/>
      <c r="J50" s="29"/>
      <c r="K50" s="29"/>
      <c r="L50" s="29"/>
      <c r="M50" s="29"/>
      <c r="N50" s="29"/>
      <c r="O50" s="29"/>
      <c r="P50" s="29">
        <f>SUM(D50:O50)</f>
        <v>33</v>
      </c>
      <c r="Q50" s="85">
        <v>33</v>
      </c>
      <c r="R50" s="96">
        <f t="shared" si="0"/>
        <v>0</v>
      </c>
      <c r="T50" s="96"/>
      <c r="U50" s="96"/>
    </row>
    <row r="51" spans="1:21" ht="15.75">
      <c r="A51" s="145"/>
      <c r="B51" s="92" t="s">
        <v>23</v>
      </c>
      <c r="C51" s="151"/>
      <c r="D51" s="30">
        <v>28</v>
      </c>
      <c r="E51" s="30">
        <v>24</v>
      </c>
      <c r="F51" s="30">
        <v>15</v>
      </c>
      <c r="G51" s="30">
        <v>10</v>
      </c>
      <c r="H51" s="30"/>
      <c r="I51" s="30"/>
      <c r="J51" s="30"/>
      <c r="K51" s="30"/>
      <c r="L51" s="30"/>
      <c r="M51" s="29"/>
      <c r="N51" s="29"/>
      <c r="O51" s="29"/>
      <c r="P51" s="29">
        <f>SUM(D51:O51)</f>
        <v>77</v>
      </c>
      <c r="Q51" s="85">
        <v>77</v>
      </c>
      <c r="R51" s="96">
        <f t="shared" si="0"/>
        <v>0</v>
      </c>
      <c r="T51" s="96"/>
      <c r="U51" s="96"/>
    </row>
    <row r="52" spans="1:21" ht="51" customHeight="1">
      <c r="A52" s="143" t="s">
        <v>50</v>
      </c>
      <c r="B52" s="51" t="s">
        <v>98</v>
      </c>
      <c r="C52" s="149" t="s">
        <v>26</v>
      </c>
      <c r="D52" s="30"/>
      <c r="E52" s="30"/>
      <c r="F52" s="30"/>
      <c r="G52" s="30"/>
      <c r="H52" s="30"/>
      <c r="I52" s="30"/>
      <c r="J52" s="30"/>
      <c r="K52" s="30"/>
      <c r="L52" s="30"/>
      <c r="M52" s="29">
        <v>11</v>
      </c>
      <c r="N52" s="29">
        <v>53.05</v>
      </c>
      <c r="O52" s="29">
        <v>80</v>
      </c>
      <c r="P52" s="30">
        <f>SUM(M52:O52)</f>
        <v>144.05</v>
      </c>
      <c r="Q52" s="85">
        <v>216.1</v>
      </c>
      <c r="R52" s="96">
        <f t="shared" si="0"/>
        <v>-72.04999999999998</v>
      </c>
      <c r="T52" s="96"/>
      <c r="U52" s="96"/>
    </row>
    <row r="53" spans="1:21" ht="15.75">
      <c r="A53" s="144"/>
      <c r="B53" s="92" t="s">
        <v>78</v>
      </c>
      <c r="C53" s="150"/>
      <c r="D53" s="30"/>
      <c r="E53" s="30"/>
      <c r="F53" s="30"/>
      <c r="G53" s="30"/>
      <c r="H53" s="30"/>
      <c r="I53" s="30"/>
      <c r="J53" s="30"/>
      <c r="K53" s="35"/>
      <c r="L53" s="35"/>
      <c r="M53" s="29">
        <f>M52</f>
        <v>11</v>
      </c>
      <c r="N53" s="29">
        <f>N52</f>
        <v>53.05</v>
      </c>
      <c r="O53" s="29">
        <f>O52</f>
        <v>80</v>
      </c>
      <c r="P53" s="29">
        <f>SUM(K53:O53)</f>
        <v>144.05</v>
      </c>
      <c r="Q53" s="85">
        <v>216.1</v>
      </c>
      <c r="R53" s="96">
        <f t="shared" si="0"/>
        <v>-72.04999999999998</v>
      </c>
      <c r="T53" s="96"/>
      <c r="U53" s="96"/>
    </row>
    <row r="54" spans="1:18" ht="15.75">
      <c r="A54" s="144"/>
      <c r="B54" s="92"/>
      <c r="C54" s="151"/>
      <c r="D54" s="30"/>
      <c r="E54" s="30"/>
      <c r="F54" s="30"/>
      <c r="G54" s="30"/>
      <c r="H54" s="30"/>
      <c r="I54" s="30"/>
      <c r="J54" s="30"/>
      <c r="K54" s="30"/>
      <c r="L54" s="30"/>
      <c r="M54" s="29"/>
      <c r="N54" s="29"/>
      <c r="O54" s="29"/>
      <c r="P54" s="29"/>
      <c r="R54" s="96">
        <f t="shared" si="0"/>
        <v>0</v>
      </c>
    </row>
    <row r="55" spans="1:18" ht="15.75">
      <c r="A55" s="145"/>
      <c r="B55" s="92"/>
      <c r="C55" s="1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9"/>
      <c r="R55" s="96">
        <f t="shared" si="0"/>
        <v>0</v>
      </c>
    </row>
    <row r="56" spans="1:19" ht="31.5">
      <c r="A56" s="143" t="s">
        <v>52</v>
      </c>
      <c r="B56" s="52" t="s">
        <v>65</v>
      </c>
      <c r="C56" s="149" t="s">
        <v>26</v>
      </c>
      <c r="D56" s="29">
        <f>D57+D58+2.2</f>
        <v>56.5</v>
      </c>
      <c r="E56" s="29">
        <f>E57+E58+2.7</f>
        <v>71.3</v>
      </c>
      <c r="F56" s="29">
        <f>F57+F58+1.5</f>
        <v>60.6</v>
      </c>
      <c r="G56" s="29">
        <f>G57+G58+0.5</f>
        <v>29.7</v>
      </c>
      <c r="H56" s="29"/>
      <c r="I56" s="29"/>
      <c r="J56" s="29"/>
      <c r="K56" s="29"/>
      <c r="L56" s="29"/>
      <c r="M56" s="29">
        <f>M57+M58+0.2</f>
        <v>15.6</v>
      </c>
      <c r="N56" s="29">
        <f>N57+N58+0.2</f>
        <v>48.300000000000004</v>
      </c>
      <c r="O56" s="29">
        <f>O57+O58+1.2</f>
        <v>66.7</v>
      </c>
      <c r="P56" s="29">
        <f aca="true" t="shared" si="12" ref="P56:P61">SUM(D56:O56)</f>
        <v>348.7</v>
      </c>
      <c r="Q56" s="85">
        <v>320</v>
      </c>
      <c r="R56" s="96">
        <f t="shared" si="0"/>
        <v>28.69999999999999</v>
      </c>
      <c r="S56" s="96"/>
    </row>
    <row r="57" spans="1:18" ht="15.75">
      <c r="A57" s="144"/>
      <c r="B57" s="92" t="s">
        <v>78</v>
      </c>
      <c r="C57" s="150"/>
      <c r="D57" s="29">
        <v>42</v>
      </c>
      <c r="E57" s="29">
        <v>53.1</v>
      </c>
      <c r="F57" s="29">
        <v>45</v>
      </c>
      <c r="G57" s="29">
        <v>23</v>
      </c>
      <c r="H57" s="29"/>
      <c r="I57" s="29"/>
      <c r="J57" s="29"/>
      <c r="K57" s="29"/>
      <c r="L57" s="29"/>
      <c r="M57" s="29">
        <v>12.5</v>
      </c>
      <c r="N57" s="29">
        <v>39</v>
      </c>
      <c r="O57" s="29">
        <v>54.4</v>
      </c>
      <c r="P57" s="29">
        <f t="shared" si="12"/>
        <v>269</v>
      </c>
      <c r="Q57" s="122">
        <v>200</v>
      </c>
      <c r="R57" s="123">
        <f t="shared" si="0"/>
        <v>69</v>
      </c>
    </row>
    <row r="58" spans="1:18" ht="15.75">
      <c r="A58" s="145"/>
      <c r="B58" s="92" t="s">
        <v>23</v>
      </c>
      <c r="C58" s="151"/>
      <c r="D58" s="29">
        <v>12.3</v>
      </c>
      <c r="E58" s="29">
        <v>15.5</v>
      </c>
      <c r="F58" s="29">
        <v>14.1</v>
      </c>
      <c r="G58" s="29">
        <v>6.2</v>
      </c>
      <c r="H58" s="29"/>
      <c r="I58" s="29"/>
      <c r="J58" s="29"/>
      <c r="K58" s="29"/>
      <c r="L58" s="29"/>
      <c r="M58" s="29">
        <v>2.9</v>
      </c>
      <c r="N58" s="29">
        <v>9.1</v>
      </c>
      <c r="O58" s="29">
        <v>11.1</v>
      </c>
      <c r="P58" s="29">
        <f t="shared" si="12"/>
        <v>71.2</v>
      </c>
      <c r="Q58" s="85">
        <v>90</v>
      </c>
      <c r="R58" s="96">
        <f t="shared" si="0"/>
        <v>-18.799999999999997</v>
      </c>
    </row>
    <row r="59" spans="1:18" ht="33" customHeight="1">
      <c r="A59" s="28" t="s">
        <v>53</v>
      </c>
      <c r="B59" s="92" t="s">
        <v>35</v>
      </c>
      <c r="C59" s="149" t="s">
        <v>85</v>
      </c>
      <c r="D59" s="30">
        <v>1</v>
      </c>
      <c r="E59" s="30">
        <v>1</v>
      </c>
      <c r="F59" s="30">
        <v>1</v>
      </c>
      <c r="G59" s="30">
        <v>0.2</v>
      </c>
      <c r="H59" s="43"/>
      <c r="I59" s="43"/>
      <c r="J59" s="43"/>
      <c r="K59" s="43"/>
      <c r="L59" s="43"/>
      <c r="M59" s="30">
        <v>0.3</v>
      </c>
      <c r="N59" s="30">
        <v>1</v>
      </c>
      <c r="O59" s="30">
        <v>1.5</v>
      </c>
      <c r="P59" s="30">
        <f t="shared" si="12"/>
        <v>6</v>
      </c>
      <c r="Q59" s="134">
        <v>6</v>
      </c>
      <c r="R59" s="96">
        <f t="shared" si="0"/>
        <v>0</v>
      </c>
    </row>
    <row r="60" spans="1:18" ht="21" customHeight="1">
      <c r="A60" s="75" t="s">
        <v>66</v>
      </c>
      <c r="B60" s="92" t="s">
        <v>33</v>
      </c>
      <c r="C60" s="150"/>
      <c r="D60" s="30">
        <v>1</v>
      </c>
      <c r="E60" s="30">
        <v>1</v>
      </c>
      <c r="F60" s="30">
        <v>2</v>
      </c>
      <c r="G60" s="30">
        <v>0.5</v>
      </c>
      <c r="H60" s="29"/>
      <c r="I60" s="43"/>
      <c r="J60" s="43"/>
      <c r="K60" s="43"/>
      <c r="L60" s="43"/>
      <c r="M60" s="30">
        <v>0.1</v>
      </c>
      <c r="N60" s="30">
        <v>0.2</v>
      </c>
      <c r="O60" s="30">
        <v>2.18</v>
      </c>
      <c r="P60" s="30">
        <f t="shared" si="12"/>
        <v>6.98</v>
      </c>
      <c r="Q60" s="134">
        <v>5.73</v>
      </c>
      <c r="R60" s="123">
        <f t="shared" si="0"/>
        <v>1.25</v>
      </c>
    </row>
    <row r="61" spans="1:18" ht="36.75" customHeight="1">
      <c r="A61" s="75" t="s">
        <v>71</v>
      </c>
      <c r="B61" s="92" t="s">
        <v>54</v>
      </c>
      <c r="C61" s="151"/>
      <c r="D61" s="30">
        <v>2</v>
      </c>
      <c r="E61" s="30">
        <v>1.5</v>
      </c>
      <c r="F61" s="30">
        <v>1.5</v>
      </c>
      <c r="G61" s="30">
        <v>1</v>
      </c>
      <c r="H61" s="43"/>
      <c r="I61" s="43"/>
      <c r="J61" s="43"/>
      <c r="K61" s="43"/>
      <c r="L61" s="43"/>
      <c r="M61" s="30">
        <v>1</v>
      </c>
      <c r="N61" s="30">
        <v>2.37</v>
      </c>
      <c r="O61" s="30">
        <v>4.5</v>
      </c>
      <c r="P61" s="30">
        <f t="shared" si="12"/>
        <v>13.870000000000001</v>
      </c>
      <c r="Q61" s="134">
        <v>11.870000000000001</v>
      </c>
      <c r="R61" s="123">
        <f t="shared" si="0"/>
        <v>2</v>
      </c>
    </row>
    <row r="62" spans="1:18" ht="15.75">
      <c r="A62" s="143"/>
      <c r="B62" s="135" t="s">
        <v>34</v>
      </c>
      <c r="C62" s="100" t="s">
        <v>27</v>
      </c>
      <c r="D62" s="36">
        <f>D25+D32+D49+D56+D59+D60+D61+D37+D43+D52</f>
        <v>2181.3</v>
      </c>
      <c r="E62" s="36">
        <f aca="true" t="shared" si="13" ref="E62:P62">E25+E32+E49+E56+E59+E60+E61+E37+E43+E52</f>
        <v>1939.7</v>
      </c>
      <c r="F62" s="36">
        <f t="shared" si="13"/>
        <v>1944.1999999999998</v>
      </c>
      <c r="G62" s="36">
        <f t="shared" si="13"/>
        <v>1245.1</v>
      </c>
      <c r="H62" s="36">
        <f t="shared" si="13"/>
        <v>83.3</v>
      </c>
      <c r="I62" s="36">
        <f t="shared" si="13"/>
        <v>21.9</v>
      </c>
      <c r="J62" s="36">
        <f t="shared" si="13"/>
        <v>37.4</v>
      </c>
      <c r="K62" s="36">
        <f t="shared" si="13"/>
        <v>25.5</v>
      </c>
      <c r="L62" s="36">
        <f t="shared" si="13"/>
        <v>33.2</v>
      </c>
      <c r="M62" s="36">
        <f t="shared" si="13"/>
        <v>471.40000000000003</v>
      </c>
      <c r="N62" s="36">
        <f t="shared" si="13"/>
        <v>1176.7199999999998</v>
      </c>
      <c r="O62" s="36">
        <f t="shared" si="13"/>
        <v>2060.78</v>
      </c>
      <c r="P62" s="36">
        <f t="shared" si="13"/>
        <v>11220.5</v>
      </c>
      <c r="Q62" s="85">
        <v>11726.7</v>
      </c>
      <c r="R62" s="96">
        <f t="shared" si="0"/>
        <v>-506.2000000000007</v>
      </c>
    </row>
    <row r="63" spans="1:18" ht="15.75">
      <c r="A63" s="144"/>
      <c r="B63" s="100" t="s">
        <v>79</v>
      </c>
      <c r="C63" s="100"/>
      <c r="D63" s="36">
        <f>D64+D65</f>
        <v>2020.4</v>
      </c>
      <c r="E63" s="36">
        <f aca="true" t="shared" si="14" ref="E63:P63">E64+E65</f>
        <v>1785.1</v>
      </c>
      <c r="F63" s="36">
        <f t="shared" si="14"/>
        <v>1811.6000000000001</v>
      </c>
      <c r="G63" s="36">
        <f t="shared" si="14"/>
        <v>1161.7</v>
      </c>
      <c r="H63" s="36">
        <f t="shared" si="14"/>
        <v>79</v>
      </c>
      <c r="I63" s="36">
        <f t="shared" si="14"/>
        <v>21.9</v>
      </c>
      <c r="J63" s="36">
        <f t="shared" si="14"/>
        <v>37.4</v>
      </c>
      <c r="K63" s="36">
        <f t="shared" si="14"/>
        <v>25.5</v>
      </c>
      <c r="L63" s="36">
        <f t="shared" si="14"/>
        <v>32.3</v>
      </c>
      <c r="M63" s="36">
        <f t="shared" si="14"/>
        <v>412.70000000000005</v>
      </c>
      <c r="N63" s="36">
        <f t="shared" si="14"/>
        <v>1087.52</v>
      </c>
      <c r="O63" s="36">
        <f t="shared" si="14"/>
        <v>1961.2800000000002</v>
      </c>
      <c r="P63" s="36">
        <f t="shared" si="14"/>
        <v>10436.4</v>
      </c>
      <c r="Q63" s="85">
        <v>10610.130000000001</v>
      </c>
      <c r="R63" s="96">
        <f t="shared" si="0"/>
        <v>-173.73000000000138</v>
      </c>
    </row>
    <row r="64" spans="1:18" ht="19.5" customHeight="1">
      <c r="A64" s="144"/>
      <c r="B64" s="136"/>
      <c r="C64" s="100" t="s">
        <v>26</v>
      </c>
      <c r="D64" s="36">
        <f>D27+D34+D50+D57+D61+D60+D39+D45+D53</f>
        <v>1703.5</v>
      </c>
      <c r="E64" s="36">
        <f aca="true" t="shared" si="15" ref="E64:P64">E27+E34+E50+E57+E61+E60+E39+E45+E53</f>
        <v>1391.3</v>
      </c>
      <c r="F64" s="36">
        <f t="shared" si="15"/>
        <v>1452.6000000000001</v>
      </c>
      <c r="G64" s="36">
        <f t="shared" si="15"/>
        <v>945.7</v>
      </c>
      <c r="H64" s="36">
        <f t="shared" si="15"/>
        <v>79</v>
      </c>
      <c r="I64" s="36">
        <f t="shared" si="15"/>
        <v>21.9</v>
      </c>
      <c r="J64" s="36">
        <f t="shared" si="15"/>
        <v>37.4</v>
      </c>
      <c r="K64" s="36">
        <f t="shared" si="15"/>
        <v>25.5</v>
      </c>
      <c r="L64" s="36">
        <f t="shared" si="15"/>
        <v>32.3</v>
      </c>
      <c r="M64" s="36">
        <f t="shared" si="15"/>
        <v>374.6</v>
      </c>
      <c r="N64" s="36">
        <f t="shared" si="15"/>
        <v>916.42</v>
      </c>
      <c r="O64" s="36">
        <f t="shared" si="15"/>
        <v>1510.7800000000002</v>
      </c>
      <c r="P64" s="36">
        <f t="shared" si="15"/>
        <v>8491</v>
      </c>
      <c r="Q64" s="47">
        <v>8530.500000000002</v>
      </c>
      <c r="R64" s="96">
        <f t="shared" si="0"/>
        <v>-39.50000000000182</v>
      </c>
    </row>
    <row r="65" spans="1:18" ht="33.75" customHeight="1">
      <c r="A65" s="145"/>
      <c r="B65" s="136"/>
      <c r="C65" s="100" t="s">
        <v>83</v>
      </c>
      <c r="D65" s="36">
        <f>D28+D35+D59+D41+D47</f>
        <v>316.90000000000003</v>
      </c>
      <c r="E65" s="36">
        <f aca="true" t="shared" si="16" ref="E65:P65">E28+E35+E59+E41+E47</f>
        <v>393.8</v>
      </c>
      <c r="F65" s="36">
        <f t="shared" si="16"/>
        <v>359</v>
      </c>
      <c r="G65" s="36">
        <f t="shared" si="16"/>
        <v>216</v>
      </c>
      <c r="H65" s="36">
        <f t="shared" si="16"/>
        <v>0</v>
      </c>
      <c r="I65" s="36">
        <f t="shared" si="16"/>
        <v>0</v>
      </c>
      <c r="J65" s="36">
        <f t="shared" si="16"/>
        <v>0</v>
      </c>
      <c r="K65" s="36">
        <f t="shared" si="16"/>
        <v>0</v>
      </c>
      <c r="L65" s="36">
        <f t="shared" si="16"/>
        <v>0</v>
      </c>
      <c r="M65" s="36">
        <f t="shared" si="16"/>
        <v>38.099999999999994</v>
      </c>
      <c r="N65" s="36">
        <f t="shared" si="16"/>
        <v>171.1</v>
      </c>
      <c r="O65" s="36">
        <f t="shared" si="16"/>
        <v>450.5</v>
      </c>
      <c r="P65" s="36">
        <f t="shared" si="16"/>
        <v>1945.4</v>
      </c>
      <c r="Q65" s="47">
        <v>2079.63</v>
      </c>
      <c r="R65" s="96">
        <f t="shared" si="0"/>
        <v>-134.23000000000002</v>
      </c>
    </row>
    <row r="66" spans="1:18" ht="15.75">
      <c r="A66" s="137"/>
      <c r="B66" s="138" t="s">
        <v>47</v>
      </c>
      <c r="C66" s="138"/>
      <c r="D66" s="36">
        <f>D29+D36+D51+D58+D42</f>
        <v>59.8</v>
      </c>
      <c r="E66" s="36">
        <f aca="true" t="shared" si="17" ref="E66:P66">E29+E36+E51+E58+E42</f>
        <v>59.6</v>
      </c>
      <c r="F66" s="36">
        <f t="shared" si="17"/>
        <v>44.5</v>
      </c>
      <c r="G66" s="36">
        <f t="shared" si="17"/>
        <v>23.5</v>
      </c>
      <c r="H66" s="36">
        <f t="shared" si="17"/>
        <v>4.5</v>
      </c>
      <c r="I66" s="36">
        <f t="shared" si="17"/>
        <v>0</v>
      </c>
      <c r="J66" s="36">
        <f t="shared" si="17"/>
        <v>0</v>
      </c>
      <c r="K66" s="36">
        <f t="shared" si="17"/>
        <v>0</v>
      </c>
      <c r="L66" s="36">
        <f t="shared" si="17"/>
        <v>0.3</v>
      </c>
      <c r="M66" s="36">
        <f t="shared" si="17"/>
        <v>9</v>
      </c>
      <c r="N66" s="36">
        <f t="shared" si="17"/>
        <v>22.8</v>
      </c>
      <c r="O66" s="36">
        <f t="shared" si="17"/>
        <v>25.8</v>
      </c>
      <c r="P66" s="36">
        <f t="shared" si="17"/>
        <v>249.8</v>
      </c>
      <c r="Q66" s="85">
        <v>277</v>
      </c>
      <c r="R66" s="96">
        <f t="shared" si="0"/>
        <v>-27.19999999999999</v>
      </c>
    </row>
    <row r="67" spans="1:16" ht="15.75">
      <c r="A67" s="84"/>
      <c r="B67" s="82"/>
      <c r="C67" s="82"/>
      <c r="D67" s="139"/>
      <c r="E67" s="82"/>
      <c r="F67" s="82"/>
      <c r="G67" s="82"/>
      <c r="H67" s="140"/>
      <c r="I67" s="82"/>
      <c r="J67" s="82"/>
      <c r="K67" s="82"/>
      <c r="L67" s="82"/>
      <c r="M67" s="82"/>
      <c r="N67" s="82"/>
      <c r="O67" s="82"/>
      <c r="P67" s="82"/>
    </row>
    <row r="68" spans="1:17" ht="15.75">
      <c r="A68" s="84"/>
      <c r="B68" s="82"/>
      <c r="C68" s="82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41"/>
    </row>
    <row r="69" spans="1:16" ht="15.75">
      <c r="A69" s="82"/>
      <c r="B69" s="82"/>
      <c r="C69" s="82"/>
      <c r="D69" s="139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ht="15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ht="18.75">
      <c r="A71" s="82"/>
      <c r="B71" s="83" t="s">
        <v>89</v>
      </c>
      <c r="C71" s="83"/>
      <c r="D71" s="64"/>
      <c r="E71" s="64"/>
      <c r="F71" s="64"/>
      <c r="G71" s="64"/>
      <c r="H71" s="64"/>
      <c r="I71" s="64"/>
      <c r="J71" s="64"/>
      <c r="K71" s="64"/>
      <c r="L71" s="64"/>
      <c r="M71" s="64" t="s">
        <v>106</v>
      </c>
      <c r="N71" s="64"/>
      <c r="O71" s="64"/>
      <c r="P71" s="84"/>
    </row>
  </sheetData>
  <sheetProtection/>
  <mergeCells count="20">
    <mergeCell ref="C56:C58"/>
    <mergeCell ref="C52:C54"/>
    <mergeCell ref="C11:C13"/>
    <mergeCell ref="A32:A36"/>
    <mergeCell ref="A62:A65"/>
    <mergeCell ref="A56:A58"/>
    <mergeCell ref="A18:A19"/>
    <mergeCell ref="A49:A51"/>
    <mergeCell ref="A43:A48"/>
    <mergeCell ref="A52:A55"/>
    <mergeCell ref="L4:AA4"/>
    <mergeCell ref="B5:P5"/>
    <mergeCell ref="A15:A17"/>
    <mergeCell ref="M30:P30"/>
    <mergeCell ref="A8:A10"/>
    <mergeCell ref="C59:C61"/>
    <mergeCell ref="C8:C10"/>
    <mergeCell ref="C15:C17"/>
    <mergeCell ref="C18:C20"/>
    <mergeCell ref="C49:C51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9" r:id="rId1"/>
  <rowBreaks count="2" manualBreakCount="2">
    <brk id="29" max="17" man="1"/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view="pageBreakPreview" zoomScale="75" zoomScaleNormal="75" zoomScaleSheetLayoutView="75" zoomScalePageLayoutView="0" workbookViewId="0" topLeftCell="B1">
      <pane ySplit="7" topLeftCell="A65" activePane="bottomLeft" state="frozen"/>
      <selection pane="topLeft" activeCell="B1" sqref="B1"/>
      <selection pane="bottomLeft" activeCell="B4" sqref="B4:Q4"/>
    </sheetView>
  </sheetViews>
  <sheetFormatPr defaultColWidth="9.140625" defaultRowHeight="12.75"/>
  <cols>
    <col min="1" max="1" width="5.140625" style="54" customWidth="1"/>
    <col min="2" max="2" width="9.140625" style="54" customWidth="1"/>
    <col min="3" max="3" width="32.00390625" style="54" customWidth="1"/>
    <col min="4" max="4" width="25.140625" style="54" customWidth="1"/>
    <col min="5" max="5" width="9.57421875" style="54" customWidth="1"/>
    <col min="6" max="6" width="8.7109375" style="54" customWidth="1"/>
    <col min="7" max="7" width="9.7109375" style="54" customWidth="1"/>
    <col min="8" max="8" width="8.7109375" style="54" customWidth="1"/>
    <col min="9" max="9" width="9.00390625" style="54" customWidth="1"/>
    <col min="10" max="10" width="8.8515625" style="54" customWidth="1"/>
    <col min="11" max="11" width="8.57421875" style="54" customWidth="1"/>
    <col min="12" max="12" width="9.28125" style="54" bestFit="1" customWidth="1"/>
    <col min="13" max="13" width="9.7109375" style="54" customWidth="1"/>
    <col min="14" max="14" width="9.57421875" style="54" customWidth="1"/>
    <col min="15" max="15" width="10.8515625" style="54" customWidth="1"/>
    <col min="16" max="16" width="9.8515625" style="54" bestFit="1" customWidth="1"/>
    <col min="17" max="17" width="10.28125" style="54" customWidth="1"/>
    <col min="18" max="18" width="11.00390625" style="85" hidden="1" customWidth="1"/>
    <col min="19" max="19" width="9.28125" style="54" hidden="1" customWidth="1"/>
    <col min="20" max="16384" width="9.140625" style="54" customWidth="1"/>
  </cols>
  <sheetData>
    <row r="1" spans="12:17" ht="18.75">
      <c r="L1" s="55"/>
      <c r="M1" s="56" t="s">
        <v>37</v>
      </c>
      <c r="N1" s="56"/>
      <c r="O1" s="56"/>
      <c r="P1" s="55"/>
      <c r="Q1" s="55"/>
    </row>
    <row r="2" spans="1:17" ht="18.75">
      <c r="A2" s="86"/>
      <c r="B2" s="87"/>
      <c r="C2" s="87"/>
      <c r="D2" s="87"/>
      <c r="E2" s="88"/>
      <c r="F2" s="88"/>
      <c r="G2" s="88"/>
      <c r="H2" s="88"/>
      <c r="I2" s="88"/>
      <c r="K2" s="89"/>
      <c r="L2" s="60" t="s">
        <v>1</v>
      </c>
      <c r="M2" s="60"/>
      <c r="N2" s="60"/>
      <c r="O2" s="60"/>
      <c r="P2" s="55"/>
      <c r="Q2" s="55"/>
    </row>
    <row r="3" spans="1:17" ht="18.75">
      <c r="A3" s="86"/>
      <c r="B3" s="87"/>
      <c r="C3" s="87"/>
      <c r="D3" s="87"/>
      <c r="E3" s="88"/>
      <c r="F3" s="88"/>
      <c r="G3" s="88"/>
      <c r="H3" s="88"/>
      <c r="I3" s="88"/>
      <c r="K3" s="89"/>
      <c r="L3" s="56" t="s">
        <v>107</v>
      </c>
      <c r="M3" s="56"/>
      <c r="N3" s="56"/>
      <c r="O3" s="60"/>
      <c r="P3" s="61"/>
      <c r="Q3" s="55"/>
    </row>
    <row r="4" spans="1:17" ht="18.75">
      <c r="A4" s="62"/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8.75">
      <c r="A5" s="62"/>
      <c r="B5" s="142" t="s">
        <v>92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6" ht="18.75">
      <c r="A6" s="62"/>
      <c r="B6" s="5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6" t="s">
        <v>38</v>
      </c>
    </row>
    <row r="7" spans="1:17" ht="15.75">
      <c r="A7" s="67" t="s">
        <v>51</v>
      </c>
      <c r="B7" s="153" t="s">
        <v>39</v>
      </c>
      <c r="C7" s="154"/>
      <c r="D7" s="90" t="s">
        <v>57</v>
      </c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8" t="s">
        <v>17</v>
      </c>
      <c r="Q7" s="48" t="s">
        <v>90</v>
      </c>
    </row>
    <row r="8" spans="1:17" ht="15.75">
      <c r="A8" s="91"/>
      <c r="B8" s="153" t="s">
        <v>40</v>
      </c>
      <c r="C8" s="154"/>
      <c r="D8" s="9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48"/>
    </row>
    <row r="9" spans="1:19" ht="16.5" customHeight="1">
      <c r="A9" s="143" t="s">
        <v>18</v>
      </c>
      <c r="B9" s="153" t="s">
        <v>60</v>
      </c>
      <c r="C9" s="154"/>
      <c r="D9" s="90" t="s">
        <v>58</v>
      </c>
      <c r="E9" s="29">
        <f>E12+E15</f>
        <v>1413</v>
      </c>
      <c r="F9" s="29">
        <f aca="true" t="shared" si="0" ref="E9:J10">F12+F15</f>
        <v>1839</v>
      </c>
      <c r="G9" s="29">
        <f t="shared" si="0"/>
        <v>1431</v>
      </c>
      <c r="H9" s="29">
        <f t="shared" si="0"/>
        <v>1949</v>
      </c>
      <c r="I9" s="29">
        <f t="shared" si="0"/>
        <v>1389</v>
      </c>
      <c r="J9" s="29">
        <f t="shared" si="0"/>
        <v>1369</v>
      </c>
      <c r="K9" s="29">
        <v>1660</v>
      </c>
      <c r="L9" s="29">
        <v>1710</v>
      </c>
      <c r="M9" s="29">
        <v>1660</v>
      </c>
      <c r="N9" s="29">
        <v>1760</v>
      </c>
      <c r="O9" s="29">
        <v>1860</v>
      </c>
      <c r="P9" s="29">
        <v>1960</v>
      </c>
      <c r="Q9" s="49">
        <f>SUM(P9+O9+N9+M9+L9+K9+J9+I9+H9+G9+F9+E9)</f>
        <v>20000</v>
      </c>
      <c r="R9" s="85">
        <v>21907</v>
      </c>
      <c r="S9" s="54">
        <f aca="true" t="shared" si="1" ref="S9:S72">Q9-R9</f>
        <v>-1907</v>
      </c>
    </row>
    <row r="10" spans="1:19" ht="15.75">
      <c r="A10" s="144"/>
      <c r="B10" s="153" t="s">
        <v>59</v>
      </c>
      <c r="C10" s="154"/>
      <c r="D10" s="90"/>
      <c r="E10" s="29">
        <f t="shared" si="0"/>
        <v>1297</v>
      </c>
      <c r="F10" s="29">
        <f t="shared" si="0"/>
        <v>1700</v>
      </c>
      <c r="G10" s="29">
        <f t="shared" si="0"/>
        <v>1290</v>
      </c>
      <c r="H10" s="29">
        <f t="shared" si="0"/>
        <v>1810</v>
      </c>
      <c r="I10" s="29">
        <f t="shared" si="0"/>
        <v>1270</v>
      </c>
      <c r="J10" s="29">
        <f t="shared" si="0"/>
        <v>1156</v>
      </c>
      <c r="K10" s="29">
        <v>1278</v>
      </c>
      <c r="L10" s="29">
        <v>1320</v>
      </c>
      <c r="M10" s="29">
        <v>1274</v>
      </c>
      <c r="N10" s="29">
        <v>1371</v>
      </c>
      <c r="O10" s="29">
        <v>1474</v>
      </c>
      <c r="P10" s="29">
        <v>1573</v>
      </c>
      <c r="Q10" s="29">
        <f>Q13+Q16</f>
        <v>15945</v>
      </c>
      <c r="R10" s="85">
        <v>18240</v>
      </c>
      <c r="S10" s="54">
        <f t="shared" si="1"/>
        <v>-2295</v>
      </c>
    </row>
    <row r="11" spans="1:19" ht="15.75">
      <c r="A11" s="144"/>
      <c r="B11" s="153" t="s">
        <v>23</v>
      </c>
      <c r="C11" s="154"/>
      <c r="D11" s="90"/>
      <c r="E11" s="29">
        <f>E14+E17</f>
        <v>0</v>
      </c>
      <c r="F11" s="29">
        <f aca="true" t="shared" si="2" ref="F11:P11">F14+F17</f>
        <v>5</v>
      </c>
      <c r="G11" s="29">
        <f t="shared" si="2"/>
        <v>0</v>
      </c>
      <c r="H11" s="29">
        <f t="shared" si="2"/>
        <v>1</v>
      </c>
      <c r="I11" s="29">
        <f t="shared" si="2"/>
        <v>2</v>
      </c>
      <c r="J11" s="29">
        <f t="shared" si="2"/>
        <v>2</v>
      </c>
      <c r="K11" s="29">
        <f t="shared" si="2"/>
        <v>1</v>
      </c>
      <c r="L11" s="29">
        <f t="shared" si="2"/>
        <v>9</v>
      </c>
      <c r="M11" s="29">
        <f t="shared" si="2"/>
        <v>3</v>
      </c>
      <c r="N11" s="29">
        <f t="shared" si="2"/>
        <v>7</v>
      </c>
      <c r="O11" s="29">
        <f t="shared" si="2"/>
        <v>5</v>
      </c>
      <c r="P11" s="29">
        <f t="shared" si="2"/>
        <v>5</v>
      </c>
      <c r="Q11" s="48">
        <f>SUM(P11+O11+N11+M11+L11+K11+J11+I11+H11+G11+F11+E11)</f>
        <v>40</v>
      </c>
      <c r="R11" s="85">
        <v>197</v>
      </c>
      <c r="S11" s="54">
        <f t="shared" si="1"/>
        <v>-157</v>
      </c>
    </row>
    <row r="12" spans="1:19" ht="20.25" customHeight="1">
      <c r="A12" s="144"/>
      <c r="B12" s="153" t="s">
        <v>61</v>
      </c>
      <c r="C12" s="154"/>
      <c r="D12" s="90" t="s">
        <v>58</v>
      </c>
      <c r="E12" s="29">
        <f>E13+E14+71</f>
        <v>1318</v>
      </c>
      <c r="F12" s="29">
        <f>F13+F14+81</f>
        <v>1169</v>
      </c>
      <c r="G12" s="29">
        <f>G13+G14+86</f>
        <v>901</v>
      </c>
      <c r="H12" s="29">
        <f>H13+H14+85</f>
        <v>996</v>
      </c>
      <c r="I12" s="29">
        <f>I13+I14+72</f>
        <v>1018</v>
      </c>
      <c r="J12" s="29">
        <f>J13+J14+129</f>
        <v>1031</v>
      </c>
      <c r="K12" s="29">
        <f>K13+K14+78</f>
        <v>909</v>
      </c>
      <c r="L12" s="29">
        <f>L13+L14+79</f>
        <v>1014</v>
      </c>
      <c r="M12" s="29">
        <f>M13+M14+78</f>
        <v>945</v>
      </c>
      <c r="N12" s="29">
        <f>N13+N14+81</f>
        <v>877</v>
      </c>
      <c r="O12" s="29">
        <f>O13+O14+78</f>
        <v>851</v>
      </c>
      <c r="P12" s="29">
        <f>P13+P14+78</f>
        <v>811</v>
      </c>
      <c r="Q12" s="48">
        <f>SUM(P12+O12+N12+M12+L12+K12+J12+I12+H12+G12+F12+E12)</f>
        <v>11840</v>
      </c>
      <c r="R12" s="85">
        <v>14560</v>
      </c>
      <c r="S12" s="54">
        <f t="shared" si="1"/>
        <v>-2720</v>
      </c>
    </row>
    <row r="13" spans="1:19" ht="15.75">
      <c r="A13" s="144"/>
      <c r="B13" s="153" t="s">
        <v>59</v>
      </c>
      <c r="C13" s="154"/>
      <c r="D13" s="90"/>
      <c r="E13" s="29">
        <v>1247</v>
      </c>
      <c r="F13" s="29">
        <v>1085</v>
      </c>
      <c r="G13" s="29">
        <v>815</v>
      </c>
      <c r="H13" s="29">
        <v>910</v>
      </c>
      <c r="I13" s="29">
        <v>945</v>
      </c>
      <c r="J13" s="29">
        <v>901</v>
      </c>
      <c r="K13" s="29">
        <v>830</v>
      </c>
      <c r="L13" s="29">
        <v>930</v>
      </c>
      <c r="M13" s="29">
        <v>865</v>
      </c>
      <c r="N13" s="29">
        <v>792</v>
      </c>
      <c r="O13" s="29">
        <v>770</v>
      </c>
      <c r="P13" s="29">
        <v>730</v>
      </c>
      <c r="Q13" s="29">
        <f aca="true" t="shared" si="3" ref="Q13:Q18">SUM(E13:P13)</f>
        <v>10820</v>
      </c>
      <c r="R13" s="85">
        <v>11880</v>
      </c>
      <c r="S13" s="54">
        <f t="shared" si="1"/>
        <v>-1060</v>
      </c>
    </row>
    <row r="14" spans="1:19" ht="15.75">
      <c r="A14" s="144"/>
      <c r="B14" s="153" t="s">
        <v>23</v>
      </c>
      <c r="C14" s="154"/>
      <c r="D14" s="90"/>
      <c r="E14" s="29">
        <v>0</v>
      </c>
      <c r="F14" s="29">
        <v>3</v>
      </c>
      <c r="G14" s="29">
        <v>0</v>
      </c>
      <c r="H14" s="29">
        <v>1</v>
      </c>
      <c r="I14" s="29">
        <v>1</v>
      </c>
      <c r="J14" s="29">
        <v>1</v>
      </c>
      <c r="K14" s="29">
        <v>1</v>
      </c>
      <c r="L14" s="29">
        <v>5</v>
      </c>
      <c r="M14" s="29">
        <v>2</v>
      </c>
      <c r="N14" s="29">
        <v>4</v>
      </c>
      <c r="O14" s="29">
        <v>3</v>
      </c>
      <c r="P14" s="29">
        <v>3</v>
      </c>
      <c r="Q14" s="29">
        <f t="shared" si="3"/>
        <v>24</v>
      </c>
      <c r="R14" s="85">
        <v>125</v>
      </c>
      <c r="S14" s="54">
        <f t="shared" si="1"/>
        <v>-101</v>
      </c>
    </row>
    <row r="15" spans="1:19" ht="15.75">
      <c r="A15" s="144"/>
      <c r="B15" s="153" t="s">
        <v>63</v>
      </c>
      <c r="C15" s="154"/>
      <c r="D15" s="92" t="s">
        <v>26</v>
      </c>
      <c r="E15" s="29">
        <f>E16+E17+45</f>
        <v>95</v>
      </c>
      <c r="F15" s="29">
        <f>F16+F17+53</f>
        <v>670</v>
      </c>
      <c r="G15" s="29">
        <f>G16+G17+55</f>
        <v>530</v>
      </c>
      <c r="H15" s="29">
        <f>H16+H17+53</f>
        <v>953</v>
      </c>
      <c r="I15" s="29">
        <f>I16+I17+45</f>
        <v>371</v>
      </c>
      <c r="J15" s="29">
        <f>J16+J17+82</f>
        <v>338</v>
      </c>
      <c r="K15" s="29">
        <f>K16+K17+50</f>
        <v>455</v>
      </c>
      <c r="L15" s="29">
        <f>L16+L17+50</f>
        <v>509</v>
      </c>
      <c r="M15" s="29">
        <f>M16+M17+52</f>
        <v>248</v>
      </c>
      <c r="N15" s="29">
        <f>N16+N17+48</f>
        <v>531</v>
      </c>
      <c r="O15" s="29">
        <f>O16+O17+49</f>
        <v>541</v>
      </c>
      <c r="P15" s="29">
        <f>P16+P17+72</f>
        <v>554</v>
      </c>
      <c r="Q15" s="49">
        <f t="shared" si="3"/>
        <v>5795</v>
      </c>
      <c r="R15" s="85">
        <v>7236</v>
      </c>
      <c r="S15" s="54">
        <f t="shared" si="1"/>
        <v>-1441</v>
      </c>
    </row>
    <row r="16" spans="1:19" ht="15.75">
      <c r="A16" s="144"/>
      <c r="B16" s="153" t="s">
        <v>59</v>
      </c>
      <c r="C16" s="154"/>
      <c r="D16" s="90"/>
      <c r="E16" s="29">
        <v>50</v>
      </c>
      <c r="F16" s="29">
        <v>615</v>
      </c>
      <c r="G16" s="29">
        <v>475</v>
      </c>
      <c r="H16" s="29">
        <v>900</v>
      </c>
      <c r="I16" s="29">
        <v>325</v>
      </c>
      <c r="J16" s="29">
        <v>255</v>
      </c>
      <c r="K16" s="29">
        <v>405</v>
      </c>
      <c r="L16" s="29">
        <v>455</v>
      </c>
      <c r="M16" s="29">
        <v>195</v>
      </c>
      <c r="N16" s="29">
        <v>480</v>
      </c>
      <c r="O16" s="29">
        <v>490</v>
      </c>
      <c r="P16" s="29">
        <v>480</v>
      </c>
      <c r="Q16" s="49">
        <f t="shared" si="3"/>
        <v>5125</v>
      </c>
      <c r="R16" s="93">
        <v>6360</v>
      </c>
      <c r="S16" s="54">
        <f t="shared" si="1"/>
        <v>-1235</v>
      </c>
    </row>
    <row r="17" spans="1:19" ht="15.75">
      <c r="A17" s="145"/>
      <c r="B17" s="153" t="s">
        <v>23</v>
      </c>
      <c r="C17" s="154"/>
      <c r="D17" s="90"/>
      <c r="E17" s="29">
        <v>0</v>
      </c>
      <c r="F17" s="29">
        <v>2</v>
      </c>
      <c r="G17" s="29">
        <v>0</v>
      </c>
      <c r="H17" s="29">
        <v>0</v>
      </c>
      <c r="I17" s="29">
        <v>1</v>
      </c>
      <c r="J17" s="29">
        <v>1</v>
      </c>
      <c r="K17" s="29">
        <v>0</v>
      </c>
      <c r="L17" s="29">
        <v>4</v>
      </c>
      <c r="M17" s="29">
        <v>1</v>
      </c>
      <c r="N17" s="29">
        <v>3</v>
      </c>
      <c r="O17" s="29">
        <v>2</v>
      </c>
      <c r="P17" s="29">
        <v>2</v>
      </c>
      <c r="Q17" s="49">
        <f t="shared" si="3"/>
        <v>16</v>
      </c>
      <c r="R17" s="85">
        <v>72</v>
      </c>
      <c r="S17" s="54">
        <f t="shared" si="1"/>
        <v>-56</v>
      </c>
    </row>
    <row r="18" spans="1:19" ht="16.5" customHeight="1">
      <c r="A18" s="143" t="s">
        <v>21</v>
      </c>
      <c r="B18" s="153" t="s">
        <v>42</v>
      </c>
      <c r="C18" s="154"/>
      <c r="D18" s="90" t="s">
        <v>58</v>
      </c>
      <c r="E18" s="28">
        <v>1264</v>
      </c>
      <c r="F18" s="28">
        <v>1264</v>
      </c>
      <c r="G18" s="28">
        <v>1164</v>
      </c>
      <c r="H18" s="28">
        <v>964</v>
      </c>
      <c r="I18" s="28">
        <v>1264</v>
      </c>
      <c r="J18" s="28">
        <v>1264</v>
      </c>
      <c r="K18" s="28">
        <v>964</v>
      </c>
      <c r="L18" s="28">
        <v>1164</v>
      </c>
      <c r="M18" s="28">
        <v>1064</v>
      </c>
      <c r="N18" s="28">
        <v>1164</v>
      </c>
      <c r="O18" s="28">
        <v>1064</v>
      </c>
      <c r="P18" s="28">
        <v>864</v>
      </c>
      <c r="Q18" s="48">
        <f t="shared" si="3"/>
        <v>13468</v>
      </c>
      <c r="R18" s="94">
        <v>13868</v>
      </c>
      <c r="S18" s="54">
        <f t="shared" si="1"/>
        <v>-400</v>
      </c>
    </row>
    <row r="19" spans="1:19" ht="15.75">
      <c r="A19" s="144"/>
      <c r="B19" s="153" t="s">
        <v>59</v>
      </c>
      <c r="C19" s="154"/>
      <c r="D19" s="90"/>
      <c r="E19" s="28">
        <v>1100</v>
      </c>
      <c r="F19" s="28">
        <v>1055</v>
      </c>
      <c r="G19" s="28">
        <v>975</v>
      </c>
      <c r="H19" s="28">
        <v>747</v>
      </c>
      <c r="I19" s="28">
        <v>1120</v>
      </c>
      <c r="J19" s="28">
        <v>1131</v>
      </c>
      <c r="K19" s="28">
        <v>820</v>
      </c>
      <c r="L19" s="28">
        <v>1011</v>
      </c>
      <c r="M19" s="28">
        <v>895</v>
      </c>
      <c r="N19" s="28">
        <v>950</v>
      </c>
      <c r="O19" s="28">
        <v>750</v>
      </c>
      <c r="P19" s="28">
        <v>640</v>
      </c>
      <c r="Q19" s="48">
        <f>SUM(P19+O19+N19+M19+L19+K19+J19+I19+H19+G19+F19+E19)</f>
        <v>11194</v>
      </c>
      <c r="R19" s="85">
        <v>11594</v>
      </c>
      <c r="S19" s="54">
        <f>Q19-R19</f>
        <v>-400</v>
      </c>
    </row>
    <row r="20" spans="1:19" ht="15.75">
      <c r="A20" s="145"/>
      <c r="B20" s="153" t="s">
        <v>23</v>
      </c>
      <c r="C20" s="154"/>
      <c r="D20" s="90"/>
      <c r="E20" s="28">
        <v>114</v>
      </c>
      <c r="F20" s="28">
        <v>114</v>
      </c>
      <c r="G20" s="28">
        <v>114</v>
      </c>
      <c r="H20" s="28">
        <v>114</v>
      </c>
      <c r="I20" s="28">
        <v>114</v>
      </c>
      <c r="J20" s="28">
        <v>114</v>
      </c>
      <c r="K20" s="28">
        <v>114</v>
      </c>
      <c r="L20" s="28">
        <v>114</v>
      </c>
      <c r="M20" s="28">
        <v>114</v>
      </c>
      <c r="N20" s="28">
        <v>114</v>
      </c>
      <c r="O20" s="28">
        <v>114</v>
      </c>
      <c r="P20" s="28">
        <v>114</v>
      </c>
      <c r="Q20" s="48">
        <f>SUM(E20:P20)</f>
        <v>1368</v>
      </c>
      <c r="R20" s="85">
        <v>1368</v>
      </c>
      <c r="S20" s="54">
        <f t="shared" si="1"/>
        <v>0</v>
      </c>
    </row>
    <row r="21" spans="1:19" ht="15.75">
      <c r="A21" s="143" t="s">
        <v>24</v>
      </c>
      <c r="B21" s="153" t="s">
        <v>43</v>
      </c>
      <c r="C21" s="154"/>
      <c r="D21" s="9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8"/>
      <c r="S21" s="54">
        <f t="shared" si="1"/>
        <v>0</v>
      </c>
    </row>
    <row r="22" spans="1:19" ht="15.75" customHeight="1">
      <c r="A22" s="144"/>
      <c r="B22" s="153" t="s">
        <v>67</v>
      </c>
      <c r="C22" s="154"/>
      <c r="D22" s="90" t="s">
        <v>58</v>
      </c>
      <c r="E22" s="29">
        <f>E25+E28</f>
        <v>3678</v>
      </c>
      <c r="F22" s="29">
        <f aca="true" t="shared" si="4" ref="F22:Q22">F25+F28</f>
        <v>2959</v>
      </c>
      <c r="G22" s="29">
        <f t="shared" si="4"/>
        <v>2760</v>
      </c>
      <c r="H22" s="29">
        <f t="shared" si="4"/>
        <v>3002</v>
      </c>
      <c r="I22" s="29">
        <f t="shared" si="4"/>
        <v>2480</v>
      </c>
      <c r="J22" s="29">
        <f t="shared" si="4"/>
        <v>2791.1</v>
      </c>
      <c r="K22" s="29">
        <f t="shared" si="4"/>
        <v>2727.1</v>
      </c>
      <c r="L22" s="29">
        <f t="shared" si="4"/>
        <v>2534</v>
      </c>
      <c r="M22" s="29">
        <f t="shared" si="4"/>
        <v>2590.1</v>
      </c>
      <c r="N22" s="29">
        <f t="shared" si="4"/>
        <v>2208</v>
      </c>
      <c r="O22" s="29">
        <f t="shared" si="4"/>
        <v>1563</v>
      </c>
      <c r="P22" s="29">
        <f t="shared" si="4"/>
        <v>1807.7</v>
      </c>
      <c r="Q22" s="29">
        <f t="shared" si="4"/>
        <v>31099.999999999996</v>
      </c>
      <c r="R22" s="85">
        <v>34163</v>
      </c>
      <c r="S22" s="54">
        <f t="shared" si="1"/>
        <v>-3063.0000000000036</v>
      </c>
    </row>
    <row r="23" spans="1:19" ht="15.75">
      <c r="A23" s="144"/>
      <c r="B23" s="153" t="s">
        <v>59</v>
      </c>
      <c r="C23" s="154"/>
      <c r="D23" s="90"/>
      <c r="E23" s="29">
        <f>E26+E28</f>
        <v>2754</v>
      </c>
      <c r="F23" s="29">
        <f aca="true" t="shared" si="5" ref="F23:Q23">F26+F28</f>
        <v>2038</v>
      </c>
      <c r="G23" s="29">
        <f t="shared" si="5"/>
        <v>1876</v>
      </c>
      <c r="H23" s="29">
        <f t="shared" si="5"/>
        <v>2062</v>
      </c>
      <c r="I23" s="29">
        <f t="shared" si="5"/>
        <v>1954</v>
      </c>
      <c r="J23" s="29">
        <f t="shared" si="5"/>
        <v>1896</v>
      </c>
      <c r="K23" s="29">
        <f t="shared" si="5"/>
        <v>1990</v>
      </c>
      <c r="L23" s="29">
        <f t="shared" si="5"/>
        <v>1840</v>
      </c>
      <c r="M23" s="29">
        <f t="shared" si="5"/>
        <v>1789</v>
      </c>
      <c r="N23" s="29">
        <f t="shared" si="5"/>
        <v>1492</v>
      </c>
      <c r="O23" s="29">
        <f t="shared" si="5"/>
        <v>775</v>
      </c>
      <c r="P23" s="29">
        <f t="shared" si="5"/>
        <v>892</v>
      </c>
      <c r="Q23" s="29">
        <f t="shared" si="5"/>
        <v>21358</v>
      </c>
      <c r="R23" s="85">
        <v>26889</v>
      </c>
      <c r="S23" s="54">
        <f t="shared" si="1"/>
        <v>-5531</v>
      </c>
    </row>
    <row r="24" spans="1:19" ht="15.75">
      <c r="A24" s="144"/>
      <c r="B24" s="153" t="s">
        <v>23</v>
      </c>
      <c r="C24" s="154"/>
      <c r="D24" s="90"/>
      <c r="E24" s="28">
        <f>E27</f>
        <v>0</v>
      </c>
      <c r="F24" s="28">
        <f aca="true" t="shared" si="6" ref="F24:P24">F27</f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12.1</v>
      </c>
      <c r="K24" s="28">
        <f t="shared" si="6"/>
        <v>10.1</v>
      </c>
      <c r="L24" s="28">
        <f t="shared" si="6"/>
        <v>0</v>
      </c>
      <c r="M24" s="28">
        <f t="shared" si="6"/>
        <v>25.1</v>
      </c>
      <c r="N24" s="28">
        <f t="shared" si="6"/>
        <v>0</v>
      </c>
      <c r="O24" s="28">
        <f t="shared" si="6"/>
        <v>0</v>
      </c>
      <c r="P24" s="28">
        <f t="shared" si="6"/>
        <v>105.7</v>
      </c>
      <c r="Q24" s="29">
        <f>SUM(E24:P24)</f>
        <v>153</v>
      </c>
      <c r="R24" s="85">
        <v>214</v>
      </c>
      <c r="S24" s="54">
        <f t="shared" si="1"/>
        <v>-61</v>
      </c>
    </row>
    <row r="25" spans="1:19" ht="21" customHeight="1">
      <c r="A25" s="144"/>
      <c r="B25" s="153" t="s">
        <v>61</v>
      </c>
      <c r="C25" s="154"/>
      <c r="D25" s="90" t="s">
        <v>58</v>
      </c>
      <c r="E25" s="43">
        <f>E26+E27+924</f>
        <v>3657</v>
      </c>
      <c r="F25" s="43">
        <f>F26+F27+921</f>
        <v>2939</v>
      </c>
      <c r="G25" s="43">
        <f>G26+G27+884</f>
        <v>2744</v>
      </c>
      <c r="H25" s="43">
        <f>H26+H27+940</f>
        <v>2982</v>
      </c>
      <c r="I25" s="43">
        <f>I26+I27+526</f>
        <v>2462</v>
      </c>
      <c r="J25" s="43">
        <f>J26+J27+883</f>
        <v>2773.1</v>
      </c>
      <c r="K25" s="43">
        <f>K26+K27+727</f>
        <v>2727.1</v>
      </c>
      <c r="L25" s="43">
        <f>L26+L27+694</f>
        <v>2534</v>
      </c>
      <c r="M25" s="43">
        <f>M26+M27+776</f>
        <v>2590.1</v>
      </c>
      <c r="N25" s="43">
        <f>N26+N27+716</f>
        <v>2208</v>
      </c>
      <c r="O25" s="43">
        <f>O26+O27+788</f>
        <v>1563</v>
      </c>
      <c r="P25" s="43">
        <f>P26+P27+810</f>
        <v>1807.7</v>
      </c>
      <c r="Q25" s="28">
        <f>SUM(E25:P25)</f>
        <v>30986.999999999996</v>
      </c>
      <c r="R25" s="85">
        <v>34038</v>
      </c>
      <c r="S25" s="54">
        <f t="shared" si="1"/>
        <v>-3051.0000000000036</v>
      </c>
    </row>
    <row r="26" spans="1:19" ht="15.75">
      <c r="A26" s="144"/>
      <c r="B26" s="153" t="s">
        <v>59</v>
      </c>
      <c r="C26" s="154"/>
      <c r="D26" s="90"/>
      <c r="E26" s="42">
        <v>2733</v>
      </c>
      <c r="F26" s="42">
        <v>2018</v>
      </c>
      <c r="G26" s="42">
        <v>1860</v>
      </c>
      <c r="H26" s="42">
        <v>2042</v>
      </c>
      <c r="I26" s="42">
        <v>1936</v>
      </c>
      <c r="J26" s="42">
        <v>1878</v>
      </c>
      <c r="K26" s="42">
        <v>1990</v>
      </c>
      <c r="L26" s="42">
        <v>1840</v>
      </c>
      <c r="M26" s="42">
        <v>1789</v>
      </c>
      <c r="N26" s="42">
        <v>1492</v>
      </c>
      <c r="O26" s="42">
        <v>775</v>
      </c>
      <c r="P26" s="42">
        <v>892</v>
      </c>
      <c r="Q26" s="29">
        <f>SUM(E26:P26)</f>
        <v>21245</v>
      </c>
      <c r="R26" s="85">
        <v>26764</v>
      </c>
      <c r="S26" s="54">
        <f t="shared" si="1"/>
        <v>-5519</v>
      </c>
    </row>
    <row r="27" spans="1:19" ht="15.75">
      <c r="A27" s="144"/>
      <c r="B27" s="153" t="s">
        <v>23</v>
      </c>
      <c r="C27" s="154"/>
      <c r="D27" s="90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12.1</v>
      </c>
      <c r="K27" s="28">
        <v>10.1</v>
      </c>
      <c r="L27" s="28">
        <v>0</v>
      </c>
      <c r="M27" s="28">
        <v>25.1</v>
      </c>
      <c r="N27" s="28">
        <v>0</v>
      </c>
      <c r="O27" s="28">
        <v>0</v>
      </c>
      <c r="P27" s="28">
        <v>105.7</v>
      </c>
      <c r="Q27" s="29">
        <f>SUM(E27:P27)</f>
        <v>153</v>
      </c>
      <c r="R27" s="85">
        <v>214</v>
      </c>
      <c r="S27" s="54">
        <f t="shared" si="1"/>
        <v>-61</v>
      </c>
    </row>
    <row r="28" spans="1:19" ht="15.75">
      <c r="A28" s="145"/>
      <c r="B28" s="153" t="s">
        <v>63</v>
      </c>
      <c r="C28" s="154"/>
      <c r="D28" s="92" t="s">
        <v>26</v>
      </c>
      <c r="E28" s="43">
        <v>21</v>
      </c>
      <c r="F28" s="43">
        <v>20</v>
      </c>
      <c r="G28" s="43">
        <v>16</v>
      </c>
      <c r="H28" s="43">
        <v>20</v>
      </c>
      <c r="I28" s="43">
        <v>18</v>
      </c>
      <c r="J28" s="43">
        <v>18</v>
      </c>
      <c r="K28" s="43">
        <v>0</v>
      </c>
      <c r="L28" s="43"/>
      <c r="M28" s="43"/>
      <c r="N28" s="43"/>
      <c r="O28" s="43"/>
      <c r="P28" s="43"/>
      <c r="Q28" s="49">
        <f>SUM(E28:P28)</f>
        <v>113</v>
      </c>
      <c r="R28" s="85">
        <v>125</v>
      </c>
      <c r="S28" s="54">
        <f t="shared" si="1"/>
        <v>-12</v>
      </c>
    </row>
    <row r="29" spans="1:19" ht="66" customHeight="1">
      <c r="A29" s="143" t="s">
        <v>28</v>
      </c>
      <c r="B29" s="155" t="s">
        <v>104</v>
      </c>
      <c r="C29" s="156"/>
      <c r="D29" s="95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9"/>
      <c r="S29" s="54">
        <f t="shared" si="1"/>
        <v>0</v>
      </c>
    </row>
    <row r="30" spans="1:21" ht="18" customHeight="1">
      <c r="A30" s="144"/>
      <c r="B30" s="153" t="s">
        <v>67</v>
      </c>
      <c r="C30" s="154"/>
      <c r="D30" s="90" t="s">
        <v>58</v>
      </c>
      <c r="E30" s="44">
        <f>E32+E34</f>
        <v>1706.5</v>
      </c>
      <c r="F30" s="44">
        <f aca="true" t="shared" si="7" ref="F30:P30">F32+F34</f>
        <v>2062</v>
      </c>
      <c r="G30" s="44">
        <f t="shared" si="7"/>
        <v>1857.9</v>
      </c>
      <c r="H30" s="44">
        <f t="shared" si="7"/>
        <v>1934</v>
      </c>
      <c r="I30" s="44">
        <f t="shared" si="7"/>
        <v>1650.5</v>
      </c>
      <c r="J30" s="44">
        <f t="shared" si="7"/>
        <v>898</v>
      </c>
      <c r="K30" s="44">
        <f t="shared" si="7"/>
        <v>1968.6</v>
      </c>
      <c r="L30" s="44">
        <f t="shared" si="7"/>
        <v>1376</v>
      </c>
      <c r="M30" s="44">
        <f t="shared" si="7"/>
        <v>1234</v>
      </c>
      <c r="N30" s="44">
        <f t="shared" si="7"/>
        <v>1635</v>
      </c>
      <c r="O30" s="44">
        <f t="shared" si="7"/>
        <v>1525.1</v>
      </c>
      <c r="P30" s="44">
        <f t="shared" si="7"/>
        <v>1753</v>
      </c>
      <c r="Q30" s="29">
        <f>SUM(E30:P30)</f>
        <v>19600.6</v>
      </c>
      <c r="R30" s="85">
        <v>23816</v>
      </c>
      <c r="S30" s="54">
        <f t="shared" si="1"/>
        <v>-4215.4000000000015</v>
      </c>
      <c r="U30" s="96"/>
    </row>
    <row r="31" spans="1:19" ht="17.25" customHeight="1">
      <c r="A31" s="144"/>
      <c r="B31" s="153" t="s">
        <v>59</v>
      </c>
      <c r="C31" s="154"/>
      <c r="D31" s="90"/>
      <c r="E31" s="29">
        <f>E33+E34</f>
        <v>1555.5</v>
      </c>
      <c r="F31" s="29">
        <f aca="true" t="shared" si="8" ref="F31:P31">F33+F34</f>
        <v>1887</v>
      </c>
      <c r="G31" s="29">
        <f t="shared" si="8"/>
        <v>1694.9</v>
      </c>
      <c r="H31" s="29">
        <f t="shared" si="8"/>
        <v>1765</v>
      </c>
      <c r="I31" s="29">
        <f t="shared" si="8"/>
        <v>1486.5</v>
      </c>
      <c r="J31" s="29">
        <f t="shared" si="8"/>
        <v>792</v>
      </c>
      <c r="K31" s="29">
        <f t="shared" si="8"/>
        <v>1862.3</v>
      </c>
      <c r="L31" s="29">
        <f t="shared" si="8"/>
        <v>1266</v>
      </c>
      <c r="M31" s="29">
        <f t="shared" si="8"/>
        <v>1116</v>
      </c>
      <c r="N31" s="29">
        <f t="shared" si="8"/>
        <v>1494</v>
      </c>
      <c r="O31" s="29">
        <f t="shared" si="8"/>
        <v>1375.1</v>
      </c>
      <c r="P31" s="29">
        <f t="shared" si="8"/>
        <v>1574</v>
      </c>
      <c r="Q31" s="29">
        <f>Q33+Q34</f>
        <v>17868.3</v>
      </c>
      <c r="R31" s="85">
        <v>21402</v>
      </c>
      <c r="S31" s="54">
        <f t="shared" si="1"/>
        <v>-3533.7000000000007</v>
      </c>
    </row>
    <row r="32" spans="1:21" ht="15" customHeight="1">
      <c r="A32" s="144"/>
      <c r="B32" s="153" t="s">
        <v>61</v>
      </c>
      <c r="C32" s="154"/>
      <c r="D32" s="90" t="s">
        <v>58</v>
      </c>
      <c r="E32" s="29">
        <f>114+E33+E34</f>
        <v>1669.5</v>
      </c>
      <c r="F32" s="29">
        <f>114+F33+F34</f>
        <v>2001</v>
      </c>
      <c r="G32" s="29">
        <f>106+G33+G34</f>
        <v>1800.9</v>
      </c>
      <c r="H32" s="29">
        <f>106+H33+H34</f>
        <v>1871</v>
      </c>
      <c r="I32" s="29">
        <f>114+I33+I34</f>
        <v>1600.5</v>
      </c>
      <c r="J32" s="29">
        <f>106+J33+J34</f>
        <v>898</v>
      </c>
      <c r="K32" s="29">
        <f>106+K33+K34</f>
        <v>1968.3</v>
      </c>
      <c r="L32" s="29">
        <f>110+L33+L34</f>
        <v>1376</v>
      </c>
      <c r="M32" s="29">
        <f>110+M33+M34</f>
        <v>1226</v>
      </c>
      <c r="N32" s="29">
        <f>110+N33+N34</f>
        <v>1604</v>
      </c>
      <c r="O32" s="29">
        <f>112+O33+O34</f>
        <v>1487.1</v>
      </c>
      <c r="P32" s="29">
        <f>112+P33+P34</f>
        <v>1686</v>
      </c>
      <c r="Q32" s="49">
        <f>SUM(E32:P32)</f>
        <v>19188.3</v>
      </c>
      <c r="R32" s="85">
        <v>22722</v>
      </c>
      <c r="S32" s="54">
        <f t="shared" si="1"/>
        <v>-3533.7000000000007</v>
      </c>
      <c r="T32" s="96"/>
      <c r="U32" s="96"/>
    </row>
    <row r="33" spans="1:19" ht="15" customHeight="1">
      <c r="A33" s="144"/>
      <c r="B33" s="153" t="s">
        <v>59</v>
      </c>
      <c r="C33" s="154"/>
      <c r="D33" s="90"/>
      <c r="E33" s="45">
        <v>1518.5</v>
      </c>
      <c r="F33" s="45">
        <v>1826</v>
      </c>
      <c r="G33" s="45">
        <v>1637.9</v>
      </c>
      <c r="H33" s="45">
        <v>1702</v>
      </c>
      <c r="I33" s="45">
        <v>1436.5</v>
      </c>
      <c r="J33" s="45">
        <v>792</v>
      </c>
      <c r="K33" s="45">
        <v>1862</v>
      </c>
      <c r="L33" s="45">
        <v>1266</v>
      </c>
      <c r="M33" s="45">
        <v>1108</v>
      </c>
      <c r="N33" s="45">
        <v>1463</v>
      </c>
      <c r="O33" s="45">
        <v>1337.1</v>
      </c>
      <c r="P33" s="45">
        <v>1507</v>
      </c>
      <c r="Q33" s="49">
        <f>SUM(E33:P33)</f>
        <v>17456</v>
      </c>
      <c r="R33" s="85">
        <v>20865</v>
      </c>
      <c r="S33" s="54">
        <f t="shared" si="1"/>
        <v>-3409</v>
      </c>
    </row>
    <row r="34" spans="1:19" ht="15.75">
      <c r="A34" s="97"/>
      <c r="B34" s="153" t="s">
        <v>63</v>
      </c>
      <c r="C34" s="154"/>
      <c r="D34" s="92" t="s">
        <v>26</v>
      </c>
      <c r="E34" s="46">
        <v>37</v>
      </c>
      <c r="F34" s="46">
        <v>61</v>
      </c>
      <c r="G34" s="46">
        <v>57</v>
      </c>
      <c r="H34" s="46">
        <v>63</v>
      </c>
      <c r="I34" s="46">
        <v>50</v>
      </c>
      <c r="J34" s="46">
        <v>0</v>
      </c>
      <c r="K34" s="46">
        <v>0.3</v>
      </c>
      <c r="L34" s="46">
        <v>0</v>
      </c>
      <c r="M34" s="46">
        <v>8</v>
      </c>
      <c r="N34" s="46">
        <v>31</v>
      </c>
      <c r="O34" s="46">
        <v>38</v>
      </c>
      <c r="P34" s="46">
        <v>67</v>
      </c>
      <c r="Q34" s="49">
        <f>SUM(E34:P34)</f>
        <v>412.3</v>
      </c>
      <c r="R34" s="85">
        <v>537</v>
      </c>
      <c r="S34" s="54">
        <f t="shared" si="1"/>
        <v>-124.69999999999999</v>
      </c>
    </row>
    <row r="35" spans="1:19" ht="15" customHeight="1">
      <c r="A35" s="143"/>
      <c r="B35" s="157" t="s">
        <v>81</v>
      </c>
      <c r="C35" s="158"/>
      <c r="D35" s="98" t="s">
        <v>58</v>
      </c>
      <c r="E35" s="36">
        <f aca="true" t="shared" si="9" ref="E35:Q35">E38+E43</f>
        <v>8061.5</v>
      </c>
      <c r="F35" s="36">
        <f t="shared" si="9"/>
        <v>8124</v>
      </c>
      <c r="G35" s="36">
        <f t="shared" si="9"/>
        <v>7212.9</v>
      </c>
      <c r="H35" s="36">
        <f t="shared" si="9"/>
        <v>7849</v>
      </c>
      <c r="I35" s="36">
        <f t="shared" si="9"/>
        <v>6783.5</v>
      </c>
      <c r="J35" s="36">
        <f t="shared" si="9"/>
        <v>6322.1</v>
      </c>
      <c r="K35" s="36">
        <f t="shared" si="9"/>
        <v>7023.700000000001</v>
      </c>
      <c r="L35" s="36">
        <f t="shared" si="9"/>
        <v>6597</v>
      </c>
      <c r="M35" s="36">
        <f t="shared" si="9"/>
        <v>6081.1</v>
      </c>
      <c r="N35" s="36">
        <f t="shared" si="9"/>
        <v>6415</v>
      </c>
      <c r="O35" s="36">
        <f t="shared" si="9"/>
        <v>5544.1</v>
      </c>
      <c r="P35" s="36">
        <f t="shared" si="9"/>
        <v>5789.7</v>
      </c>
      <c r="Q35" s="36">
        <f t="shared" si="9"/>
        <v>81803.6</v>
      </c>
      <c r="R35" s="85">
        <v>93086</v>
      </c>
      <c r="S35" s="54">
        <f t="shared" si="1"/>
        <v>-11282.399999999994</v>
      </c>
    </row>
    <row r="36" spans="1:19" ht="15.75">
      <c r="A36" s="144"/>
      <c r="B36" s="157" t="s">
        <v>41</v>
      </c>
      <c r="C36" s="158"/>
      <c r="D36" s="98"/>
      <c r="E36" s="36">
        <f aca="true" t="shared" si="10" ref="E36:Q36">E39+E44</f>
        <v>6706.5</v>
      </c>
      <c r="F36" s="36">
        <f t="shared" si="10"/>
        <v>6680</v>
      </c>
      <c r="G36" s="36">
        <f t="shared" si="10"/>
        <v>5835.9</v>
      </c>
      <c r="H36" s="36">
        <f t="shared" si="10"/>
        <v>6384</v>
      </c>
      <c r="I36" s="36">
        <f t="shared" si="10"/>
        <v>5830.5</v>
      </c>
      <c r="J36" s="36">
        <f t="shared" si="10"/>
        <v>4975</v>
      </c>
      <c r="K36" s="36">
        <f t="shared" si="10"/>
        <v>5907.3</v>
      </c>
      <c r="L36" s="36">
        <f t="shared" si="10"/>
        <v>5502</v>
      </c>
      <c r="M36" s="36">
        <f t="shared" si="10"/>
        <v>4860</v>
      </c>
      <c r="N36" s="36">
        <f t="shared" si="10"/>
        <v>5208</v>
      </c>
      <c r="O36" s="36">
        <f t="shared" si="10"/>
        <v>4160.1</v>
      </c>
      <c r="P36" s="36">
        <f t="shared" si="10"/>
        <v>4316</v>
      </c>
      <c r="Q36" s="36">
        <f t="shared" si="10"/>
        <v>66365.3</v>
      </c>
      <c r="R36" s="85">
        <v>78125</v>
      </c>
      <c r="S36" s="54">
        <f t="shared" si="1"/>
        <v>-11759.699999999997</v>
      </c>
    </row>
    <row r="37" spans="1:19" ht="15.75">
      <c r="A37" s="145"/>
      <c r="B37" s="157" t="s">
        <v>23</v>
      </c>
      <c r="C37" s="158"/>
      <c r="D37" s="98"/>
      <c r="E37" s="36">
        <f aca="true" t="shared" si="11" ref="E37:Q37">E40+E45</f>
        <v>114</v>
      </c>
      <c r="F37" s="36">
        <f t="shared" si="11"/>
        <v>119</v>
      </c>
      <c r="G37" s="36">
        <f t="shared" si="11"/>
        <v>114</v>
      </c>
      <c r="H37" s="36">
        <f t="shared" si="11"/>
        <v>115</v>
      </c>
      <c r="I37" s="36">
        <f t="shared" si="11"/>
        <v>116</v>
      </c>
      <c r="J37" s="36">
        <f t="shared" si="11"/>
        <v>128.1</v>
      </c>
      <c r="K37" s="36">
        <f t="shared" si="11"/>
        <v>125.1</v>
      </c>
      <c r="L37" s="36">
        <f t="shared" si="11"/>
        <v>123</v>
      </c>
      <c r="M37" s="36">
        <f t="shared" si="11"/>
        <v>142.1</v>
      </c>
      <c r="N37" s="36">
        <f t="shared" si="11"/>
        <v>121</v>
      </c>
      <c r="O37" s="36">
        <f t="shared" si="11"/>
        <v>119</v>
      </c>
      <c r="P37" s="36">
        <f t="shared" si="11"/>
        <v>224.7</v>
      </c>
      <c r="Q37" s="36">
        <f t="shared" si="11"/>
        <v>1561</v>
      </c>
      <c r="R37" s="85">
        <v>1779</v>
      </c>
      <c r="S37" s="54">
        <f t="shared" si="1"/>
        <v>-218</v>
      </c>
    </row>
    <row r="38" spans="1:19" ht="16.5" customHeight="1">
      <c r="A38" s="97"/>
      <c r="B38" s="157" t="s">
        <v>61</v>
      </c>
      <c r="C38" s="158"/>
      <c r="D38" s="98" t="s">
        <v>58</v>
      </c>
      <c r="E38" s="36">
        <f>E12+E18+E25+E32</f>
        <v>7908.5</v>
      </c>
      <c r="F38" s="36">
        <f aca="true" t="shared" si="12" ref="F38:Q38">F12+F18+F25+F32</f>
        <v>7373</v>
      </c>
      <c r="G38" s="36">
        <f t="shared" si="12"/>
        <v>6609.9</v>
      </c>
      <c r="H38" s="36">
        <f t="shared" si="12"/>
        <v>6813</v>
      </c>
      <c r="I38" s="36">
        <f t="shared" si="12"/>
        <v>6344.5</v>
      </c>
      <c r="J38" s="36">
        <f t="shared" si="12"/>
        <v>5966.1</v>
      </c>
      <c r="K38" s="36">
        <f t="shared" si="12"/>
        <v>6568.400000000001</v>
      </c>
      <c r="L38" s="36">
        <f t="shared" si="12"/>
        <v>6088</v>
      </c>
      <c r="M38" s="36">
        <f t="shared" si="12"/>
        <v>5825.1</v>
      </c>
      <c r="N38" s="36">
        <f t="shared" si="12"/>
        <v>5853</v>
      </c>
      <c r="O38" s="36">
        <f t="shared" si="12"/>
        <v>4965.1</v>
      </c>
      <c r="P38" s="36">
        <f t="shared" si="12"/>
        <v>5168.7</v>
      </c>
      <c r="Q38" s="36">
        <f t="shared" si="12"/>
        <v>75483.3</v>
      </c>
      <c r="R38" s="85">
        <v>85188</v>
      </c>
      <c r="S38" s="54">
        <f t="shared" si="1"/>
        <v>-9704.699999999997</v>
      </c>
    </row>
    <row r="39" spans="1:19" ht="15.75">
      <c r="A39" s="97"/>
      <c r="B39" s="157" t="s">
        <v>59</v>
      </c>
      <c r="C39" s="158"/>
      <c r="D39" s="98"/>
      <c r="E39" s="36">
        <f>E13+E19+E26+E33</f>
        <v>6598.5</v>
      </c>
      <c r="F39" s="36">
        <f aca="true" t="shared" si="13" ref="F39:Q39">F13+F19+F26+F33</f>
        <v>5984</v>
      </c>
      <c r="G39" s="36">
        <f t="shared" si="13"/>
        <v>5287.9</v>
      </c>
      <c r="H39" s="36">
        <f t="shared" si="13"/>
        <v>5401</v>
      </c>
      <c r="I39" s="36">
        <f t="shared" si="13"/>
        <v>5437.5</v>
      </c>
      <c r="J39" s="36">
        <f t="shared" si="13"/>
        <v>4702</v>
      </c>
      <c r="K39" s="36">
        <f t="shared" si="13"/>
        <v>5502</v>
      </c>
      <c r="L39" s="36">
        <f t="shared" si="13"/>
        <v>5047</v>
      </c>
      <c r="M39" s="36">
        <f t="shared" si="13"/>
        <v>4657</v>
      </c>
      <c r="N39" s="36">
        <f t="shared" si="13"/>
        <v>4697</v>
      </c>
      <c r="O39" s="36">
        <f t="shared" si="13"/>
        <v>3632.1</v>
      </c>
      <c r="P39" s="36">
        <f t="shared" si="13"/>
        <v>3769</v>
      </c>
      <c r="Q39" s="36">
        <f t="shared" si="13"/>
        <v>60715</v>
      </c>
      <c r="R39" s="85">
        <v>71103</v>
      </c>
      <c r="S39" s="54">
        <f t="shared" si="1"/>
        <v>-10388</v>
      </c>
    </row>
    <row r="40" spans="1:19" ht="15.75">
      <c r="A40" s="97"/>
      <c r="B40" s="157" t="s">
        <v>23</v>
      </c>
      <c r="C40" s="158"/>
      <c r="D40" s="98"/>
      <c r="E40" s="36">
        <f>E14+E20+E27</f>
        <v>114</v>
      </c>
      <c r="F40" s="36">
        <f aca="true" t="shared" si="14" ref="F40:Q40">F14+F20+F27</f>
        <v>117</v>
      </c>
      <c r="G40" s="36">
        <f t="shared" si="14"/>
        <v>114</v>
      </c>
      <c r="H40" s="36">
        <f t="shared" si="14"/>
        <v>115</v>
      </c>
      <c r="I40" s="36">
        <f t="shared" si="14"/>
        <v>115</v>
      </c>
      <c r="J40" s="36">
        <f t="shared" si="14"/>
        <v>127.1</v>
      </c>
      <c r="K40" s="36">
        <f t="shared" si="14"/>
        <v>125.1</v>
      </c>
      <c r="L40" s="36">
        <f t="shared" si="14"/>
        <v>119</v>
      </c>
      <c r="M40" s="36">
        <f t="shared" si="14"/>
        <v>141.1</v>
      </c>
      <c r="N40" s="36">
        <f t="shared" si="14"/>
        <v>118</v>
      </c>
      <c r="O40" s="36">
        <f t="shared" si="14"/>
        <v>117</v>
      </c>
      <c r="P40" s="36">
        <f t="shared" si="14"/>
        <v>222.7</v>
      </c>
      <c r="Q40" s="36">
        <f t="shared" si="14"/>
        <v>1545</v>
      </c>
      <c r="R40" s="85">
        <v>1707</v>
      </c>
      <c r="S40" s="54">
        <f t="shared" si="1"/>
        <v>-162</v>
      </c>
    </row>
    <row r="41" spans="1:19" ht="15.75">
      <c r="A41" s="97"/>
      <c r="B41" s="99"/>
      <c r="C41" s="98"/>
      <c r="D41" s="98"/>
      <c r="E41" s="36"/>
      <c r="F41" s="36"/>
      <c r="G41" s="36"/>
      <c r="H41" s="36"/>
      <c r="I41" s="36"/>
      <c r="J41" s="36"/>
      <c r="K41" s="36"/>
      <c r="L41" s="36"/>
      <c r="M41" s="36"/>
      <c r="N41" s="171" t="s">
        <v>49</v>
      </c>
      <c r="O41" s="172"/>
      <c r="P41" s="172"/>
      <c r="Q41" s="172"/>
      <c r="S41" s="54">
        <f t="shared" si="1"/>
        <v>0</v>
      </c>
    </row>
    <row r="42" spans="1:17" ht="15.75">
      <c r="A42" s="97" t="s">
        <v>82</v>
      </c>
      <c r="B42" s="153" t="s">
        <v>39</v>
      </c>
      <c r="C42" s="154"/>
      <c r="D42" s="90"/>
      <c r="E42" s="28" t="s">
        <v>6</v>
      </c>
      <c r="F42" s="28" t="s">
        <v>7</v>
      </c>
      <c r="G42" s="28" t="s">
        <v>8</v>
      </c>
      <c r="H42" s="28" t="s">
        <v>9</v>
      </c>
      <c r="I42" s="28" t="s">
        <v>10</v>
      </c>
      <c r="J42" s="28" t="s">
        <v>11</v>
      </c>
      <c r="K42" s="28" t="s">
        <v>12</v>
      </c>
      <c r="L42" s="28" t="s">
        <v>13</v>
      </c>
      <c r="M42" s="28" t="s">
        <v>14</v>
      </c>
      <c r="N42" s="28" t="s">
        <v>15</v>
      </c>
      <c r="O42" s="28" t="s">
        <v>16</v>
      </c>
      <c r="P42" s="28" t="s">
        <v>17</v>
      </c>
      <c r="Q42" s="48" t="s">
        <v>90</v>
      </c>
    </row>
    <row r="43" spans="1:19" ht="31.5">
      <c r="A43" s="97"/>
      <c r="B43" s="157" t="s">
        <v>63</v>
      </c>
      <c r="C43" s="158"/>
      <c r="D43" s="100" t="s">
        <v>26</v>
      </c>
      <c r="E43" s="36">
        <f>E15+E28+E34</f>
        <v>153</v>
      </c>
      <c r="F43" s="36">
        <f aca="true" t="shared" si="15" ref="F43:Q43">F15+F28+F34</f>
        <v>751</v>
      </c>
      <c r="G43" s="36">
        <f t="shared" si="15"/>
        <v>603</v>
      </c>
      <c r="H43" s="36">
        <f t="shared" si="15"/>
        <v>1036</v>
      </c>
      <c r="I43" s="36">
        <f t="shared" si="15"/>
        <v>439</v>
      </c>
      <c r="J43" s="36">
        <f t="shared" si="15"/>
        <v>356</v>
      </c>
      <c r="K43" s="36">
        <f t="shared" si="15"/>
        <v>455.3</v>
      </c>
      <c r="L43" s="36">
        <f t="shared" si="15"/>
        <v>509</v>
      </c>
      <c r="M43" s="36">
        <f t="shared" si="15"/>
        <v>256</v>
      </c>
      <c r="N43" s="36">
        <f t="shared" si="15"/>
        <v>562</v>
      </c>
      <c r="O43" s="36">
        <f t="shared" si="15"/>
        <v>579</v>
      </c>
      <c r="P43" s="36">
        <f t="shared" si="15"/>
        <v>621</v>
      </c>
      <c r="Q43" s="36">
        <f t="shared" si="15"/>
        <v>6320.3</v>
      </c>
      <c r="R43" s="85">
        <v>7898</v>
      </c>
      <c r="S43" s="54">
        <f t="shared" si="1"/>
        <v>-1577.6999999999998</v>
      </c>
    </row>
    <row r="44" spans="1:19" ht="15.75">
      <c r="A44" s="97"/>
      <c r="B44" s="157" t="s">
        <v>59</v>
      </c>
      <c r="C44" s="158"/>
      <c r="D44" s="98"/>
      <c r="E44" s="36">
        <f>E16+E28+E34</f>
        <v>108</v>
      </c>
      <c r="F44" s="36">
        <f aca="true" t="shared" si="16" ref="F44:Q44">F16+F28+F34</f>
        <v>696</v>
      </c>
      <c r="G44" s="36">
        <f t="shared" si="16"/>
        <v>548</v>
      </c>
      <c r="H44" s="36">
        <f t="shared" si="16"/>
        <v>983</v>
      </c>
      <c r="I44" s="36">
        <f t="shared" si="16"/>
        <v>393</v>
      </c>
      <c r="J44" s="36">
        <f t="shared" si="16"/>
        <v>273</v>
      </c>
      <c r="K44" s="36">
        <f t="shared" si="16"/>
        <v>405.3</v>
      </c>
      <c r="L44" s="36">
        <f t="shared" si="16"/>
        <v>455</v>
      </c>
      <c r="M44" s="36">
        <f t="shared" si="16"/>
        <v>203</v>
      </c>
      <c r="N44" s="36">
        <f t="shared" si="16"/>
        <v>511</v>
      </c>
      <c r="O44" s="36">
        <f t="shared" si="16"/>
        <v>528</v>
      </c>
      <c r="P44" s="36">
        <f t="shared" si="16"/>
        <v>547</v>
      </c>
      <c r="Q44" s="36">
        <f t="shared" si="16"/>
        <v>5650.3</v>
      </c>
      <c r="R44" s="85">
        <v>7022</v>
      </c>
      <c r="S44" s="54">
        <f t="shared" si="1"/>
        <v>-1371.6999999999998</v>
      </c>
    </row>
    <row r="45" spans="1:19" ht="15.75">
      <c r="A45" s="97"/>
      <c r="B45" s="157" t="s">
        <v>23</v>
      </c>
      <c r="C45" s="158"/>
      <c r="D45" s="98"/>
      <c r="E45" s="36">
        <f>E17</f>
        <v>0</v>
      </c>
      <c r="F45" s="36">
        <f aca="true" t="shared" si="17" ref="F45:Q45">F17</f>
        <v>2</v>
      </c>
      <c r="G45" s="36">
        <f t="shared" si="17"/>
        <v>0</v>
      </c>
      <c r="H45" s="36">
        <f t="shared" si="17"/>
        <v>0</v>
      </c>
      <c r="I45" s="36">
        <f t="shared" si="17"/>
        <v>1</v>
      </c>
      <c r="J45" s="36">
        <f t="shared" si="17"/>
        <v>1</v>
      </c>
      <c r="K45" s="36">
        <f t="shared" si="17"/>
        <v>0</v>
      </c>
      <c r="L45" s="36">
        <f t="shared" si="17"/>
        <v>4</v>
      </c>
      <c r="M45" s="36">
        <f t="shared" si="17"/>
        <v>1</v>
      </c>
      <c r="N45" s="36">
        <f t="shared" si="17"/>
        <v>3</v>
      </c>
      <c r="O45" s="36">
        <f t="shared" si="17"/>
        <v>2</v>
      </c>
      <c r="P45" s="36">
        <f t="shared" si="17"/>
        <v>2</v>
      </c>
      <c r="Q45" s="36">
        <f t="shared" si="17"/>
        <v>16</v>
      </c>
      <c r="R45" s="85">
        <v>72</v>
      </c>
      <c r="S45" s="54">
        <f t="shared" si="1"/>
        <v>-56</v>
      </c>
    </row>
    <row r="46" spans="1:21" ht="49.5" customHeight="1">
      <c r="A46" s="143" t="s">
        <v>30</v>
      </c>
      <c r="B46" s="161" t="s">
        <v>86</v>
      </c>
      <c r="C46" s="162"/>
      <c r="D46" s="90" t="s">
        <v>58</v>
      </c>
      <c r="E46" s="29">
        <f>E47+E48+25</f>
        <v>981</v>
      </c>
      <c r="F46" s="29">
        <f aca="true" t="shared" si="18" ref="F46:P46">F47+F48+25</f>
        <v>1048</v>
      </c>
      <c r="G46" s="29">
        <f t="shared" si="18"/>
        <v>877</v>
      </c>
      <c r="H46" s="29">
        <f t="shared" si="18"/>
        <v>882</v>
      </c>
      <c r="I46" s="29">
        <f>I47+I48+20</f>
        <v>875</v>
      </c>
      <c r="J46" s="29">
        <f>J47+J48+20</f>
        <v>905</v>
      </c>
      <c r="K46" s="29">
        <f>K47+K48+20</f>
        <v>946</v>
      </c>
      <c r="L46" s="29">
        <f>L47+L48+20</f>
        <v>976</v>
      </c>
      <c r="M46" s="29">
        <f>M47+M48+21</f>
        <v>899</v>
      </c>
      <c r="N46" s="29">
        <f t="shared" si="18"/>
        <v>849</v>
      </c>
      <c r="O46" s="29">
        <f t="shared" si="18"/>
        <v>976</v>
      </c>
      <c r="P46" s="29">
        <f t="shared" si="18"/>
        <v>939</v>
      </c>
      <c r="Q46" s="49">
        <f aca="true" t="shared" si="19" ref="Q46:Q51">SUM(P46+O46+N46+M46+L46+K46+J46+I46+H46+G46+F46+E46)</f>
        <v>11153</v>
      </c>
      <c r="R46" s="85">
        <v>14291</v>
      </c>
      <c r="S46" s="54">
        <f t="shared" si="1"/>
        <v>-3138</v>
      </c>
      <c r="U46" s="96"/>
    </row>
    <row r="47" spans="1:19" ht="15.75">
      <c r="A47" s="144"/>
      <c r="B47" s="153" t="s">
        <v>59</v>
      </c>
      <c r="C47" s="154"/>
      <c r="D47" s="90"/>
      <c r="E47" s="29">
        <v>956</v>
      </c>
      <c r="F47" s="29">
        <v>1023</v>
      </c>
      <c r="G47" s="29">
        <v>849</v>
      </c>
      <c r="H47" s="29">
        <v>857</v>
      </c>
      <c r="I47" s="29">
        <v>855</v>
      </c>
      <c r="J47" s="29">
        <v>885</v>
      </c>
      <c r="K47" s="29">
        <v>922</v>
      </c>
      <c r="L47" s="29">
        <v>956</v>
      </c>
      <c r="M47" s="29">
        <v>874</v>
      </c>
      <c r="N47" s="29">
        <v>824</v>
      </c>
      <c r="O47" s="29">
        <v>951</v>
      </c>
      <c r="P47" s="29">
        <v>910</v>
      </c>
      <c r="Q47" s="49">
        <f t="shared" si="19"/>
        <v>10862</v>
      </c>
      <c r="R47" s="85">
        <v>14000</v>
      </c>
      <c r="S47" s="54">
        <f t="shared" si="1"/>
        <v>-3138</v>
      </c>
    </row>
    <row r="48" spans="1:19" ht="15.75">
      <c r="A48" s="145"/>
      <c r="B48" s="153" t="s">
        <v>23</v>
      </c>
      <c r="C48" s="154"/>
      <c r="D48" s="101"/>
      <c r="E48" s="102"/>
      <c r="F48" s="102"/>
      <c r="G48" s="102">
        <v>3</v>
      </c>
      <c r="H48" s="102"/>
      <c r="I48" s="102"/>
      <c r="J48" s="102"/>
      <c r="K48" s="102">
        <v>4</v>
      </c>
      <c r="L48" s="102"/>
      <c r="M48" s="102">
        <v>4</v>
      </c>
      <c r="N48" s="102"/>
      <c r="O48" s="102"/>
      <c r="P48" s="102">
        <v>4</v>
      </c>
      <c r="Q48" s="49">
        <f t="shared" si="19"/>
        <v>15</v>
      </c>
      <c r="R48" s="85">
        <v>15</v>
      </c>
      <c r="S48" s="54">
        <f t="shared" si="1"/>
        <v>0</v>
      </c>
    </row>
    <row r="49" spans="1:19" ht="30" customHeight="1">
      <c r="A49" s="152" t="s">
        <v>31</v>
      </c>
      <c r="B49" s="163" t="s">
        <v>56</v>
      </c>
      <c r="C49" s="164"/>
      <c r="D49" s="90" t="s">
        <v>58</v>
      </c>
      <c r="E49" s="29">
        <v>201</v>
      </c>
      <c r="F49" s="29">
        <v>202</v>
      </c>
      <c r="G49" s="29">
        <v>134</v>
      </c>
      <c r="H49" s="29">
        <v>215</v>
      </c>
      <c r="I49" s="29">
        <v>203</v>
      </c>
      <c r="J49" s="29">
        <v>175</v>
      </c>
      <c r="K49" s="29"/>
      <c r="L49" s="29"/>
      <c r="M49" s="29"/>
      <c r="N49" s="29"/>
      <c r="O49" s="29"/>
      <c r="P49" s="29"/>
      <c r="Q49" s="41">
        <f t="shared" si="19"/>
        <v>1130</v>
      </c>
      <c r="R49" s="85">
        <v>1130</v>
      </c>
      <c r="S49" s="54">
        <f t="shared" si="1"/>
        <v>0</v>
      </c>
    </row>
    <row r="50" spans="1:19" ht="15.75">
      <c r="A50" s="152"/>
      <c r="B50" s="153" t="s">
        <v>59</v>
      </c>
      <c r="C50" s="154"/>
      <c r="D50" s="90"/>
      <c r="E50" s="46">
        <v>172</v>
      </c>
      <c r="F50" s="46">
        <v>173</v>
      </c>
      <c r="G50" s="46">
        <v>105</v>
      </c>
      <c r="H50" s="46">
        <v>186</v>
      </c>
      <c r="I50" s="46">
        <v>174</v>
      </c>
      <c r="J50" s="46">
        <v>146</v>
      </c>
      <c r="K50" s="46"/>
      <c r="L50" s="46"/>
      <c r="M50" s="46"/>
      <c r="N50" s="46"/>
      <c r="O50" s="46"/>
      <c r="P50" s="46"/>
      <c r="Q50" s="41">
        <f t="shared" si="19"/>
        <v>956</v>
      </c>
      <c r="R50" s="85">
        <v>956</v>
      </c>
      <c r="S50" s="54">
        <f t="shared" si="1"/>
        <v>0</v>
      </c>
    </row>
    <row r="51" spans="1:19" ht="15.75">
      <c r="A51" s="152"/>
      <c r="B51" s="153" t="s">
        <v>23</v>
      </c>
      <c r="C51" s="154"/>
      <c r="D51" s="90"/>
      <c r="E51" s="29">
        <v>6</v>
      </c>
      <c r="F51" s="29">
        <v>6</v>
      </c>
      <c r="G51" s="29">
        <v>6</v>
      </c>
      <c r="H51" s="29">
        <v>6</v>
      </c>
      <c r="I51" s="29">
        <v>6</v>
      </c>
      <c r="J51" s="29">
        <v>6</v>
      </c>
      <c r="K51" s="29"/>
      <c r="L51" s="29"/>
      <c r="M51" s="29"/>
      <c r="N51" s="29"/>
      <c r="O51" s="29"/>
      <c r="P51" s="29"/>
      <c r="Q51" s="41">
        <f t="shared" si="19"/>
        <v>36</v>
      </c>
      <c r="R51" s="85">
        <v>36</v>
      </c>
      <c r="S51" s="54">
        <f t="shared" si="1"/>
        <v>0</v>
      </c>
    </row>
    <row r="52" spans="1:19" ht="34.5" customHeight="1">
      <c r="A52" s="75"/>
      <c r="B52" s="161" t="s">
        <v>95</v>
      </c>
      <c r="C52" s="162"/>
      <c r="D52" s="90" t="s">
        <v>58</v>
      </c>
      <c r="E52" s="29"/>
      <c r="F52" s="29"/>
      <c r="G52" s="29"/>
      <c r="H52" s="29"/>
      <c r="I52" s="29"/>
      <c r="J52" s="29"/>
      <c r="K52" s="29">
        <f aca="true" t="shared" si="20" ref="K52:P52">K53+35</f>
        <v>315.6</v>
      </c>
      <c r="L52" s="29">
        <f t="shared" si="20"/>
        <v>139.86</v>
      </c>
      <c r="M52" s="29">
        <f t="shared" si="20"/>
        <v>184.59</v>
      </c>
      <c r="N52" s="29">
        <f t="shared" si="20"/>
        <v>170</v>
      </c>
      <c r="O52" s="29">
        <f t="shared" si="20"/>
        <v>980.1</v>
      </c>
      <c r="P52" s="29">
        <f t="shared" si="20"/>
        <v>1503.8</v>
      </c>
      <c r="Q52" s="29">
        <f aca="true" t="shared" si="21" ref="Q52:Q57">SUM(K52:P52)</f>
        <v>3293.95</v>
      </c>
      <c r="R52" s="85">
        <v>3176</v>
      </c>
      <c r="S52" s="71">
        <f t="shared" si="1"/>
        <v>117.94999999999982</v>
      </c>
    </row>
    <row r="53" spans="1:19" ht="15.75">
      <c r="A53" s="75"/>
      <c r="B53" s="153" t="s">
        <v>59</v>
      </c>
      <c r="C53" s="154"/>
      <c r="D53" s="90"/>
      <c r="E53" s="29"/>
      <c r="F53" s="29"/>
      <c r="G53" s="29"/>
      <c r="H53" s="29"/>
      <c r="I53" s="29"/>
      <c r="J53" s="29"/>
      <c r="K53" s="29">
        <f aca="true" t="shared" si="22" ref="K53:P53">K54+K56</f>
        <v>280.6</v>
      </c>
      <c r="L53" s="29">
        <f t="shared" si="22"/>
        <v>104.86</v>
      </c>
      <c r="M53" s="29">
        <f t="shared" si="22"/>
        <v>149.59</v>
      </c>
      <c r="N53" s="29">
        <f t="shared" si="22"/>
        <v>135</v>
      </c>
      <c r="O53" s="29">
        <f t="shared" si="22"/>
        <v>945.1</v>
      </c>
      <c r="P53" s="29">
        <f t="shared" si="22"/>
        <v>1468.8</v>
      </c>
      <c r="Q53" s="41">
        <f t="shared" si="21"/>
        <v>3083.95</v>
      </c>
      <c r="R53" s="85">
        <v>2966</v>
      </c>
      <c r="S53" s="71">
        <f t="shared" si="1"/>
        <v>117.94999999999982</v>
      </c>
    </row>
    <row r="54" spans="1:19" ht="15.75">
      <c r="A54" s="75"/>
      <c r="B54" s="153" t="s">
        <v>61</v>
      </c>
      <c r="C54" s="154"/>
      <c r="D54" s="90"/>
      <c r="E54" s="29"/>
      <c r="F54" s="29"/>
      <c r="G54" s="29"/>
      <c r="H54" s="29"/>
      <c r="I54" s="29"/>
      <c r="J54" s="29"/>
      <c r="K54" s="29">
        <f aca="true" t="shared" si="23" ref="K54:P54">K55</f>
        <v>280.6</v>
      </c>
      <c r="L54" s="29">
        <f t="shared" si="23"/>
        <v>104.86</v>
      </c>
      <c r="M54" s="29">
        <f t="shared" si="23"/>
        <v>149.59</v>
      </c>
      <c r="N54" s="29">
        <f t="shared" si="23"/>
        <v>135</v>
      </c>
      <c r="O54" s="29">
        <f t="shared" si="23"/>
        <v>767.6</v>
      </c>
      <c r="P54" s="29">
        <f t="shared" si="23"/>
        <v>1437.8</v>
      </c>
      <c r="Q54" s="41">
        <f t="shared" si="21"/>
        <v>2875.45</v>
      </c>
      <c r="R54" s="85">
        <v>2426</v>
      </c>
      <c r="S54" s="71">
        <f t="shared" si="1"/>
        <v>449.4499999999998</v>
      </c>
    </row>
    <row r="55" spans="1:19" ht="15.75">
      <c r="A55" s="75"/>
      <c r="B55" s="153" t="s">
        <v>59</v>
      </c>
      <c r="C55" s="154"/>
      <c r="D55" s="90"/>
      <c r="E55" s="29"/>
      <c r="F55" s="29"/>
      <c r="G55" s="29"/>
      <c r="H55" s="29"/>
      <c r="I55" s="29"/>
      <c r="J55" s="29"/>
      <c r="K55" s="29">
        <v>280.6</v>
      </c>
      <c r="L55" s="29">
        <v>104.86</v>
      </c>
      <c r="M55" s="29">
        <v>149.59</v>
      </c>
      <c r="N55" s="29">
        <v>135</v>
      </c>
      <c r="O55" s="29">
        <v>767.6</v>
      </c>
      <c r="P55" s="29">
        <v>1437.8</v>
      </c>
      <c r="Q55" s="41">
        <f t="shared" si="21"/>
        <v>2875.45</v>
      </c>
      <c r="R55" s="47">
        <v>2426</v>
      </c>
      <c r="S55" s="71">
        <f t="shared" si="1"/>
        <v>449.4499999999998</v>
      </c>
    </row>
    <row r="56" spans="1:19" ht="15.75">
      <c r="A56" s="75"/>
      <c r="B56" s="153" t="s">
        <v>63</v>
      </c>
      <c r="C56" s="154"/>
      <c r="D56" s="90"/>
      <c r="E56" s="29"/>
      <c r="F56" s="29"/>
      <c r="G56" s="29"/>
      <c r="H56" s="29"/>
      <c r="I56" s="29"/>
      <c r="J56" s="29"/>
      <c r="K56" s="29">
        <f aca="true" t="shared" si="24" ref="K56:P56">K57</f>
        <v>0</v>
      </c>
      <c r="L56" s="29">
        <f t="shared" si="24"/>
        <v>0</v>
      </c>
      <c r="M56" s="29">
        <f t="shared" si="24"/>
        <v>0</v>
      </c>
      <c r="N56" s="29">
        <f t="shared" si="24"/>
        <v>0</v>
      </c>
      <c r="O56" s="29">
        <f t="shared" si="24"/>
        <v>177.5</v>
      </c>
      <c r="P56" s="29">
        <f t="shared" si="24"/>
        <v>31</v>
      </c>
      <c r="Q56" s="41">
        <f t="shared" si="21"/>
        <v>208.5</v>
      </c>
      <c r="R56" s="85">
        <v>540</v>
      </c>
      <c r="S56" s="54">
        <f t="shared" si="1"/>
        <v>-331.5</v>
      </c>
    </row>
    <row r="57" spans="1:19" ht="15.75">
      <c r="A57" s="75"/>
      <c r="B57" s="153" t="s">
        <v>59</v>
      </c>
      <c r="C57" s="154"/>
      <c r="D57" s="90"/>
      <c r="E57" s="29"/>
      <c r="F57" s="29"/>
      <c r="G57" s="29"/>
      <c r="H57" s="29"/>
      <c r="I57" s="29"/>
      <c r="J57" s="29"/>
      <c r="K57" s="29"/>
      <c r="L57" s="29"/>
      <c r="M57" s="29"/>
      <c r="N57" s="29">
        <v>0</v>
      </c>
      <c r="O57" s="29">
        <v>177.5</v>
      </c>
      <c r="P57" s="29">
        <v>31</v>
      </c>
      <c r="Q57" s="41">
        <f t="shared" si="21"/>
        <v>208.5</v>
      </c>
      <c r="R57" s="47">
        <v>540</v>
      </c>
      <c r="S57" s="54">
        <f t="shared" si="1"/>
        <v>-331.5</v>
      </c>
    </row>
    <row r="58" spans="1:19" ht="32.25" customHeight="1">
      <c r="A58" s="143" t="s">
        <v>32</v>
      </c>
      <c r="B58" s="169" t="s">
        <v>88</v>
      </c>
      <c r="C58" s="170"/>
      <c r="D58" s="90" t="s">
        <v>58</v>
      </c>
      <c r="E58" s="29">
        <f>SUM(E59:E60)</f>
        <v>75</v>
      </c>
      <c r="F58" s="29">
        <f aca="true" t="shared" si="25" ref="F58:Q58">SUM(F59:F60)</f>
        <v>65</v>
      </c>
      <c r="G58" s="29">
        <f t="shared" si="25"/>
        <v>70</v>
      </c>
      <c r="H58" s="29">
        <f t="shared" si="25"/>
        <v>75</v>
      </c>
      <c r="I58" s="29">
        <f t="shared" si="25"/>
        <v>72</v>
      </c>
      <c r="J58" s="29">
        <f t="shared" si="25"/>
        <v>55</v>
      </c>
      <c r="K58" s="29">
        <f t="shared" si="25"/>
        <v>55</v>
      </c>
      <c r="L58" s="29"/>
      <c r="M58" s="29"/>
      <c r="N58" s="29"/>
      <c r="O58" s="29"/>
      <c r="P58" s="29"/>
      <c r="Q58" s="29">
        <f t="shared" si="25"/>
        <v>467</v>
      </c>
      <c r="R58" s="85">
        <v>467</v>
      </c>
      <c r="S58" s="54">
        <f t="shared" si="1"/>
        <v>0</v>
      </c>
    </row>
    <row r="59" spans="1:19" ht="15" customHeight="1">
      <c r="A59" s="144"/>
      <c r="B59" s="159" t="s">
        <v>20</v>
      </c>
      <c r="C59" s="160"/>
      <c r="D59" s="103"/>
      <c r="E59" s="29">
        <v>35</v>
      </c>
      <c r="F59" s="29">
        <v>30</v>
      </c>
      <c r="G59" s="29">
        <v>30</v>
      </c>
      <c r="H59" s="29">
        <v>30</v>
      </c>
      <c r="I59" s="29">
        <v>31</v>
      </c>
      <c r="J59" s="29">
        <v>20</v>
      </c>
      <c r="K59" s="29">
        <v>20</v>
      </c>
      <c r="L59" s="29"/>
      <c r="M59" s="29"/>
      <c r="N59" s="29"/>
      <c r="O59" s="29"/>
      <c r="P59" s="29"/>
      <c r="Q59" s="41">
        <f>SUM(E59:P59)</f>
        <v>196</v>
      </c>
      <c r="R59" s="85">
        <v>196</v>
      </c>
      <c r="S59" s="54">
        <f t="shared" si="1"/>
        <v>0</v>
      </c>
    </row>
    <row r="60" spans="1:19" ht="15" customHeight="1">
      <c r="A60" s="145"/>
      <c r="B60" s="159" t="s">
        <v>23</v>
      </c>
      <c r="C60" s="160"/>
      <c r="D60" s="103"/>
      <c r="E60" s="29">
        <v>40</v>
      </c>
      <c r="F60" s="29">
        <v>35</v>
      </c>
      <c r="G60" s="29">
        <v>40</v>
      </c>
      <c r="H60" s="29">
        <v>45</v>
      </c>
      <c r="I60" s="29">
        <v>41</v>
      </c>
      <c r="J60" s="29">
        <v>35</v>
      </c>
      <c r="K60" s="29">
        <v>35</v>
      </c>
      <c r="L60" s="29"/>
      <c r="M60" s="29"/>
      <c r="N60" s="29"/>
      <c r="O60" s="29"/>
      <c r="P60" s="29"/>
      <c r="Q60" s="41">
        <f>SUM(P60+O60+N60+M60+L60+K60+J60+I60+H60+G60+F60+E60)</f>
        <v>271</v>
      </c>
      <c r="R60" s="85">
        <v>271</v>
      </c>
      <c r="S60" s="54">
        <f t="shared" si="1"/>
        <v>0</v>
      </c>
    </row>
    <row r="61" spans="1:19" ht="36" customHeight="1">
      <c r="A61" s="104"/>
      <c r="B61" s="161" t="s">
        <v>96</v>
      </c>
      <c r="C61" s="162"/>
      <c r="D61" s="103"/>
      <c r="E61" s="29"/>
      <c r="F61" s="29"/>
      <c r="G61" s="29"/>
      <c r="H61" s="29"/>
      <c r="I61" s="29"/>
      <c r="J61" s="29"/>
      <c r="K61" s="29"/>
      <c r="L61" s="29">
        <f aca="true" t="shared" si="26" ref="L61:Q61">L62</f>
        <v>168.1</v>
      </c>
      <c r="M61" s="29">
        <f t="shared" si="26"/>
        <v>182.9</v>
      </c>
      <c r="N61" s="29">
        <f t="shared" si="26"/>
        <v>187.5</v>
      </c>
      <c r="O61" s="29">
        <f t="shared" si="26"/>
        <v>186.6</v>
      </c>
      <c r="P61" s="29">
        <f t="shared" si="26"/>
        <v>193.6</v>
      </c>
      <c r="Q61" s="29">
        <f t="shared" si="26"/>
        <v>918.7</v>
      </c>
      <c r="R61" s="85">
        <v>1655</v>
      </c>
      <c r="S61" s="54">
        <f t="shared" si="1"/>
        <v>-736.3</v>
      </c>
    </row>
    <row r="62" spans="1:19" ht="20.25" customHeight="1">
      <c r="A62" s="104"/>
      <c r="B62" s="153" t="s">
        <v>59</v>
      </c>
      <c r="C62" s="154"/>
      <c r="D62" s="103"/>
      <c r="E62" s="29"/>
      <c r="F62" s="29"/>
      <c r="G62" s="29"/>
      <c r="H62" s="29"/>
      <c r="I62" s="29"/>
      <c r="J62" s="29"/>
      <c r="K62" s="29"/>
      <c r="L62" s="29">
        <f aca="true" t="shared" si="27" ref="L62:Q62">L64+L66</f>
        <v>168.1</v>
      </c>
      <c r="M62" s="29">
        <f t="shared" si="27"/>
        <v>182.9</v>
      </c>
      <c r="N62" s="29">
        <f t="shared" si="27"/>
        <v>187.5</v>
      </c>
      <c r="O62" s="29">
        <f t="shared" si="27"/>
        <v>186.6</v>
      </c>
      <c r="P62" s="29">
        <f t="shared" si="27"/>
        <v>193.6</v>
      </c>
      <c r="Q62" s="29">
        <f t="shared" si="27"/>
        <v>918.7</v>
      </c>
      <c r="R62" s="85">
        <v>1655</v>
      </c>
      <c r="S62" s="54">
        <f t="shared" si="1"/>
        <v>-736.3</v>
      </c>
    </row>
    <row r="63" spans="1:19" ht="18" customHeight="1">
      <c r="A63" s="104"/>
      <c r="B63" s="153" t="s">
        <v>61</v>
      </c>
      <c r="C63" s="154"/>
      <c r="D63" s="103"/>
      <c r="E63" s="29"/>
      <c r="F63" s="29"/>
      <c r="G63" s="29"/>
      <c r="H63" s="29"/>
      <c r="I63" s="29"/>
      <c r="J63" s="29"/>
      <c r="K63" s="29"/>
      <c r="L63" s="29">
        <f aca="true" t="shared" si="28" ref="L63:Q63">L64</f>
        <v>168.1</v>
      </c>
      <c r="M63" s="29">
        <f t="shared" si="28"/>
        <v>182.9</v>
      </c>
      <c r="N63" s="29">
        <f t="shared" si="28"/>
        <v>186.6</v>
      </c>
      <c r="O63" s="29">
        <f t="shared" si="28"/>
        <v>186.6</v>
      </c>
      <c r="P63" s="29">
        <f t="shared" si="28"/>
        <v>193.2</v>
      </c>
      <c r="Q63" s="29">
        <f t="shared" si="28"/>
        <v>917.4000000000001</v>
      </c>
      <c r="R63" s="85">
        <v>1452</v>
      </c>
      <c r="S63" s="54">
        <f t="shared" si="1"/>
        <v>-534.5999999999999</v>
      </c>
    </row>
    <row r="64" spans="1:19" ht="14.25" customHeight="1">
      <c r="A64" s="104"/>
      <c r="B64" s="153" t="s">
        <v>59</v>
      </c>
      <c r="C64" s="154"/>
      <c r="D64" s="103"/>
      <c r="E64" s="29"/>
      <c r="F64" s="29"/>
      <c r="G64" s="29"/>
      <c r="H64" s="29"/>
      <c r="I64" s="29"/>
      <c r="J64" s="29"/>
      <c r="K64" s="29"/>
      <c r="L64" s="29">
        <v>168.1</v>
      </c>
      <c r="M64" s="29">
        <v>182.9</v>
      </c>
      <c r="N64" s="29">
        <v>186.6</v>
      </c>
      <c r="O64" s="29">
        <v>186.6</v>
      </c>
      <c r="P64" s="29">
        <v>193.2</v>
      </c>
      <c r="Q64" s="41">
        <f>SUM(L64:P64)</f>
        <v>917.4000000000001</v>
      </c>
      <c r="R64" s="47">
        <v>1452</v>
      </c>
      <c r="S64" s="54">
        <f t="shared" si="1"/>
        <v>-534.5999999999999</v>
      </c>
    </row>
    <row r="65" spans="1:19" ht="20.25" customHeight="1">
      <c r="A65" s="104"/>
      <c r="B65" s="153" t="s">
        <v>63</v>
      </c>
      <c r="C65" s="154"/>
      <c r="D65" s="103"/>
      <c r="E65" s="29"/>
      <c r="F65" s="29"/>
      <c r="G65" s="29"/>
      <c r="H65" s="29"/>
      <c r="I65" s="29"/>
      <c r="J65" s="29"/>
      <c r="K65" s="29"/>
      <c r="L65" s="29">
        <f aca="true" t="shared" si="29" ref="L65:Q65">L66</f>
        <v>0</v>
      </c>
      <c r="M65" s="29">
        <f t="shared" si="29"/>
        <v>0</v>
      </c>
      <c r="N65" s="29">
        <f t="shared" si="29"/>
        <v>0.9</v>
      </c>
      <c r="O65" s="29">
        <f t="shared" si="29"/>
        <v>0</v>
      </c>
      <c r="P65" s="29">
        <f t="shared" si="29"/>
        <v>0.4</v>
      </c>
      <c r="Q65" s="29">
        <f t="shared" si="29"/>
        <v>1.3</v>
      </c>
      <c r="R65" s="85">
        <v>203</v>
      </c>
      <c r="S65" s="54">
        <f t="shared" si="1"/>
        <v>-201.7</v>
      </c>
    </row>
    <row r="66" spans="1:19" ht="15" customHeight="1">
      <c r="A66" s="104"/>
      <c r="B66" s="153" t="s">
        <v>59</v>
      </c>
      <c r="C66" s="154"/>
      <c r="D66" s="103"/>
      <c r="E66" s="29"/>
      <c r="F66" s="29"/>
      <c r="G66" s="29"/>
      <c r="H66" s="29"/>
      <c r="I66" s="29"/>
      <c r="J66" s="29"/>
      <c r="K66" s="29"/>
      <c r="L66" s="29"/>
      <c r="M66" s="29"/>
      <c r="N66" s="29">
        <v>0.9</v>
      </c>
      <c r="O66" s="29">
        <v>0</v>
      </c>
      <c r="P66" s="29">
        <v>0.4</v>
      </c>
      <c r="Q66" s="29">
        <f>SUM(L66:P66)</f>
        <v>1.3</v>
      </c>
      <c r="R66" s="47">
        <v>203</v>
      </c>
      <c r="S66" s="54">
        <f t="shared" si="1"/>
        <v>-201.7</v>
      </c>
    </row>
    <row r="67" spans="1:20" ht="32.25" customHeight="1">
      <c r="A67" s="152" t="s">
        <v>52</v>
      </c>
      <c r="B67" s="163" t="s">
        <v>68</v>
      </c>
      <c r="C67" s="164"/>
      <c r="D67" s="90" t="s">
        <v>58</v>
      </c>
      <c r="E67" s="28">
        <f>E68+E69+8</f>
        <v>202</v>
      </c>
      <c r="F67" s="28">
        <f>F68+F69+8</f>
        <v>207</v>
      </c>
      <c r="G67" s="28">
        <f>G68+G69+3</f>
        <v>215</v>
      </c>
      <c r="H67" s="28">
        <f>H68+H69+3</f>
        <v>223</v>
      </c>
      <c r="I67" s="28">
        <f>I68+I69+3</f>
        <v>211</v>
      </c>
      <c r="J67" s="28">
        <f>J68+J69+2</f>
        <v>160</v>
      </c>
      <c r="K67" s="28">
        <f>K68+K69+2</f>
        <v>142</v>
      </c>
      <c r="L67" s="28">
        <f>L68+L69+2</f>
        <v>163</v>
      </c>
      <c r="M67" s="28">
        <f>M68+M69+3</f>
        <v>177</v>
      </c>
      <c r="N67" s="28">
        <f>N68+N69+3</f>
        <v>191</v>
      </c>
      <c r="O67" s="28">
        <f>O68+O69+3</f>
        <v>185</v>
      </c>
      <c r="P67" s="28">
        <f>P68+P69+3</f>
        <v>187</v>
      </c>
      <c r="Q67" s="48">
        <f>SUM(E67:P67)</f>
        <v>2263</v>
      </c>
      <c r="R67" s="85">
        <v>2027</v>
      </c>
      <c r="S67" s="54">
        <f t="shared" si="1"/>
        <v>236</v>
      </c>
      <c r="T67" s="105"/>
    </row>
    <row r="68" spans="1:19" ht="15.75">
      <c r="A68" s="152"/>
      <c r="B68" s="153" t="s">
        <v>59</v>
      </c>
      <c r="C68" s="154"/>
      <c r="D68" s="90"/>
      <c r="E68" s="28">
        <v>152</v>
      </c>
      <c r="F68" s="28">
        <v>156</v>
      </c>
      <c r="G68" s="28">
        <v>167</v>
      </c>
      <c r="H68" s="28">
        <v>168</v>
      </c>
      <c r="I68" s="28">
        <v>159</v>
      </c>
      <c r="J68" s="28">
        <v>121</v>
      </c>
      <c r="K68" s="28">
        <v>107</v>
      </c>
      <c r="L68" s="28">
        <v>123</v>
      </c>
      <c r="M68" s="28">
        <v>133</v>
      </c>
      <c r="N68" s="28">
        <v>148</v>
      </c>
      <c r="O68" s="28">
        <v>165</v>
      </c>
      <c r="P68" s="28">
        <v>175</v>
      </c>
      <c r="Q68" s="106">
        <f>SUM(P68+O68+N68+M68+L68+K68+J68+I68+H68+G68+F68+E68)</f>
        <v>1774</v>
      </c>
      <c r="R68" s="85">
        <v>1450</v>
      </c>
      <c r="S68" s="54">
        <f t="shared" si="1"/>
        <v>324</v>
      </c>
    </row>
    <row r="69" spans="1:19" ht="15.75">
      <c r="A69" s="152"/>
      <c r="B69" s="153" t="s">
        <v>23</v>
      </c>
      <c r="C69" s="154"/>
      <c r="D69" s="90"/>
      <c r="E69" s="28">
        <v>42</v>
      </c>
      <c r="F69" s="28">
        <v>43</v>
      </c>
      <c r="G69" s="28">
        <v>45</v>
      </c>
      <c r="H69" s="28">
        <v>52</v>
      </c>
      <c r="I69" s="28">
        <v>49</v>
      </c>
      <c r="J69" s="28">
        <v>37</v>
      </c>
      <c r="K69" s="28">
        <v>33</v>
      </c>
      <c r="L69" s="28">
        <v>38</v>
      </c>
      <c r="M69" s="28">
        <v>41</v>
      </c>
      <c r="N69" s="28">
        <v>40</v>
      </c>
      <c r="O69" s="28">
        <v>17</v>
      </c>
      <c r="P69" s="28">
        <v>9</v>
      </c>
      <c r="Q69" s="106">
        <f>SUM(P69+O69+N69+M69+L69+K69+J69+I69+H69+G69+F69+E69)</f>
        <v>446</v>
      </c>
      <c r="R69" s="85">
        <v>470</v>
      </c>
      <c r="S69" s="54">
        <f t="shared" si="1"/>
        <v>-24</v>
      </c>
    </row>
    <row r="70" spans="1:19" ht="31.5" customHeight="1">
      <c r="A70" s="28" t="s">
        <v>53</v>
      </c>
      <c r="B70" s="161" t="s">
        <v>35</v>
      </c>
      <c r="C70" s="165"/>
      <c r="D70" s="90" t="s">
        <v>58</v>
      </c>
      <c r="E70" s="28">
        <v>4</v>
      </c>
      <c r="F70" s="28">
        <v>4</v>
      </c>
      <c r="G70" s="28">
        <v>4</v>
      </c>
      <c r="H70" s="28">
        <v>4</v>
      </c>
      <c r="I70" s="28">
        <v>4</v>
      </c>
      <c r="J70" s="28">
        <v>3</v>
      </c>
      <c r="K70" s="28">
        <v>3</v>
      </c>
      <c r="L70" s="28">
        <v>3</v>
      </c>
      <c r="M70" s="28">
        <v>3</v>
      </c>
      <c r="N70" s="28">
        <v>4</v>
      </c>
      <c r="O70" s="28">
        <v>4</v>
      </c>
      <c r="P70" s="28">
        <v>4</v>
      </c>
      <c r="Q70" s="41">
        <f>SUM(E70:P70)</f>
        <v>44</v>
      </c>
      <c r="R70" s="85">
        <v>44</v>
      </c>
      <c r="S70" s="54">
        <f t="shared" si="1"/>
        <v>0</v>
      </c>
    </row>
    <row r="71" spans="1:19" ht="21.75" customHeight="1">
      <c r="A71" s="28" t="s">
        <v>66</v>
      </c>
      <c r="B71" s="166" t="s">
        <v>33</v>
      </c>
      <c r="C71" s="167"/>
      <c r="D71" s="90" t="s">
        <v>58</v>
      </c>
      <c r="E71" s="29">
        <v>4.2</v>
      </c>
      <c r="F71" s="29">
        <v>4.2</v>
      </c>
      <c r="G71" s="29">
        <v>4.2</v>
      </c>
      <c r="H71" s="29">
        <v>5.4</v>
      </c>
      <c r="I71" s="29">
        <v>3</v>
      </c>
      <c r="J71" s="29">
        <v>6.5</v>
      </c>
      <c r="K71" s="29">
        <v>4.9</v>
      </c>
      <c r="L71" s="29">
        <v>4.9</v>
      </c>
      <c r="M71" s="29">
        <v>4.9</v>
      </c>
      <c r="N71" s="29">
        <v>5.4</v>
      </c>
      <c r="O71" s="29">
        <v>5.4</v>
      </c>
      <c r="P71" s="29">
        <v>6</v>
      </c>
      <c r="Q71" s="41">
        <f>SUM(E71:P71)</f>
        <v>58.99999999999999</v>
      </c>
      <c r="R71" s="85">
        <v>48.6</v>
      </c>
      <c r="S71" s="71">
        <f t="shared" si="1"/>
        <v>10.399999999999991</v>
      </c>
    </row>
    <row r="72" spans="1:19" ht="18.75" customHeight="1">
      <c r="A72" s="28" t="s">
        <v>71</v>
      </c>
      <c r="B72" s="166" t="s">
        <v>36</v>
      </c>
      <c r="C72" s="167"/>
      <c r="D72" s="90" t="s">
        <v>58</v>
      </c>
      <c r="E72" s="28">
        <v>4.4</v>
      </c>
      <c r="F72" s="28">
        <v>4.4</v>
      </c>
      <c r="G72" s="28">
        <v>2.1</v>
      </c>
      <c r="H72" s="28">
        <v>4.6</v>
      </c>
      <c r="I72" s="28">
        <v>2.5</v>
      </c>
      <c r="J72" s="28">
        <v>5.6</v>
      </c>
      <c r="K72" s="28">
        <v>4.2</v>
      </c>
      <c r="L72" s="28">
        <v>4.2</v>
      </c>
      <c r="M72" s="28">
        <v>4.2</v>
      </c>
      <c r="N72" s="28">
        <v>4.6</v>
      </c>
      <c r="O72" s="28">
        <v>4.6</v>
      </c>
      <c r="P72" s="28">
        <v>5.1</v>
      </c>
      <c r="Q72" s="106">
        <f>SUM(P72+O72+N72+M72+L72+K72+J72+I72+H72+G72+F72+E72)</f>
        <v>50.5</v>
      </c>
      <c r="R72" s="85">
        <v>69</v>
      </c>
      <c r="S72" s="54">
        <f t="shared" si="1"/>
        <v>-18.5</v>
      </c>
    </row>
    <row r="73" spans="1:19" ht="15.75">
      <c r="A73" s="168"/>
      <c r="B73" s="157" t="s">
        <v>64</v>
      </c>
      <c r="C73" s="158"/>
      <c r="D73" s="98" t="s">
        <v>58</v>
      </c>
      <c r="E73" s="36">
        <f>E76+E79</f>
        <v>9533.1</v>
      </c>
      <c r="F73" s="36">
        <f aca="true" t="shared" si="30" ref="F73:Q73">F76+F79</f>
        <v>9658.6</v>
      </c>
      <c r="G73" s="36">
        <f t="shared" si="30"/>
        <v>8519.2</v>
      </c>
      <c r="H73" s="36">
        <f t="shared" si="30"/>
        <v>9258</v>
      </c>
      <c r="I73" s="36">
        <f t="shared" si="30"/>
        <v>8154</v>
      </c>
      <c r="J73" s="36">
        <f t="shared" si="30"/>
        <v>7632.200000000001</v>
      </c>
      <c r="K73" s="36">
        <f t="shared" si="30"/>
        <v>8459.4</v>
      </c>
      <c r="L73" s="36">
        <f t="shared" si="30"/>
        <v>8021.0599999999995</v>
      </c>
      <c r="M73" s="36">
        <f t="shared" si="30"/>
        <v>7501.69</v>
      </c>
      <c r="N73" s="36">
        <f t="shared" si="30"/>
        <v>7791.5</v>
      </c>
      <c r="O73" s="36">
        <f t="shared" si="30"/>
        <v>7850.800000000001</v>
      </c>
      <c r="P73" s="36">
        <f t="shared" si="30"/>
        <v>8593.2</v>
      </c>
      <c r="Q73" s="36">
        <f t="shared" si="30"/>
        <v>100972.75</v>
      </c>
      <c r="R73" s="93">
        <v>115783.6</v>
      </c>
      <c r="S73" s="54">
        <f aca="true" t="shared" si="31" ref="S73:S81">Q73-R73</f>
        <v>-14810.850000000006</v>
      </c>
    </row>
    <row r="74" spans="1:20" ht="15.75">
      <c r="A74" s="168"/>
      <c r="B74" s="157" t="s">
        <v>59</v>
      </c>
      <c r="C74" s="158"/>
      <c r="D74" s="98"/>
      <c r="E74" s="36">
        <f>E77+E80</f>
        <v>8034.099999999999</v>
      </c>
      <c r="F74" s="36">
        <f aca="true" t="shared" si="32" ref="F74:Q74">F77+F80</f>
        <v>8074.599999999999</v>
      </c>
      <c r="G74" s="36">
        <f t="shared" si="32"/>
        <v>6997.2</v>
      </c>
      <c r="H74" s="36">
        <f t="shared" si="32"/>
        <v>7639</v>
      </c>
      <c r="I74" s="36">
        <f t="shared" si="32"/>
        <v>7059</v>
      </c>
      <c r="J74" s="36">
        <f t="shared" si="32"/>
        <v>6162.1</v>
      </c>
      <c r="K74" s="36">
        <f t="shared" si="32"/>
        <v>7249</v>
      </c>
      <c r="L74" s="36">
        <f t="shared" si="32"/>
        <v>6866.0599999999995</v>
      </c>
      <c r="M74" s="36">
        <f t="shared" si="32"/>
        <v>6211.589999999999</v>
      </c>
      <c r="N74" s="36">
        <f t="shared" si="32"/>
        <v>6516.5</v>
      </c>
      <c r="O74" s="36">
        <f t="shared" si="32"/>
        <v>6421.800000000001</v>
      </c>
      <c r="P74" s="36">
        <f t="shared" si="32"/>
        <v>7078.5</v>
      </c>
      <c r="Q74" s="36">
        <f t="shared" si="32"/>
        <v>84309.45</v>
      </c>
      <c r="R74" s="93">
        <v>99509.6</v>
      </c>
      <c r="S74" s="54">
        <f t="shared" si="31"/>
        <v>-15200.150000000009</v>
      </c>
      <c r="T74" s="96"/>
    </row>
    <row r="75" spans="1:19" ht="15.75">
      <c r="A75" s="168"/>
      <c r="B75" s="157" t="s">
        <v>23</v>
      </c>
      <c r="C75" s="158"/>
      <c r="D75" s="98"/>
      <c r="E75" s="36">
        <f>E78+E81</f>
        <v>202</v>
      </c>
      <c r="F75" s="36">
        <f aca="true" t="shared" si="33" ref="F75:Q75">F78+F81</f>
        <v>203</v>
      </c>
      <c r="G75" s="36">
        <f t="shared" si="33"/>
        <v>208</v>
      </c>
      <c r="H75" s="36">
        <f t="shared" si="33"/>
        <v>218</v>
      </c>
      <c r="I75" s="36">
        <f t="shared" si="33"/>
        <v>212</v>
      </c>
      <c r="J75" s="36">
        <f t="shared" si="33"/>
        <v>206.1</v>
      </c>
      <c r="K75" s="36">
        <f t="shared" si="33"/>
        <v>197.1</v>
      </c>
      <c r="L75" s="36">
        <f t="shared" si="33"/>
        <v>161</v>
      </c>
      <c r="M75" s="36">
        <f t="shared" si="33"/>
        <v>187.1</v>
      </c>
      <c r="N75" s="36">
        <f t="shared" si="33"/>
        <v>161</v>
      </c>
      <c r="O75" s="36">
        <f t="shared" si="33"/>
        <v>136</v>
      </c>
      <c r="P75" s="36">
        <f t="shared" si="33"/>
        <v>237.7</v>
      </c>
      <c r="Q75" s="36">
        <f t="shared" si="33"/>
        <v>2329</v>
      </c>
      <c r="R75" s="85">
        <v>2571</v>
      </c>
      <c r="S75" s="54">
        <f t="shared" si="31"/>
        <v>-242</v>
      </c>
    </row>
    <row r="76" spans="1:19" ht="15.75">
      <c r="A76" s="107"/>
      <c r="B76" s="157" t="s">
        <v>61</v>
      </c>
      <c r="C76" s="158"/>
      <c r="D76" s="98" t="s">
        <v>58</v>
      </c>
      <c r="E76" s="36">
        <f>E38+E46+E49+E54+E63+E58+E67+E70+E71+E72</f>
        <v>9380.1</v>
      </c>
      <c r="F76" s="36">
        <f aca="true" t="shared" si="34" ref="F76:Q76">F38+F46+F49+F54+F63+F58+F67+F70+F71+F72</f>
        <v>8907.6</v>
      </c>
      <c r="G76" s="36">
        <f t="shared" si="34"/>
        <v>7916.2</v>
      </c>
      <c r="H76" s="36">
        <f t="shared" si="34"/>
        <v>8222</v>
      </c>
      <c r="I76" s="36">
        <f t="shared" si="34"/>
        <v>7715</v>
      </c>
      <c r="J76" s="36">
        <f t="shared" si="34"/>
        <v>7276.200000000001</v>
      </c>
      <c r="K76" s="36">
        <f t="shared" si="34"/>
        <v>8004.1</v>
      </c>
      <c r="L76" s="36">
        <f t="shared" si="34"/>
        <v>7512.0599999999995</v>
      </c>
      <c r="M76" s="36">
        <f t="shared" si="34"/>
        <v>7245.69</v>
      </c>
      <c r="N76" s="36">
        <f t="shared" si="34"/>
        <v>7228.6</v>
      </c>
      <c r="O76" s="36">
        <f t="shared" si="34"/>
        <v>7094.300000000001</v>
      </c>
      <c r="P76" s="36">
        <f t="shared" si="34"/>
        <v>7940.8</v>
      </c>
      <c r="Q76" s="36">
        <f t="shared" si="34"/>
        <v>94442.65</v>
      </c>
      <c r="R76" s="85">
        <v>107142.6</v>
      </c>
      <c r="S76" s="54">
        <f t="shared" si="31"/>
        <v>-12699.950000000012</v>
      </c>
    </row>
    <row r="77" spans="1:19" ht="15.75">
      <c r="A77" s="107"/>
      <c r="B77" s="157" t="s">
        <v>59</v>
      </c>
      <c r="C77" s="158"/>
      <c r="D77" s="98"/>
      <c r="E77" s="36">
        <f>E39+E47+E50+E54+E64+E68+E70+E71+E72+E59</f>
        <v>7926.099999999999</v>
      </c>
      <c r="F77" s="36">
        <f aca="true" t="shared" si="35" ref="F77:Q77">F39+F47+F50+F54+F64+F68+F70+F71+F72+F59</f>
        <v>7378.599999999999</v>
      </c>
      <c r="G77" s="36">
        <f t="shared" si="35"/>
        <v>6449.2</v>
      </c>
      <c r="H77" s="36">
        <f t="shared" si="35"/>
        <v>6656</v>
      </c>
      <c r="I77" s="36">
        <f t="shared" si="35"/>
        <v>6666</v>
      </c>
      <c r="J77" s="36">
        <f t="shared" si="35"/>
        <v>5889.1</v>
      </c>
      <c r="K77" s="36">
        <f t="shared" si="35"/>
        <v>6843.7</v>
      </c>
      <c r="L77" s="36">
        <f t="shared" si="35"/>
        <v>6411.0599999999995</v>
      </c>
      <c r="M77" s="36">
        <f t="shared" si="35"/>
        <v>6008.589999999999</v>
      </c>
      <c r="N77" s="36">
        <f t="shared" si="35"/>
        <v>6004.6</v>
      </c>
      <c r="O77" s="36">
        <f t="shared" si="35"/>
        <v>5716.300000000001</v>
      </c>
      <c r="P77" s="36">
        <f t="shared" si="35"/>
        <v>6500.1</v>
      </c>
      <c r="Q77" s="36">
        <f t="shared" si="35"/>
        <v>78449.34999999999</v>
      </c>
      <c r="R77" s="47">
        <v>91744.6</v>
      </c>
      <c r="S77" s="54">
        <f t="shared" si="31"/>
        <v>-13295.250000000015</v>
      </c>
    </row>
    <row r="78" spans="1:20" ht="15.75">
      <c r="A78" s="107"/>
      <c r="B78" s="157" t="s">
        <v>23</v>
      </c>
      <c r="C78" s="158"/>
      <c r="D78" s="98"/>
      <c r="E78" s="36">
        <f aca="true" t="shared" si="36" ref="E78:Q78">E40+E48+E51+E69+E60</f>
        <v>202</v>
      </c>
      <c r="F78" s="36">
        <f t="shared" si="36"/>
        <v>201</v>
      </c>
      <c r="G78" s="36">
        <f t="shared" si="36"/>
        <v>208</v>
      </c>
      <c r="H78" s="36">
        <f t="shared" si="36"/>
        <v>218</v>
      </c>
      <c r="I78" s="36">
        <f t="shared" si="36"/>
        <v>211</v>
      </c>
      <c r="J78" s="36">
        <f t="shared" si="36"/>
        <v>205.1</v>
      </c>
      <c r="K78" s="36">
        <f t="shared" si="36"/>
        <v>197.1</v>
      </c>
      <c r="L78" s="36">
        <f t="shared" si="36"/>
        <v>157</v>
      </c>
      <c r="M78" s="36">
        <f t="shared" si="36"/>
        <v>186.1</v>
      </c>
      <c r="N78" s="36">
        <f t="shared" si="36"/>
        <v>158</v>
      </c>
      <c r="O78" s="36">
        <f t="shared" si="36"/>
        <v>134</v>
      </c>
      <c r="P78" s="36">
        <f t="shared" si="36"/>
        <v>235.7</v>
      </c>
      <c r="Q78" s="36">
        <f t="shared" si="36"/>
        <v>2313</v>
      </c>
      <c r="R78" s="85">
        <v>2499</v>
      </c>
      <c r="S78" s="54">
        <f t="shared" si="31"/>
        <v>-186</v>
      </c>
      <c r="T78" s="96"/>
    </row>
    <row r="79" spans="1:19" ht="31.5">
      <c r="A79" s="107"/>
      <c r="B79" s="157" t="s">
        <v>62</v>
      </c>
      <c r="C79" s="158"/>
      <c r="D79" s="100" t="s">
        <v>26</v>
      </c>
      <c r="E79" s="36">
        <f>E43+E56+E65</f>
        <v>153</v>
      </c>
      <c r="F79" s="36">
        <f aca="true" t="shared" si="37" ref="F79:Q79">F43+F56+F65</f>
        <v>751</v>
      </c>
      <c r="G79" s="36">
        <f t="shared" si="37"/>
        <v>603</v>
      </c>
      <c r="H79" s="36">
        <f t="shared" si="37"/>
        <v>1036</v>
      </c>
      <c r="I79" s="36">
        <f t="shared" si="37"/>
        <v>439</v>
      </c>
      <c r="J79" s="36">
        <f t="shared" si="37"/>
        <v>356</v>
      </c>
      <c r="K79" s="36">
        <f t="shared" si="37"/>
        <v>455.3</v>
      </c>
      <c r="L79" s="36">
        <f t="shared" si="37"/>
        <v>509</v>
      </c>
      <c r="M79" s="36">
        <f t="shared" si="37"/>
        <v>256</v>
      </c>
      <c r="N79" s="36">
        <f t="shared" si="37"/>
        <v>562.9</v>
      </c>
      <c r="O79" s="36">
        <f t="shared" si="37"/>
        <v>756.5</v>
      </c>
      <c r="P79" s="36">
        <f t="shared" si="37"/>
        <v>652.4</v>
      </c>
      <c r="Q79" s="36">
        <f t="shared" si="37"/>
        <v>6530.1</v>
      </c>
      <c r="R79" s="85">
        <v>8641</v>
      </c>
      <c r="S79" s="54">
        <f t="shared" si="31"/>
        <v>-2110.8999999999996</v>
      </c>
    </row>
    <row r="80" spans="1:19" ht="15.75">
      <c r="A80" s="107"/>
      <c r="B80" s="157" t="s">
        <v>59</v>
      </c>
      <c r="C80" s="158"/>
      <c r="D80" s="98"/>
      <c r="E80" s="36">
        <f>E44+E66+E57</f>
        <v>108</v>
      </c>
      <c r="F80" s="36">
        <f aca="true" t="shared" si="38" ref="F80:Q80">F44+F66+F57</f>
        <v>696</v>
      </c>
      <c r="G80" s="36">
        <f t="shared" si="38"/>
        <v>548</v>
      </c>
      <c r="H80" s="36">
        <f t="shared" si="38"/>
        <v>983</v>
      </c>
      <c r="I80" s="36">
        <f t="shared" si="38"/>
        <v>393</v>
      </c>
      <c r="J80" s="36">
        <f t="shared" si="38"/>
        <v>273</v>
      </c>
      <c r="K80" s="36">
        <f t="shared" si="38"/>
        <v>405.3</v>
      </c>
      <c r="L80" s="36">
        <f t="shared" si="38"/>
        <v>455</v>
      </c>
      <c r="M80" s="36">
        <f t="shared" si="38"/>
        <v>203</v>
      </c>
      <c r="N80" s="36">
        <f t="shared" si="38"/>
        <v>511.9</v>
      </c>
      <c r="O80" s="36">
        <f t="shared" si="38"/>
        <v>705.5</v>
      </c>
      <c r="P80" s="36">
        <f t="shared" si="38"/>
        <v>578.4</v>
      </c>
      <c r="Q80" s="36">
        <f t="shared" si="38"/>
        <v>5860.1</v>
      </c>
      <c r="R80" s="47">
        <v>7765</v>
      </c>
      <c r="S80" s="54">
        <f t="shared" si="31"/>
        <v>-1904.8999999999996</v>
      </c>
    </row>
    <row r="81" spans="1:19" ht="15.75">
      <c r="A81" s="107"/>
      <c r="B81" s="157" t="s">
        <v>23</v>
      </c>
      <c r="C81" s="158"/>
      <c r="D81" s="98"/>
      <c r="E81" s="36">
        <f aca="true" t="shared" si="39" ref="E81:Q81">E45</f>
        <v>0</v>
      </c>
      <c r="F81" s="36">
        <f t="shared" si="39"/>
        <v>2</v>
      </c>
      <c r="G81" s="36">
        <f t="shared" si="39"/>
        <v>0</v>
      </c>
      <c r="H81" s="36">
        <f t="shared" si="39"/>
        <v>0</v>
      </c>
      <c r="I81" s="36">
        <f t="shared" si="39"/>
        <v>1</v>
      </c>
      <c r="J81" s="36">
        <f t="shared" si="39"/>
        <v>1</v>
      </c>
      <c r="K81" s="36">
        <f t="shared" si="39"/>
        <v>0</v>
      </c>
      <c r="L81" s="36">
        <f t="shared" si="39"/>
        <v>4</v>
      </c>
      <c r="M81" s="36">
        <f t="shared" si="39"/>
        <v>1</v>
      </c>
      <c r="N81" s="36">
        <f t="shared" si="39"/>
        <v>3</v>
      </c>
      <c r="O81" s="36">
        <f t="shared" si="39"/>
        <v>2</v>
      </c>
      <c r="P81" s="36">
        <f t="shared" si="39"/>
        <v>2</v>
      </c>
      <c r="Q81" s="36">
        <f t="shared" si="39"/>
        <v>16</v>
      </c>
      <c r="R81" s="85">
        <v>72</v>
      </c>
      <c r="S81" s="54">
        <f t="shared" si="31"/>
        <v>-56</v>
      </c>
    </row>
    <row r="82" spans="5:20" ht="15.75"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93"/>
      <c r="T82" s="96"/>
    </row>
    <row r="83" spans="7:17" ht="15.75">
      <c r="G83" s="54" t="s">
        <v>69</v>
      </c>
      <c r="Q83" s="108"/>
    </row>
    <row r="84" spans="5:17" ht="15.75"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2:17" ht="18.75">
      <c r="B85" s="82"/>
      <c r="C85" s="83" t="s">
        <v>89</v>
      </c>
      <c r="D85" s="83"/>
      <c r="E85" s="64"/>
      <c r="F85" s="64"/>
      <c r="G85" s="64"/>
      <c r="H85" s="64"/>
      <c r="I85" s="64"/>
      <c r="J85" s="64"/>
      <c r="K85" s="64"/>
      <c r="L85" s="64"/>
      <c r="M85" s="64"/>
      <c r="N85" s="64" t="s">
        <v>106</v>
      </c>
      <c r="O85" s="64"/>
      <c r="P85" s="64"/>
      <c r="Q85" s="84"/>
    </row>
    <row r="86" spans="16:17" ht="15.75">
      <c r="P86" s="108"/>
      <c r="Q86" s="108"/>
    </row>
    <row r="87" spans="5:17" ht="15.7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5:17" ht="15.7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5:17" ht="15.7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</row>
  </sheetData>
  <sheetProtection/>
  <mergeCells count="87">
    <mergeCell ref="N41:Q41"/>
    <mergeCell ref="B42:C42"/>
    <mergeCell ref="B30:C30"/>
    <mergeCell ref="B31:C31"/>
    <mergeCell ref="B32:C32"/>
    <mergeCell ref="B33:C33"/>
    <mergeCell ref="B34:C34"/>
    <mergeCell ref="B35:C35"/>
    <mergeCell ref="B38:C38"/>
    <mergeCell ref="B39:C39"/>
    <mergeCell ref="A21:A28"/>
    <mergeCell ref="B22:C22"/>
    <mergeCell ref="B23:C23"/>
    <mergeCell ref="B25:C25"/>
    <mergeCell ref="B28:C28"/>
    <mergeCell ref="B24:C24"/>
    <mergeCell ref="B26:C26"/>
    <mergeCell ref="B27:C27"/>
    <mergeCell ref="B21:C21"/>
    <mergeCell ref="B11:C11"/>
    <mergeCell ref="B18:C18"/>
    <mergeCell ref="B4:Q4"/>
    <mergeCell ref="B5:Q5"/>
    <mergeCell ref="B7:C7"/>
    <mergeCell ref="B9:C9"/>
    <mergeCell ref="B8:C8"/>
    <mergeCell ref="B13:C13"/>
    <mergeCell ref="B14:C14"/>
    <mergeCell ref="B15:C15"/>
    <mergeCell ref="A9:A17"/>
    <mergeCell ref="B16:C16"/>
    <mergeCell ref="B17:C17"/>
    <mergeCell ref="A35:A37"/>
    <mergeCell ref="B36:C36"/>
    <mergeCell ref="B37:C37"/>
    <mergeCell ref="A18:A20"/>
    <mergeCell ref="B19:C19"/>
    <mergeCell ref="B12:C12"/>
    <mergeCell ref="B10:C10"/>
    <mergeCell ref="A46:A48"/>
    <mergeCell ref="B48:C48"/>
    <mergeCell ref="B72:C72"/>
    <mergeCell ref="A29:A33"/>
    <mergeCell ref="B58:C58"/>
    <mergeCell ref="B40:C40"/>
    <mergeCell ref="A67:A69"/>
    <mergeCell ref="B67:C67"/>
    <mergeCell ref="B68:C68"/>
    <mergeCell ref="A58:A60"/>
    <mergeCell ref="A73:A75"/>
    <mergeCell ref="B73:C73"/>
    <mergeCell ref="B74:C74"/>
    <mergeCell ref="B75:C75"/>
    <mergeCell ref="B60:C60"/>
    <mergeCell ref="A49:A51"/>
    <mergeCell ref="B50:C50"/>
    <mergeCell ref="B52:C52"/>
    <mergeCell ref="B53:C53"/>
    <mergeCell ref="B62:C62"/>
    <mergeCell ref="B44:C44"/>
    <mergeCell ref="B43:C43"/>
    <mergeCell ref="B20:C20"/>
    <mergeCell ref="B47:C47"/>
    <mergeCell ref="B81:C81"/>
    <mergeCell ref="B45:C45"/>
    <mergeCell ref="B77:C77"/>
    <mergeCell ref="B78:C78"/>
    <mergeCell ref="B70:C70"/>
    <mergeCell ref="B71:C71"/>
    <mergeCell ref="B29:C29"/>
    <mergeCell ref="B80:C80"/>
    <mergeCell ref="B69:C69"/>
    <mergeCell ref="B59:C59"/>
    <mergeCell ref="B61:C61"/>
    <mergeCell ref="B46:C46"/>
    <mergeCell ref="B76:C76"/>
    <mergeCell ref="B79:C79"/>
    <mergeCell ref="B51:C51"/>
    <mergeCell ref="B49:C49"/>
    <mergeCell ref="B63:C63"/>
    <mergeCell ref="B64:C64"/>
    <mergeCell ref="B65:C65"/>
    <mergeCell ref="B66:C66"/>
    <mergeCell ref="B54:C54"/>
    <mergeCell ref="B55:C55"/>
    <mergeCell ref="B56:C56"/>
    <mergeCell ref="B57:C57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3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S47"/>
  <sheetViews>
    <sheetView view="pageBreakPreview" zoomScale="75" zoomScaleNormal="75" zoomScaleSheetLayoutView="75" zoomScalePageLayoutView="0" workbookViewId="0" topLeftCell="A1">
      <selection activeCell="B4" sqref="B4:P4"/>
    </sheetView>
  </sheetViews>
  <sheetFormatPr defaultColWidth="9.140625" defaultRowHeight="12.75"/>
  <cols>
    <col min="1" max="1" width="5.28125" style="54" customWidth="1"/>
    <col min="2" max="2" width="9.140625" style="54" customWidth="1"/>
    <col min="3" max="3" width="59.00390625" style="54" customWidth="1"/>
    <col min="4" max="4" width="8.7109375" style="54" customWidth="1"/>
    <col min="5" max="5" width="10.00390625" style="54" customWidth="1"/>
    <col min="6" max="6" width="9.8515625" style="54" customWidth="1"/>
    <col min="7" max="7" width="9.421875" style="54" customWidth="1"/>
    <col min="8" max="8" width="9.28125" style="54" customWidth="1"/>
    <col min="9" max="10" width="9.7109375" style="54" customWidth="1"/>
    <col min="11" max="15" width="11.00390625" style="54" bestFit="1" customWidth="1"/>
    <col min="16" max="16" width="10.8515625" style="54" customWidth="1"/>
    <col min="17" max="17" width="9.28125" style="54" hidden="1" customWidth="1"/>
    <col min="18" max="18" width="0" style="54" hidden="1" customWidth="1"/>
    <col min="19" max="16384" width="9.140625" style="54" customWidth="1"/>
  </cols>
  <sheetData>
    <row r="1" spans="12:15" ht="18.75">
      <c r="L1" s="55"/>
      <c r="M1" s="55"/>
      <c r="N1" s="56" t="s">
        <v>70</v>
      </c>
      <c r="O1" s="56"/>
    </row>
    <row r="2" spans="1:15" ht="18.75">
      <c r="A2" s="57"/>
      <c r="B2" s="58"/>
      <c r="C2" s="57"/>
      <c r="D2" s="59"/>
      <c r="E2" s="59"/>
      <c r="F2" s="59"/>
      <c r="G2" s="59"/>
      <c r="H2" s="59"/>
      <c r="L2" s="60" t="s">
        <v>1</v>
      </c>
      <c r="M2" s="60"/>
      <c r="N2" s="60"/>
      <c r="O2" s="60"/>
    </row>
    <row r="3" spans="1:16" ht="18.75">
      <c r="A3" s="57"/>
      <c r="B3" s="58"/>
      <c r="C3" s="57"/>
      <c r="D3" s="59"/>
      <c r="E3" s="59"/>
      <c r="F3" s="59"/>
      <c r="G3" s="59"/>
      <c r="H3" s="59"/>
      <c r="L3" s="56" t="s">
        <v>107</v>
      </c>
      <c r="M3" s="56"/>
      <c r="N3" s="56"/>
      <c r="O3" s="60"/>
      <c r="P3" s="61"/>
    </row>
    <row r="4" spans="1:16" ht="18.75">
      <c r="A4" s="62"/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8.75">
      <c r="A5" s="62"/>
      <c r="B5" s="142" t="s">
        <v>93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8.75">
      <c r="A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66" t="s">
        <v>46</v>
      </c>
      <c r="P6" s="57"/>
    </row>
    <row r="7" spans="1:16" ht="15.75">
      <c r="A7" s="67" t="s">
        <v>51</v>
      </c>
      <c r="B7" s="67" t="s">
        <v>39</v>
      </c>
      <c r="C7" s="67"/>
      <c r="D7" s="67" t="s">
        <v>6</v>
      </c>
      <c r="E7" s="67" t="s">
        <v>7</v>
      </c>
      <c r="F7" s="67" t="s">
        <v>8</v>
      </c>
      <c r="G7" s="67" t="s">
        <v>9</v>
      </c>
      <c r="H7" s="67" t="s">
        <v>10</v>
      </c>
      <c r="I7" s="67" t="s">
        <v>11</v>
      </c>
      <c r="J7" s="67" t="s">
        <v>12</v>
      </c>
      <c r="K7" s="67" t="s">
        <v>13</v>
      </c>
      <c r="L7" s="67" t="s">
        <v>14</v>
      </c>
      <c r="M7" s="67" t="s">
        <v>15</v>
      </c>
      <c r="N7" s="67" t="s">
        <v>16</v>
      </c>
      <c r="O7" s="67" t="s">
        <v>17</v>
      </c>
      <c r="P7" s="67" t="s">
        <v>90</v>
      </c>
    </row>
    <row r="8" spans="1:18" ht="18.75" customHeight="1">
      <c r="A8" s="143" t="s">
        <v>18</v>
      </c>
      <c r="B8" s="67" t="s">
        <v>40</v>
      </c>
      <c r="C8" s="67"/>
      <c r="D8" s="68">
        <f>D9+D10+4075</f>
        <v>38575</v>
      </c>
      <c r="E8" s="68">
        <f>E9+E10+7650</f>
        <v>42640</v>
      </c>
      <c r="F8" s="68">
        <f>F9+F10+5825</f>
        <v>35835</v>
      </c>
      <c r="G8" s="68">
        <f>G9+G10+6045</f>
        <v>35060</v>
      </c>
      <c r="H8" s="68">
        <f>H9+H10+6440</f>
        <v>31530</v>
      </c>
      <c r="I8" s="68">
        <f>I9+I10+7445</f>
        <v>30550</v>
      </c>
      <c r="J8" s="68">
        <f>J9+J10+6910</f>
        <v>31730</v>
      </c>
      <c r="K8" s="68">
        <f>K9+K10+7090</f>
        <v>33165</v>
      </c>
      <c r="L8" s="68">
        <f>L9+L10+6905</f>
        <v>31380</v>
      </c>
      <c r="M8" s="68">
        <f>M9+M10+5560</f>
        <v>34475</v>
      </c>
      <c r="N8" s="68">
        <f>N9+N10+5825</f>
        <v>34620</v>
      </c>
      <c r="O8" s="68">
        <f>O9+O10+5680</f>
        <v>34990</v>
      </c>
      <c r="P8" s="68">
        <f>SUM(D8:O8)</f>
        <v>414550</v>
      </c>
      <c r="Q8" s="69">
        <v>445700</v>
      </c>
      <c r="R8" s="54">
        <f aca="true" t="shared" si="0" ref="R8:R43">P8-Q8</f>
        <v>-31150</v>
      </c>
    </row>
    <row r="9" spans="1:18" ht="15.75">
      <c r="A9" s="144"/>
      <c r="B9" s="67" t="s">
        <v>59</v>
      </c>
      <c r="C9" s="67"/>
      <c r="D9" s="68">
        <v>34500</v>
      </c>
      <c r="E9" s="68">
        <v>34900</v>
      </c>
      <c r="F9" s="68">
        <v>30000</v>
      </c>
      <c r="G9" s="68">
        <v>29000</v>
      </c>
      <c r="H9" s="68">
        <v>25060</v>
      </c>
      <c r="I9" s="68">
        <v>23060</v>
      </c>
      <c r="J9" s="68">
        <v>24800</v>
      </c>
      <c r="K9" s="68">
        <v>26000</v>
      </c>
      <c r="L9" s="68">
        <v>24350</v>
      </c>
      <c r="M9" s="68">
        <v>28800</v>
      </c>
      <c r="N9" s="68">
        <v>28700</v>
      </c>
      <c r="O9" s="68">
        <v>29230</v>
      </c>
      <c r="P9" s="68">
        <f>SUM(D9:O9)</f>
        <v>338400</v>
      </c>
      <c r="Q9" s="69">
        <v>340224</v>
      </c>
      <c r="R9" s="54">
        <f t="shared" si="0"/>
        <v>-1824</v>
      </c>
    </row>
    <row r="10" spans="1:18" ht="15.75">
      <c r="A10" s="145"/>
      <c r="B10" s="67" t="s">
        <v>23</v>
      </c>
      <c r="C10" s="67"/>
      <c r="D10" s="68">
        <v>0</v>
      </c>
      <c r="E10" s="68">
        <v>90</v>
      </c>
      <c r="F10" s="68">
        <v>10</v>
      </c>
      <c r="G10" s="68">
        <v>15</v>
      </c>
      <c r="H10" s="68">
        <v>30</v>
      </c>
      <c r="I10" s="68">
        <v>45</v>
      </c>
      <c r="J10" s="68">
        <v>20</v>
      </c>
      <c r="K10" s="68">
        <v>75</v>
      </c>
      <c r="L10" s="68">
        <v>125</v>
      </c>
      <c r="M10" s="68">
        <v>115</v>
      </c>
      <c r="N10" s="68">
        <v>95</v>
      </c>
      <c r="O10" s="68">
        <v>80</v>
      </c>
      <c r="P10" s="68">
        <f aca="true" t="shared" si="1" ref="P10:P40">SUM(D10:O10)</f>
        <v>700</v>
      </c>
      <c r="Q10" s="69">
        <v>2700</v>
      </c>
      <c r="R10" s="54">
        <f t="shared" si="0"/>
        <v>-2000</v>
      </c>
    </row>
    <row r="11" spans="1:18" ht="15.75">
      <c r="A11" s="143" t="s">
        <v>21</v>
      </c>
      <c r="B11" s="67" t="s">
        <v>42</v>
      </c>
      <c r="C11" s="67"/>
      <c r="D11" s="68">
        <v>46800</v>
      </c>
      <c r="E11" s="68">
        <v>48700</v>
      </c>
      <c r="F11" s="68">
        <v>46700</v>
      </c>
      <c r="G11" s="68">
        <v>43700</v>
      </c>
      <c r="H11" s="68">
        <v>39700</v>
      </c>
      <c r="I11" s="68">
        <v>29300</v>
      </c>
      <c r="J11" s="68">
        <v>32500</v>
      </c>
      <c r="K11" s="68">
        <v>28000</v>
      </c>
      <c r="L11" s="68">
        <v>22800</v>
      </c>
      <c r="M11" s="68">
        <v>32757</v>
      </c>
      <c r="N11" s="68">
        <v>38600</v>
      </c>
      <c r="O11" s="68">
        <v>44300</v>
      </c>
      <c r="P11" s="68">
        <f t="shared" si="1"/>
        <v>453857</v>
      </c>
      <c r="Q11" s="69">
        <v>453857</v>
      </c>
      <c r="R11" s="54">
        <f t="shared" si="0"/>
        <v>0</v>
      </c>
    </row>
    <row r="12" spans="1:18" ht="15.75">
      <c r="A12" s="144"/>
      <c r="B12" s="67" t="s">
        <v>59</v>
      </c>
      <c r="C12" s="67"/>
      <c r="D12" s="68">
        <v>35229</v>
      </c>
      <c r="E12" s="68">
        <v>50290</v>
      </c>
      <c r="F12" s="68">
        <v>39313</v>
      </c>
      <c r="G12" s="68">
        <v>34106</v>
      </c>
      <c r="H12" s="68">
        <v>35545</v>
      </c>
      <c r="I12" s="68">
        <v>26370</v>
      </c>
      <c r="J12" s="68">
        <v>24835</v>
      </c>
      <c r="K12" s="68">
        <v>23322</v>
      </c>
      <c r="L12" s="68">
        <v>22750</v>
      </c>
      <c r="M12" s="68">
        <v>27972</v>
      </c>
      <c r="N12" s="68">
        <v>35056</v>
      </c>
      <c r="O12" s="68">
        <v>46857</v>
      </c>
      <c r="P12" s="68">
        <f t="shared" si="1"/>
        <v>401645</v>
      </c>
      <c r="Q12" s="70">
        <v>400651</v>
      </c>
      <c r="R12" s="71">
        <f>P12-Q12</f>
        <v>994</v>
      </c>
    </row>
    <row r="13" spans="1:18" ht="15.75">
      <c r="A13" s="145"/>
      <c r="B13" s="67" t="s">
        <v>23</v>
      </c>
      <c r="C13" s="67"/>
      <c r="D13" s="68">
        <v>1500</v>
      </c>
      <c r="E13" s="68">
        <v>1500</v>
      </c>
      <c r="F13" s="68">
        <v>1500</v>
      </c>
      <c r="G13" s="68">
        <v>1600</v>
      </c>
      <c r="H13" s="68">
        <v>1300</v>
      </c>
      <c r="I13" s="68">
        <v>1600</v>
      </c>
      <c r="J13" s="68">
        <v>1200</v>
      </c>
      <c r="K13" s="68">
        <v>1200</v>
      </c>
      <c r="L13" s="68">
        <v>1300</v>
      </c>
      <c r="M13" s="68">
        <v>1457</v>
      </c>
      <c r="N13" s="68">
        <v>1500</v>
      </c>
      <c r="O13" s="68">
        <v>1600</v>
      </c>
      <c r="P13" s="68">
        <f t="shared" si="1"/>
        <v>17257</v>
      </c>
      <c r="Q13" s="69">
        <v>17257</v>
      </c>
      <c r="R13" s="54">
        <f t="shared" si="0"/>
        <v>0</v>
      </c>
    </row>
    <row r="14" spans="1:18" ht="15.75">
      <c r="A14" s="143" t="s">
        <v>24</v>
      </c>
      <c r="B14" s="67" t="s">
        <v>43</v>
      </c>
      <c r="C14" s="67"/>
      <c r="D14" s="68">
        <f>D15+D16+25670</f>
        <v>69753</v>
      </c>
      <c r="E14" s="68">
        <f>E15+E16+28960</f>
        <v>72209</v>
      </c>
      <c r="F14" s="68">
        <f>F15+F16+26485</f>
        <v>69685</v>
      </c>
      <c r="G14" s="68">
        <f>G15+G16+25635</f>
        <v>69037</v>
      </c>
      <c r="H14" s="68">
        <f>H15+H16+25215</f>
        <v>64798</v>
      </c>
      <c r="I14" s="68">
        <f>I15+I16+17425</f>
        <v>52745</v>
      </c>
      <c r="J14" s="68">
        <f>J15+J16+17205</f>
        <v>53395</v>
      </c>
      <c r="K14" s="68">
        <f>K15+K16+17987</f>
        <v>52762</v>
      </c>
      <c r="L14" s="68">
        <f>L15+L16+17912</f>
        <v>55221</v>
      </c>
      <c r="M14" s="68">
        <f>M15+M16+25273</f>
        <v>63443</v>
      </c>
      <c r="N14" s="68">
        <f>N15+N16+27905</f>
        <v>70666</v>
      </c>
      <c r="O14" s="68">
        <f>O15+O16+30332</f>
        <v>73901</v>
      </c>
      <c r="P14" s="68">
        <f t="shared" si="1"/>
        <v>767615</v>
      </c>
      <c r="Q14" s="69">
        <v>810593</v>
      </c>
      <c r="R14" s="54">
        <f t="shared" si="0"/>
        <v>-42978</v>
      </c>
    </row>
    <row r="15" spans="1:18" ht="15.75">
      <c r="A15" s="144"/>
      <c r="B15" s="67" t="s">
        <v>59</v>
      </c>
      <c r="C15" s="67"/>
      <c r="D15" s="68">
        <v>44083</v>
      </c>
      <c r="E15" s="68">
        <v>43129</v>
      </c>
      <c r="F15" s="68">
        <v>43200</v>
      </c>
      <c r="G15" s="68">
        <v>43402</v>
      </c>
      <c r="H15" s="68">
        <v>39013</v>
      </c>
      <c r="I15" s="68">
        <v>35320</v>
      </c>
      <c r="J15" s="68">
        <v>36190</v>
      </c>
      <c r="K15" s="68">
        <v>34775</v>
      </c>
      <c r="L15" s="68">
        <v>36805</v>
      </c>
      <c r="M15" s="68">
        <v>38170</v>
      </c>
      <c r="N15" s="68">
        <v>42424</v>
      </c>
      <c r="O15" s="68">
        <v>43569</v>
      </c>
      <c r="P15" s="68">
        <f t="shared" si="1"/>
        <v>480080</v>
      </c>
      <c r="Q15" s="70">
        <v>453393</v>
      </c>
      <c r="R15" s="71">
        <f t="shared" si="0"/>
        <v>26687</v>
      </c>
    </row>
    <row r="16" spans="1:18" ht="15.75">
      <c r="A16" s="145"/>
      <c r="B16" s="67" t="s">
        <v>23</v>
      </c>
      <c r="C16" s="67"/>
      <c r="D16" s="68">
        <v>0</v>
      </c>
      <c r="E16" s="68">
        <v>120</v>
      </c>
      <c r="F16" s="68">
        <v>0</v>
      </c>
      <c r="G16" s="68">
        <v>0</v>
      </c>
      <c r="H16" s="68">
        <v>570</v>
      </c>
      <c r="I16" s="68">
        <v>0</v>
      </c>
      <c r="J16" s="68">
        <v>0</v>
      </c>
      <c r="K16" s="68">
        <v>0</v>
      </c>
      <c r="L16" s="68">
        <v>504</v>
      </c>
      <c r="M16" s="68">
        <v>0</v>
      </c>
      <c r="N16" s="68">
        <v>337</v>
      </c>
      <c r="O16" s="68">
        <v>0</v>
      </c>
      <c r="P16" s="68">
        <f t="shared" si="1"/>
        <v>1531</v>
      </c>
      <c r="Q16" s="69">
        <v>1684</v>
      </c>
      <c r="R16" s="54">
        <f t="shared" si="0"/>
        <v>-153</v>
      </c>
    </row>
    <row r="17" spans="1:19" ht="35.25" customHeight="1">
      <c r="A17" s="143" t="s">
        <v>28</v>
      </c>
      <c r="B17" s="155" t="s">
        <v>105</v>
      </c>
      <c r="C17" s="156"/>
      <c r="D17" s="68">
        <f>D18+4900</f>
        <v>54419</v>
      </c>
      <c r="E17" s="68">
        <f>E18+4800</f>
        <v>53975</v>
      </c>
      <c r="F17" s="68">
        <f>F18+4800</f>
        <v>54319</v>
      </c>
      <c r="G17" s="68">
        <f>G18+4800</f>
        <v>54444</v>
      </c>
      <c r="H17" s="68">
        <f>H18+4500</f>
        <v>46782</v>
      </c>
      <c r="I17" s="68">
        <f>I18+4500</f>
        <v>39789</v>
      </c>
      <c r="J17" s="68">
        <f>J18+4000</f>
        <v>39934</v>
      </c>
      <c r="K17" s="68">
        <f>K18+3800</f>
        <v>36666</v>
      </c>
      <c r="L17" s="68">
        <f>L18+3800</f>
        <v>31909</v>
      </c>
      <c r="M17" s="68">
        <f>M18+4001</f>
        <v>37178</v>
      </c>
      <c r="N17" s="68">
        <f>N18+3704</f>
        <v>52973</v>
      </c>
      <c r="O17" s="68">
        <f>O18+3720</f>
        <v>53612</v>
      </c>
      <c r="P17" s="68">
        <f t="shared" si="1"/>
        <v>556000</v>
      </c>
      <c r="Q17" s="69">
        <v>569523</v>
      </c>
      <c r="R17" s="54">
        <f t="shared" si="0"/>
        <v>-13523</v>
      </c>
      <c r="S17" s="72"/>
    </row>
    <row r="18" spans="1:18" ht="15.75">
      <c r="A18" s="145"/>
      <c r="B18" s="67" t="s">
        <v>59</v>
      </c>
      <c r="C18" s="67"/>
      <c r="D18" s="68">
        <v>49519</v>
      </c>
      <c r="E18" s="68">
        <v>49175</v>
      </c>
      <c r="F18" s="68">
        <v>49519</v>
      </c>
      <c r="G18" s="68">
        <v>49644</v>
      </c>
      <c r="H18" s="68">
        <v>42282</v>
      </c>
      <c r="I18" s="68">
        <v>35289</v>
      </c>
      <c r="J18" s="68">
        <v>35934</v>
      </c>
      <c r="K18" s="68">
        <v>32866</v>
      </c>
      <c r="L18" s="68">
        <v>28109</v>
      </c>
      <c r="M18" s="68">
        <v>33177</v>
      </c>
      <c r="N18" s="68">
        <v>49269</v>
      </c>
      <c r="O18" s="68">
        <v>49892</v>
      </c>
      <c r="P18" s="68">
        <f>SUM(D18:O18)</f>
        <v>504675</v>
      </c>
      <c r="Q18" s="70">
        <v>517083</v>
      </c>
      <c r="R18" s="54">
        <f t="shared" si="0"/>
        <v>-12408</v>
      </c>
    </row>
    <row r="19" spans="1:18" ht="15.75">
      <c r="A19" s="143"/>
      <c r="B19" s="73" t="s">
        <v>44</v>
      </c>
      <c r="C19" s="73"/>
      <c r="D19" s="74">
        <f>D8+D11+D14+D17</f>
        <v>209547</v>
      </c>
      <c r="E19" s="74">
        <f aca="true" t="shared" si="2" ref="E19:P19">E8+E11+E14+E17</f>
        <v>217524</v>
      </c>
      <c r="F19" s="74">
        <f t="shared" si="2"/>
        <v>206539</v>
      </c>
      <c r="G19" s="74">
        <f t="shared" si="2"/>
        <v>202241</v>
      </c>
      <c r="H19" s="74">
        <f t="shared" si="2"/>
        <v>182810</v>
      </c>
      <c r="I19" s="74">
        <f t="shared" si="2"/>
        <v>152384</v>
      </c>
      <c r="J19" s="74">
        <f t="shared" si="2"/>
        <v>157559</v>
      </c>
      <c r="K19" s="74">
        <f t="shared" si="2"/>
        <v>150593</v>
      </c>
      <c r="L19" s="74">
        <f t="shared" si="2"/>
        <v>141310</v>
      </c>
      <c r="M19" s="74">
        <f t="shared" si="2"/>
        <v>167853</v>
      </c>
      <c r="N19" s="74">
        <f t="shared" si="2"/>
        <v>196859</v>
      </c>
      <c r="O19" s="74">
        <f t="shared" si="2"/>
        <v>206803</v>
      </c>
      <c r="P19" s="74">
        <f t="shared" si="2"/>
        <v>2192022</v>
      </c>
      <c r="Q19" s="69">
        <v>2279673</v>
      </c>
      <c r="R19" s="54">
        <f t="shared" si="0"/>
        <v>-87651</v>
      </c>
    </row>
    <row r="20" spans="1:18" ht="15.75">
      <c r="A20" s="144"/>
      <c r="B20" s="73" t="s">
        <v>59</v>
      </c>
      <c r="C20" s="73"/>
      <c r="D20" s="74">
        <f>D9+D12+D15+D18</f>
        <v>163331</v>
      </c>
      <c r="E20" s="74">
        <f aca="true" t="shared" si="3" ref="E20:P20">E9+E12+E15+E18</f>
        <v>177494</v>
      </c>
      <c r="F20" s="74">
        <f t="shared" si="3"/>
        <v>162032</v>
      </c>
      <c r="G20" s="74">
        <f t="shared" si="3"/>
        <v>156152</v>
      </c>
      <c r="H20" s="74">
        <f t="shared" si="3"/>
        <v>141900</v>
      </c>
      <c r="I20" s="74">
        <f t="shared" si="3"/>
        <v>120039</v>
      </c>
      <c r="J20" s="74">
        <f t="shared" si="3"/>
        <v>121759</v>
      </c>
      <c r="K20" s="74">
        <f t="shared" si="3"/>
        <v>116963</v>
      </c>
      <c r="L20" s="74">
        <f t="shared" si="3"/>
        <v>112014</v>
      </c>
      <c r="M20" s="74">
        <f t="shared" si="3"/>
        <v>128119</v>
      </c>
      <c r="N20" s="74">
        <f t="shared" si="3"/>
        <v>155449</v>
      </c>
      <c r="O20" s="74">
        <f t="shared" si="3"/>
        <v>169548</v>
      </c>
      <c r="P20" s="74">
        <f t="shared" si="3"/>
        <v>1724800</v>
      </c>
      <c r="Q20" s="69">
        <v>1711351</v>
      </c>
      <c r="R20" s="54">
        <f t="shared" si="0"/>
        <v>13449</v>
      </c>
    </row>
    <row r="21" spans="1:18" ht="15.75">
      <c r="A21" s="145"/>
      <c r="B21" s="73" t="s">
        <v>23</v>
      </c>
      <c r="C21" s="73"/>
      <c r="D21" s="74">
        <f>D10+D13+D16</f>
        <v>1500</v>
      </c>
      <c r="E21" s="74">
        <f aca="true" t="shared" si="4" ref="E21:O21">E10+E13+E16</f>
        <v>1710</v>
      </c>
      <c r="F21" s="74">
        <f t="shared" si="4"/>
        <v>1510</v>
      </c>
      <c r="G21" s="74">
        <f t="shared" si="4"/>
        <v>1615</v>
      </c>
      <c r="H21" s="74">
        <f t="shared" si="4"/>
        <v>1900</v>
      </c>
      <c r="I21" s="74">
        <f t="shared" si="4"/>
        <v>1645</v>
      </c>
      <c r="J21" s="74">
        <f t="shared" si="4"/>
        <v>1220</v>
      </c>
      <c r="K21" s="74">
        <f t="shared" si="4"/>
        <v>1275</v>
      </c>
      <c r="L21" s="74">
        <f t="shared" si="4"/>
        <v>1929</v>
      </c>
      <c r="M21" s="74">
        <f t="shared" si="4"/>
        <v>1572</v>
      </c>
      <c r="N21" s="74">
        <f t="shared" si="4"/>
        <v>1932</v>
      </c>
      <c r="O21" s="74">
        <f t="shared" si="4"/>
        <v>1680</v>
      </c>
      <c r="P21" s="74">
        <f t="shared" si="1"/>
        <v>19488</v>
      </c>
      <c r="Q21" s="69">
        <v>21641</v>
      </c>
      <c r="R21" s="54">
        <f t="shared" si="0"/>
        <v>-2153</v>
      </c>
    </row>
    <row r="22" spans="1:18" ht="36" customHeight="1">
      <c r="A22" s="143" t="s">
        <v>30</v>
      </c>
      <c r="B22" s="155" t="s">
        <v>86</v>
      </c>
      <c r="C22" s="156"/>
      <c r="D22" s="68">
        <f>D23+D24+1270</f>
        <v>24756</v>
      </c>
      <c r="E22" s="68">
        <f aca="true" t="shared" si="5" ref="E22:N22">E23+E24+1270</f>
        <v>28615</v>
      </c>
      <c r="F22" s="68">
        <f t="shared" si="5"/>
        <v>25144</v>
      </c>
      <c r="G22" s="68">
        <f t="shared" si="5"/>
        <v>21762</v>
      </c>
      <c r="H22" s="68">
        <f t="shared" si="5"/>
        <v>17520</v>
      </c>
      <c r="I22" s="68">
        <f t="shared" si="5"/>
        <v>16165</v>
      </c>
      <c r="J22" s="68">
        <f t="shared" si="5"/>
        <v>15451</v>
      </c>
      <c r="K22" s="68">
        <f t="shared" si="5"/>
        <v>17560</v>
      </c>
      <c r="L22" s="68">
        <f t="shared" si="5"/>
        <v>15400</v>
      </c>
      <c r="M22" s="68">
        <f t="shared" si="5"/>
        <v>24169</v>
      </c>
      <c r="N22" s="68">
        <f t="shared" si="5"/>
        <v>22219</v>
      </c>
      <c r="O22" s="68">
        <f>O23+O24+1274</f>
        <v>26939</v>
      </c>
      <c r="P22" s="68">
        <f t="shared" si="1"/>
        <v>255700</v>
      </c>
      <c r="Q22" s="69">
        <v>386250</v>
      </c>
      <c r="R22" s="54">
        <f t="shared" si="0"/>
        <v>-130550</v>
      </c>
    </row>
    <row r="23" spans="1:18" ht="15.75">
      <c r="A23" s="144"/>
      <c r="B23" s="67" t="s">
        <v>59</v>
      </c>
      <c r="C23" s="67"/>
      <c r="D23" s="68">
        <v>23486</v>
      </c>
      <c r="E23" s="68">
        <v>27290</v>
      </c>
      <c r="F23" s="68">
        <v>23819</v>
      </c>
      <c r="G23" s="68">
        <v>20437</v>
      </c>
      <c r="H23" s="68">
        <v>16195</v>
      </c>
      <c r="I23" s="68">
        <v>14895</v>
      </c>
      <c r="J23" s="68">
        <v>14126</v>
      </c>
      <c r="K23" s="68">
        <v>16235</v>
      </c>
      <c r="L23" s="68">
        <v>14075</v>
      </c>
      <c r="M23" s="68">
        <v>22844</v>
      </c>
      <c r="N23" s="68">
        <v>20894</v>
      </c>
      <c r="O23" s="68">
        <v>25610</v>
      </c>
      <c r="P23" s="68">
        <f t="shared" si="1"/>
        <v>239906</v>
      </c>
      <c r="Q23" s="70">
        <v>370500</v>
      </c>
      <c r="R23" s="54">
        <f t="shared" si="0"/>
        <v>-130594</v>
      </c>
    </row>
    <row r="24" spans="1:18" ht="15.75">
      <c r="A24" s="145"/>
      <c r="B24" s="67" t="s">
        <v>23</v>
      </c>
      <c r="C24" s="67"/>
      <c r="D24" s="68"/>
      <c r="E24" s="68">
        <v>55</v>
      </c>
      <c r="F24" s="68">
        <v>55</v>
      </c>
      <c r="G24" s="68">
        <v>55</v>
      </c>
      <c r="H24" s="68">
        <v>55</v>
      </c>
      <c r="I24" s="68"/>
      <c r="J24" s="68">
        <v>55</v>
      </c>
      <c r="K24" s="68">
        <v>55</v>
      </c>
      <c r="L24" s="68">
        <v>55</v>
      </c>
      <c r="M24" s="68">
        <v>55</v>
      </c>
      <c r="N24" s="68">
        <v>55</v>
      </c>
      <c r="O24" s="68">
        <v>55</v>
      </c>
      <c r="P24" s="68">
        <f t="shared" si="1"/>
        <v>550</v>
      </c>
      <c r="Q24" s="69">
        <v>550</v>
      </c>
      <c r="R24" s="54">
        <f t="shared" si="0"/>
        <v>0</v>
      </c>
    </row>
    <row r="25" spans="1:18" ht="23.25" customHeight="1">
      <c r="A25" s="143" t="s">
        <v>77</v>
      </c>
      <c r="B25" s="176" t="s">
        <v>56</v>
      </c>
      <c r="C25" s="177"/>
      <c r="D25" s="68">
        <f>117+D26+D27</f>
        <v>6902</v>
      </c>
      <c r="E25" s="68">
        <f>155+E26+E27</f>
        <v>6622</v>
      </c>
      <c r="F25" s="68">
        <f>102+F26+F27</f>
        <v>5594</v>
      </c>
      <c r="G25" s="68">
        <f>158+G26+G27</f>
        <v>4545</v>
      </c>
      <c r="H25" s="68">
        <f>143+H26+H27</f>
        <v>3724</v>
      </c>
      <c r="I25" s="68">
        <f>108+I26+I27</f>
        <v>2886</v>
      </c>
      <c r="J25" s="68"/>
      <c r="K25" s="68"/>
      <c r="L25" s="68"/>
      <c r="M25" s="68"/>
      <c r="N25" s="68"/>
      <c r="O25" s="68"/>
      <c r="P25" s="68">
        <f t="shared" si="1"/>
        <v>30273</v>
      </c>
      <c r="Q25" s="69">
        <v>30273</v>
      </c>
      <c r="R25" s="54">
        <f t="shared" si="0"/>
        <v>0</v>
      </c>
    </row>
    <row r="26" spans="1:18" ht="15.75">
      <c r="A26" s="144"/>
      <c r="B26" s="67" t="s">
        <v>59</v>
      </c>
      <c r="C26" s="67"/>
      <c r="D26" s="68">
        <v>6500</v>
      </c>
      <c r="E26" s="68">
        <v>6200</v>
      </c>
      <c r="F26" s="68">
        <v>5200</v>
      </c>
      <c r="G26" s="68">
        <v>4100</v>
      </c>
      <c r="H26" s="68">
        <v>3300</v>
      </c>
      <c r="I26" s="68">
        <v>2500</v>
      </c>
      <c r="J26" s="68"/>
      <c r="K26" s="68"/>
      <c r="L26" s="68"/>
      <c r="M26" s="68"/>
      <c r="N26" s="68"/>
      <c r="O26" s="68"/>
      <c r="P26" s="68">
        <f t="shared" si="1"/>
        <v>27800</v>
      </c>
      <c r="Q26" s="70">
        <v>27800</v>
      </c>
      <c r="R26" s="54">
        <f t="shared" si="0"/>
        <v>0</v>
      </c>
    </row>
    <row r="27" spans="1:18" ht="15.75">
      <c r="A27" s="145"/>
      <c r="B27" s="67" t="s">
        <v>23</v>
      </c>
      <c r="C27" s="67"/>
      <c r="D27" s="68">
        <v>285</v>
      </c>
      <c r="E27" s="68">
        <v>267</v>
      </c>
      <c r="F27" s="68">
        <v>292</v>
      </c>
      <c r="G27" s="68">
        <v>287</v>
      </c>
      <c r="H27" s="68">
        <v>281</v>
      </c>
      <c r="I27" s="68">
        <v>278</v>
      </c>
      <c r="J27" s="68"/>
      <c r="K27" s="68"/>
      <c r="L27" s="68"/>
      <c r="M27" s="68"/>
      <c r="N27" s="68"/>
      <c r="O27" s="68"/>
      <c r="P27" s="68">
        <f t="shared" si="1"/>
        <v>1690</v>
      </c>
      <c r="Q27" s="69">
        <v>1690</v>
      </c>
      <c r="R27" s="54">
        <f t="shared" si="0"/>
        <v>0</v>
      </c>
    </row>
    <row r="28" spans="1:18" ht="19.5" customHeight="1">
      <c r="A28" s="143" t="s">
        <v>31</v>
      </c>
      <c r="B28" s="176" t="s">
        <v>97</v>
      </c>
      <c r="C28" s="177"/>
      <c r="D28" s="68"/>
      <c r="E28" s="68"/>
      <c r="F28" s="68"/>
      <c r="G28" s="68"/>
      <c r="H28" s="68"/>
      <c r="I28" s="68"/>
      <c r="J28" s="68">
        <f>J29+110+108</f>
        <v>4450</v>
      </c>
      <c r="K28" s="68">
        <f>K29+145+108</f>
        <v>2774</v>
      </c>
      <c r="L28" s="68">
        <f>L29+198+108</f>
        <v>4624</v>
      </c>
      <c r="M28" s="68">
        <f>M29+229+108</f>
        <v>5757</v>
      </c>
      <c r="N28" s="68">
        <f>N29+356+108</f>
        <v>15917</v>
      </c>
      <c r="O28" s="68">
        <f>O29+378+108</f>
        <v>9354</v>
      </c>
      <c r="P28" s="68">
        <f>SUM(J28:O28)</f>
        <v>42876</v>
      </c>
      <c r="Q28" s="69">
        <v>47111</v>
      </c>
      <c r="R28" s="54">
        <f t="shared" si="0"/>
        <v>-4235</v>
      </c>
    </row>
    <row r="29" spans="1:18" ht="15.75">
      <c r="A29" s="144"/>
      <c r="B29" s="67" t="s">
        <v>59</v>
      </c>
      <c r="C29" s="67"/>
      <c r="D29" s="68"/>
      <c r="E29" s="68"/>
      <c r="F29" s="68"/>
      <c r="G29" s="68"/>
      <c r="H29" s="68"/>
      <c r="I29" s="68"/>
      <c r="J29" s="68">
        <v>4232</v>
      </c>
      <c r="K29" s="68">
        <v>2521</v>
      </c>
      <c r="L29" s="68">
        <v>4318</v>
      </c>
      <c r="M29" s="68">
        <v>5420</v>
      </c>
      <c r="N29" s="68">
        <v>15453</v>
      </c>
      <c r="O29" s="68">
        <v>8868</v>
      </c>
      <c r="P29" s="68">
        <f>SUM(J29:O29)</f>
        <v>40812</v>
      </c>
      <c r="Q29" s="70">
        <v>45047</v>
      </c>
      <c r="R29" s="54">
        <f t="shared" si="0"/>
        <v>-4235</v>
      </c>
    </row>
    <row r="30" spans="1:18" ht="15.75">
      <c r="A30" s="143" t="s">
        <v>32</v>
      </c>
      <c r="B30" s="174" t="s">
        <v>87</v>
      </c>
      <c r="C30" s="175"/>
      <c r="D30" s="68">
        <f>D31+D32</f>
        <v>2800</v>
      </c>
      <c r="E30" s="68">
        <f aca="true" t="shared" si="6" ref="E30:P30">E31+E32</f>
        <v>3400</v>
      </c>
      <c r="F30" s="68">
        <f t="shared" si="6"/>
        <v>3300</v>
      </c>
      <c r="G30" s="68">
        <f t="shared" si="6"/>
        <v>3000</v>
      </c>
      <c r="H30" s="68">
        <f t="shared" si="6"/>
        <v>2800</v>
      </c>
      <c r="I30" s="68">
        <f t="shared" si="6"/>
        <v>2200</v>
      </c>
      <c r="J30" s="68">
        <f t="shared" si="6"/>
        <v>2200</v>
      </c>
      <c r="K30" s="68"/>
      <c r="L30" s="68"/>
      <c r="M30" s="68"/>
      <c r="N30" s="68"/>
      <c r="O30" s="68"/>
      <c r="P30" s="68">
        <f t="shared" si="6"/>
        <v>19700</v>
      </c>
      <c r="Q30" s="69">
        <v>19700</v>
      </c>
      <c r="R30" s="54">
        <f t="shared" si="0"/>
        <v>0</v>
      </c>
    </row>
    <row r="31" spans="1:18" ht="15.75">
      <c r="A31" s="144"/>
      <c r="B31" s="174" t="s">
        <v>59</v>
      </c>
      <c r="C31" s="175"/>
      <c r="D31" s="68">
        <v>1200</v>
      </c>
      <c r="E31" s="68">
        <v>1100</v>
      </c>
      <c r="F31" s="68">
        <v>1000</v>
      </c>
      <c r="G31" s="68">
        <v>900</v>
      </c>
      <c r="H31" s="68">
        <v>900</v>
      </c>
      <c r="I31" s="68">
        <v>800</v>
      </c>
      <c r="J31" s="68">
        <v>800</v>
      </c>
      <c r="K31" s="68"/>
      <c r="L31" s="68"/>
      <c r="M31" s="68"/>
      <c r="N31" s="68"/>
      <c r="O31" s="68"/>
      <c r="P31" s="68">
        <f>SUM(D31:O31)</f>
        <v>6700</v>
      </c>
      <c r="Q31" s="69">
        <v>6700</v>
      </c>
      <c r="R31" s="54">
        <f t="shared" si="0"/>
        <v>0</v>
      </c>
    </row>
    <row r="32" spans="1:18" ht="15.75">
      <c r="A32" s="145"/>
      <c r="B32" s="174" t="s">
        <v>23</v>
      </c>
      <c r="C32" s="175"/>
      <c r="D32" s="68">
        <v>1600</v>
      </c>
      <c r="E32" s="68">
        <v>2300</v>
      </c>
      <c r="F32" s="68">
        <v>2300</v>
      </c>
      <c r="G32" s="68">
        <v>2100</v>
      </c>
      <c r="H32" s="68">
        <v>1900</v>
      </c>
      <c r="I32" s="68">
        <v>1400</v>
      </c>
      <c r="J32" s="68">
        <v>1400</v>
      </c>
      <c r="K32" s="68"/>
      <c r="L32" s="68"/>
      <c r="M32" s="68"/>
      <c r="N32" s="68"/>
      <c r="O32" s="68"/>
      <c r="P32" s="68">
        <f>SUM(D32:O32)</f>
        <v>13000</v>
      </c>
      <c r="Q32" s="69">
        <v>13000</v>
      </c>
      <c r="R32" s="54">
        <f t="shared" si="0"/>
        <v>0</v>
      </c>
    </row>
    <row r="33" spans="1:18" ht="19.5" customHeight="1">
      <c r="A33" s="143" t="s">
        <v>50</v>
      </c>
      <c r="B33" s="176" t="s">
        <v>98</v>
      </c>
      <c r="C33" s="177"/>
      <c r="D33" s="68"/>
      <c r="E33" s="68"/>
      <c r="F33" s="68"/>
      <c r="G33" s="68"/>
      <c r="H33" s="68"/>
      <c r="I33" s="68"/>
      <c r="J33" s="68"/>
      <c r="K33" s="68">
        <f aca="true" t="shared" si="7" ref="K33:P33">K34</f>
        <v>3624</v>
      </c>
      <c r="L33" s="68">
        <f t="shared" si="7"/>
        <v>4320</v>
      </c>
      <c r="M33" s="68">
        <f t="shared" si="7"/>
        <v>6992</v>
      </c>
      <c r="N33" s="68">
        <f t="shared" si="7"/>
        <v>6613</v>
      </c>
      <c r="O33" s="68">
        <f t="shared" si="7"/>
        <v>6701</v>
      </c>
      <c r="P33" s="68">
        <f t="shared" si="7"/>
        <v>28250</v>
      </c>
      <c r="Q33" s="69">
        <v>79569</v>
      </c>
      <c r="R33" s="54">
        <f t="shared" si="0"/>
        <v>-51319</v>
      </c>
    </row>
    <row r="34" spans="1:18" ht="18.75" customHeight="1">
      <c r="A34" s="145"/>
      <c r="B34" s="67" t="s">
        <v>59</v>
      </c>
      <c r="C34" s="67"/>
      <c r="D34" s="68"/>
      <c r="E34" s="68"/>
      <c r="F34" s="68"/>
      <c r="G34" s="68"/>
      <c r="H34" s="68"/>
      <c r="I34" s="68"/>
      <c r="J34" s="68"/>
      <c r="K34" s="68">
        <v>3624</v>
      </c>
      <c r="L34" s="68">
        <v>4320</v>
      </c>
      <c r="M34" s="68">
        <v>6992</v>
      </c>
      <c r="N34" s="68">
        <v>6613</v>
      </c>
      <c r="O34" s="68">
        <v>6701</v>
      </c>
      <c r="P34" s="68">
        <f>SUM(K34:O34)</f>
        <v>28250</v>
      </c>
      <c r="Q34" s="69">
        <v>79569</v>
      </c>
      <c r="R34" s="54">
        <f t="shared" si="0"/>
        <v>-51319</v>
      </c>
    </row>
    <row r="35" spans="1:18" ht="18.75" customHeight="1">
      <c r="A35" s="143" t="s">
        <v>52</v>
      </c>
      <c r="B35" s="176" t="s">
        <v>68</v>
      </c>
      <c r="C35" s="177"/>
      <c r="D35" s="68">
        <f>D36+D37+393</f>
        <v>7749</v>
      </c>
      <c r="E35" s="68">
        <f>E36+E37+358</f>
        <v>9569</v>
      </c>
      <c r="F35" s="68">
        <f>F36+F37+128</f>
        <v>5292</v>
      </c>
      <c r="G35" s="68">
        <f>G36+G37+117</f>
        <v>7143</v>
      </c>
      <c r="H35" s="68">
        <f>H36+H37+122</f>
        <v>6282</v>
      </c>
      <c r="I35" s="68">
        <f>I36+I37+120</f>
        <v>5996</v>
      </c>
      <c r="J35" s="68">
        <f>J36+J37+129</f>
        <v>6325</v>
      </c>
      <c r="K35" s="68">
        <f>K36+K37+139</f>
        <v>7298</v>
      </c>
      <c r="L35" s="68">
        <f>L36+L37+120</f>
        <v>5983</v>
      </c>
      <c r="M35" s="68">
        <f>M36+M37+140</f>
        <v>7553</v>
      </c>
      <c r="N35" s="68">
        <f>N36+N37+138</f>
        <v>7858</v>
      </c>
      <c r="O35" s="68">
        <f>O36+O37+145</f>
        <v>8744</v>
      </c>
      <c r="P35" s="68">
        <f>SUM(D35:O35)</f>
        <v>85792</v>
      </c>
      <c r="Q35" s="69">
        <v>95850</v>
      </c>
      <c r="R35" s="54">
        <f t="shared" si="0"/>
        <v>-10058</v>
      </c>
    </row>
    <row r="36" spans="1:18" ht="15.75">
      <c r="A36" s="144"/>
      <c r="B36" s="67" t="s">
        <v>59</v>
      </c>
      <c r="C36" s="67"/>
      <c r="D36" s="68">
        <v>5061</v>
      </c>
      <c r="E36" s="68">
        <v>5408</v>
      </c>
      <c r="F36" s="68">
        <v>3178</v>
      </c>
      <c r="G36" s="68">
        <v>4255</v>
      </c>
      <c r="H36" s="68">
        <v>3736</v>
      </c>
      <c r="I36" s="68">
        <v>3528</v>
      </c>
      <c r="J36" s="68">
        <v>3374</v>
      </c>
      <c r="K36" s="68">
        <v>2951</v>
      </c>
      <c r="L36" s="68">
        <v>3367</v>
      </c>
      <c r="M36" s="68">
        <v>5009</v>
      </c>
      <c r="N36" s="68">
        <v>6148</v>
      </c>
      <c r="O36" s="68">
        <v>6216</v>
      </c>
      <c r="P36" s="68">
        <f t="shared" si="1"/>
        <v>52231</v>
      </c>
      <c r="Q36" s="70">
        <v>53000</v>
      </c>
      <c r="R36" s="54">
        <f t="shared" si="0"/>
        <v>-769</v>
      </c>
    </row>
    <row r="37" spans="1:18" ht="15.75">
      <c r="A37" s="145"/>
      <c r="B37" s="67" t="s">
        <v>23</v>
      </c>
      <c r="C37" s="67"/>
      <c r="D37" s="68">
        <v>2295</v>
      </c>
      <c r="E37" s="68">
        <v>3803</v>
      </c>
      <c r="F37" s="68">
        <v>1986</v>
      </c>
      <c r="G37" s="68">
        <v>2771</v>
      </c>
      <c r="H37" s="68">
        <v>2424</v>
      </c>
      <c r="I37" s="68">
        <v>2348</v>
      </c>
      <c r="J37" s="68">
        <v>2822</v>
      </c>
      <c r="K37" s="68">
        <v>4208</v>
      </c>
      <c r="L37" s="68">
        <v>2496</v>
      </c>
      <c r="M37" s="68">
        <v>2404</v>
      </c>
      <c r="N37" s="68">
        <v>1572</v>
      </c>
      <c r="O37" s="68">
        <v>2383</v>
      </c>
      <c r="P37" s="68">
        <f t="shared" si="1"/>
        <v>31512</v>
      </c>
      <c r="Q37" s="69">
        <v>38050</v>
      </c>
      <c r="R37" s="54">
        <f t="shared" si="0"/>
        <v>-6538</v>
      </c>
    </row>
    <row r="38" spans="1:18" ht="18.75" customHeight="1">
      <c r="A38" s="75" t="s">
        <v>53</v>
      </c>
      <c r="B38" s="155" t="s">
        <v>35</v>
      </c>
      <c r="C38" s="173"/>
      <c r="D38" s="68">
        <v>120</v>
      </c>
      <c r="E38" s="68">
        <v>120</v>
      </c>
      <c r="F38" s="68">
        <v>120</v>
      </c>
      <c r="G38" s="68">
        <v>100</v>
      </c>
      <c r="H38" s="68">
        <v>100</v>
      </c>
      <c r="I38" s="68">
        <v>100</v>
      </c>
      <c r="J38" s="68">
        <v>100</v>
      </c>
      <c r="K38" s="68">
        <v>100</v>
      </c>
      <c r="L38" s="68">
        <v>100</v>
      </c>
      <c r="M38" s="68">
        <v>130</v>
      </c>
      <c r="N38" s="68">
        <v>140</v>
      </c>
      <c r="O38" s="68">
        <v>145</v>
      </c>
      <c r="P38" s="68">
        <f t="shared" si="1"/>
        <v>1375</v>
      </c>
      <c r="Q38" s="70">
        <v>1260</v>
      </c>
      <c r="R38" s="54">
        <f t="shared" si="0"/>
        <v>115</v>
      </c>
    </row>
    <row r="39" spans="1:18" ht="15.75">
      <c r="A39" s="75" t="s">
        <v>66</v>
      </c>
      <c r="B39" s="67" t="s">
        <v>33</v>
      </c>
      <c r="C39" s="67"/>
      <c r="D39" s="76">
        <v>800</v>
      </c>
      <c r="E39" s="76">
        <v>700</v>
      </c>
      <c r="F39" s="76">
        <v>700</v>
      </c>
      <c r="G39" s="76">
        <v>700</v>
      </c>
      <c r="H39" s="76">
        <v>550</v>
      </c>
      <c r="I39" s="76">
        <v>500</v>
      </c>
      <c r="J39" s="76">
        <v>400</v>
      </c>
      <c r="K39" s="76">
        <v>400</v>
      </c>
      <c r="L39" s="76">
        <v>400</v>
      </c>
      <c r="M39" s="76">
        <v>700</v>
      </c>
      <c r="N39" s="76">
        <v>800</v>
      </c>
      <c r="O39" s="77">
        <v>1170</v>
      </c>
      <c r="P39" s="76">
        <f t="shared" si="1"/>
        <v>7820</v>
      </c>
      <c r="Q39" s="69">
        <v>7000</v>
      </c>
      <c r="R39" s="54">
        <f t="shared" si="0"/>
        <v>820</v>
      </c>
    </row>
    <row r="40" spans="1:18" ht="15.75">
      <c r="A40" s="75" t="s">
        <v>71</v>
      </c>
      <c r="B40" s="67" t="s">
        <v>36</v>
      </c>
      <c r="C40" s="67"/>
      <c r="D40" s="68">
        <v>400</v>
      </c>
      <c r="E40" s="68">
        <v>400</v>
      </c>
      <c r="F40" s="68">
        <v>400</v>
      </c>
      <c r="G40" s="68">
        <v>300</v>
      </c>
      <c r="H40" s="68">
        <v>250</v>
      </c>
      <c r="I40" s="68">
        <v>200</v>
      </c>
      <c r="J40" s="68">
        <v>150</v>
      </c>
      <c r="K40" s="68">
        <v>180</v>
      </c>
      <c r="L40" s="68">
        <v>250</v>
      </c>
      <c r="M40" s="68">
        <v>450</v>
      </c>
      <c r="N40" s="68">
        <v>600</v>
      </c>
      <c r="O40" s="78">
        <v>900</v>
      </c>
      <c r="P40" s="68">
        <f t="shared" si="1"/>
        <v>4480</v>
      </c>
      <c r="Q40" s="69">
        <v>3400</v>
      </c>
      <c r="R40" s="54">
        <f t="shared" si="0"/>
        <v>1080</v>
      </c>
    </row>
    <row r="41" spans="1:18" ht="15.75">
      <c r="A41" s="178"/>
      <c r="B41" s="73" t="s">
        <v>45</v>
      </c>
      <c r="C41" s="73"/>
      <c r="D41" s="79">
        <f>D19+D22+D25+D28+D33+D35+D38+D39+D40+D30</f>
        <v>253074</v>
      </c>
      <c r="E41" s="79">
        <f aca="true" t="shared" si="8" ref="E41:P41">E19+E22+E25+E28+E33+E35+E38+E39+E40+E30</f>
        <v>266950</v>
      </c>
      <c r="F41" s="79">
        <f t="shared" si="8"/>
        <v>247089</v>
      </c>
      <c r="G41" s="79">
        <f t="shared" si="8"/>
        <v>239791</v>
      </c>
      <c r="H41" s="79">
        <f t="shared" si="8"/>
        <v>214036</v>
      </c>
      <c r="I41" s="79">
        <f t="shared" si="8"/>
        <v>180431</v>
      </c>
      <c r="J41" s="79">
        <f t="shared" si="8"/>
        <v>186635</v>
      </c>
      <c r="K41" s="79">
        <f t="shared" si="8"/>
        <v>182529</v>
      </c>
      <c r="L41" s="79">
        <f t="shared" si="8"/>
        <v>172387</v>
      </c>
      <c r="M41" s="79">
        <f t="shared" si="8"/>
        <v>213604</v>
      </c>
      <c r="N41" s="79">
        <f t="shared" si="8"/>
        <v>251006</v>
      </c>
      <c r="O41" s="79">
        <f t="shared" si="8"/>
        <v>260756</v>
      </c>
      <c r="P41" s="79">
        <f t="shared" si="8"/>
        <v>2668288</v>
      </c>
      <c r="Q41" s="69">
        <v>2950086</v>
      </c>
      <c r="R41" s="54">
        <f t="shared" si="0"/>
        <v>-281798</v>
      </c>
    </row>
    <row r="42" spans="1:18" ht="15.75">
      <c r="A42" s="179"/>
      <c r="B42" s="73" t="s">
        <v>59</v>
      </c>
      <c r="C42" s="73"/>
      <c r="D42" s="79">
        <f>D20+D23+D26+D29+D34+D36+D38+D39+D40+D31</f>
        <v>200898</v>
      </c>
      <c r="E42" s="79">
        <f aca="true" t="shared" si="9" ref="E42:P42">E20+E23+E26+E29+E34+E36+E38+E39+E40+E31</f>
        <v>218712</v>
      </c>
      <c r="F42" s="79">
        <f t="shared" si="9"/>
        <v>196449</v>
      </c>
      <c r="G42" s="79">
        <f t="shared" si="9"/>
        <v>186944</v>
      </c>
      <c r="H42" s="79">
        <f t="shared" si="9"/>
        <v>166931</v>
      </c>
      <c r="I42" s="79">
        <f t="shared" si="9"/>
        <v>142562</v>
      </c>
      <c r="J42" s="79">
        <f t="shared" si="9"/>
        <v>144941</v>
      </c>
      <c r="K42" s="79">
        <f t="shared" si="9"/>
        <v>142974</v>
      </c>
      <c r="L42" s="79">
        <f t="shared" si="9"/>
        <v>138844</v>
      </c>
      <c r="M42" s="79">
        <f t="shared" si="9"/>
        <v>169664</v>
      </c>
      <c r="N42" s="79">
        <f t="shared" si="9"/>
        <v>206097</v>
      </c>
      <c r="O42" s="79">
        <f t="shared" si="9"/>
        <v>219158</v>
      </c>
      <c r="P42" s="79">
        <f t="shared" si="9"/>
        <v>2134174</v>
      </c>
      <c r="Q42" s="69">
        <v>2305627</v>
      </c>
      <c r="R42" s="54">
        <f t="shared" si="0"/>
        <v>-171453</v>
      </c>
    </row>
    <row r="43" spans="1:18" ht="15.75">
      <c r="A43" s="180"/>
      <c r="B43" s="73" t="s">
        <v>23</v>
      </c>
      <c r="C43" s="73"/>
      <c r="D43" s="79">
        <f>D21+D24+D27+D37+D32</f>
        <v>5680</v>
      </c>
      <c r="E43" s="79">
        <f aca="true" t="shared" si="10" ref="E43:P43">E21+E24+E27+E37+E32</f>
        <v>8135</v>
      </c>
      <c r="F43" s="79">
        <f t="shared" si="10"/>
        <v>6143</v>
      </c>
      <c r="G43" s="79">
        <f t="shared" si="10"/>
        <v>6828</v>
      </c>
      <c r="H43" s="79">
        <f t="shared" si="10"/>
        <v>6560</v>
      </c>
      <c r="I43" s="79">
        <f t="shared" si="10"/>
        <v>5671</v>
      </c>
      <c r="J43" s="79">
        <f t="shared" si="10"/>
        <v>5497</v>
      </c>
      <c r="K43" s="79">
        <f t="shared" si="10"/>
        <v>5538</v>
      </c>
      <c r="L43" s="79">
        <f t="shared" si="10"/>
        <v>4480</v>
      </c>
      <c r="M43" s="79">
        <f t="shared" si="10"/>
        <v>4031</v>
      </c>
      <c r="N43" s="79">
        <f t="shared" si="10"/>
        <v>3559</v>
      </c>
      <c r="O43" s="79">
        <f t="shared" si="10"/>
        <v>4118</v>
      </c>
      <c r="P43" s="79">
        <f t="shared" si="10"/>
        <v>66240</v>
      </c>
      <c r="Q43" s="69">
        <v>74931</v>
      </c>
      <c r="R43" s="54">
        <f t="shared" si="0"/>
        <v>-8691</v>
      </c>
    </row>
    <row r="44" ht="15.75">
      <c r="A44" s="80"/>
    </row>
    <row r="45" ht="4.5" customHeight="1">
      <c r="A45" s="81"/>
    </row>
    <row r="46" spans="1:17" ht="18.75">
      <c r="A46" s="82"/>
      <c r="B46" s="83" t="s">
        <v>89</v>
      </c>
      <c r="C46" s="83"/>
      <c r="D46" s="64"/>
      <c r="E46" s="64"/>
      <c r="F46" s="64"/>
      <c r="G46" s="64"/>
      <c r="H46" s="64"/>
      <c r="I46" s="64"/>
      <c r="J46" s="64"/>
      <c r="K46" s="64"/>
      <c r="L46" s="64"/>
      <c r="M46" s="64" t="s">
        <v>106</v>
      </c>
      <c r="N46" s="64"/>
      <c r="O46" s="64"/>
      <c r="P46" s="84"/>
      <c r="Q46" s="84"/>
    </row>
    <row r="47" spans="2:15" ht="18.75">
      <c r="B47" s="83"/>
      <c r="C47" s="8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</sheetData>
  <sheetProtection/>
  <mergeCells count="24">
    <mergeCell ref="A41:A43"/>
    <mergeCell ref="A17:A18"/>
    <mergeCell ref="A14:A16"/>
    <mergeCell ref="A19:A21"/>
    <mergeCell ref="A25:A27"/>
    <mergeCell ref="A22:A24"/>
    <mergeCell ref="A30:A32"/>
    <mergeCell ref="A28:A29"/>
    <mergeCell ref="A33:A34"/>
    <mergeCell ref="A8:A10"/>
    <mergeCell ref="A11:A13"/>
    <mergeCell ref="A35:A37"/>
    <mergeCell ref="B4:P4"/>
    <mergeCell ref="B5:P5"/>
    <mergeCell ref="B22:C22"/>
    <mergeCell ref="B17:C17"/>
    <mergeCell ref="B28:C28"/>
    <mergeCell ref="B33:C33"/>
    <mergeCell ref="B38:C38"/>
    <mergeCell ref="B30:C30"/>
    <mergeCell ref="B31:C31"/>
    <mergeCell ref="B32:C32"/>
    <mergeCell ref="B25:C25"/>
    <mergeCell ref="B35:C3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31"/>
  <sheetViews>
    <sheetView tabSelected="1" view="pageBreakPreview" zoomScale="75" zoomScaleNormal="75" zoomScaleSheetLayoutView="75" zoomScalePageLayoutView="0" workbookViewId="0" topLeftCell="A1">
      <selection activeCell="K8" sqref="K8"/>
    </sheetView>
  </sheetViews>
  <sheetFormatPr defaultColWidth="9.140625" defaultRowHeight="12.75"/>
  <cols>
    <col min="1" max="1" width="6.8515625" style="0" customWidth="1"/>
    <col min="2" max="2" width="42.8515625" style="0" customWidth="1"/>
    <col min="15" max="15" width="11.421875" style="0" customWidth="1"/>
    <col min="16" max="17" width="0" style="0" hidden="1" customWidth="1"/>
  </cols>
  <sheetData>
    <row r="5" spans="1:15" ht="18.75">
      <c r="A5" s="15"/>
      <c r="B5" s="16"/>
      <c r="C5" s="15"/>
      <c r="D5" s="15"/>
      <c r="E5" s="15"/>
      <c r="F5" s="15"/>
      <c r="G5" s="15"/>
      <c r="K5" s="1"/>
      <c r="L5" s="7" t="s">
        <v>72</v>
      </c>
      <c r="M5" s="7"/>
      <c r="N5" s="7"/>
      <c r="O5" s="1"/>
    </row>
    <row r="6" spans="1:15" ht="18.75">
      <c r="A6" s="15"/>
      <c r="B6" s="16"/>
      <c r="C6" s="15"/>
      <c r="D6" s="15"/>
      <c r="E6" s="15"/>
      <c r="F6" s="15"/>
      <c r="G6" s="15"/>
      <c r="K6" s="3" t="s">
        <v>1</v>
      </c>
      <c r="L6" s="3"/>
      <c r="M6" s="3"/>
      <c r="N6" s="3"/>
      <c r="O6" s="1"/>
    </row>
    <row r="7" spans="1:15" ht="18.75">
      <c r="A7" s="15"/>
      <c r="B7" s="11"/>
      <c r="C7" s="15"/>
      <c r="D7" s="15"/>
      <c r="E7" s="15"/>
      <c r="F7" s="15"/>
      <c r="G7" s="15"/>
      <c r="K7" s="7" t="s">
        <v>107</v>
      </c>
      <c r="L7" s="7"/>
      <c r="M7" s="7"/>
      <c r="N7" s="3"/>
      <c r="O7" s="4"/>
    </row>
    <row r="8" spans="1:15" ht="18.75">
      <c r="A8" s="15"/>
      <c r="B8" s="11"/>
      <c r="C8" s="15"/>
      <c r="D8" s="15"/>
      <c r="E8" s="15"/>
      <c r="F8" s="15"/>
      <c r="G8" s="15"/>
      <c r="H8" s="15"/>
      <c r="I8" s="15"/>
      <c r="J8" s="10"/>
      <c r="K8" s="7"/>
      <c r="L8" s="7"/>
      <c r="M8" s="7"/>
      <c r="N8" s="3"/>
      <c r="O8" s="4"/>
    </row>
    <row r="9" spans="1:15" ht="20.25">
      <c r="A9" s="15"/>
      <c r="B9" s="11"/>
      <c r="C9" s="15"/>
      <c r="D9" s="15"/>
      <c r="E9" s="15"/>
      <c r="F9" s="15"/>
      <c r="G9" s="15"/>
      <c r="H9" s="15"/>
      <c r="I9" s="15"/>
      <c r="J9" s="15"/>
      <c r="K9" s="6"/>
      <c r="L9" s="6"/>
      <c r="M9" s="6"/>
      <c r="N9" s="2"/>
      <c r="O9" s="17"/>
    </row>
    <row r="10" spans="1:15" ht="18.75">
      <c r="A10" s="8"/>
      <c r="B10" s="142" t="s">
        <v>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18.75">
      <c r="A11" s="142" t="s">
        <v>94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3:15" ht="15.75"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19" t="s">
        <v>73</v>
      </c>
      <c r="O12" s="16"/>
    </row>
    <row r="13" spans="1:15" ht="18.75">
      <c r="A13" s="20" t="s">
        <v>51</v>
      </c>
      <c r="B13" s="21" t="s">
        <v>39</v>
      </c>
      <c r="C13" s="20" t="s">
        <v>6</v>
      </c>
      <c r="D13" s="20" t="s">
        <v>7</v>
      </c>
      <c r="E13" s="20" t="s">
        <v>8</v>
      </c>
      <c r="F13" s="20" t="s">
        <v>9</v>
      </c>
      <c r="G13" s="20" t="s">
        <v>10</v>
      </c>
      <c r="H13" s="20" t="s">
        <v>11</v>
      </c>
      <c r="I13" s="20" t="s">
        <v>12</v>
      </c>
      <c r="J13" s="20" t="s">
        <v>13</v>
      </c>
      <c r="K13" s="20" t="s">
        <v>14</v>
      </c>
      <c r="L13" s="20" t="s">
        <v>15</v>
      </c>
      <c r="M13" s="20" t="s">
        <v>74</v>
      </c>
      <c r="N13" s="20" t="s">
        <v>17</v>
      </c>
      <c r="O13" s="20" t="s">
        <v>90</v>
      </c>
    </row>
    <row r="14" spans="1:17" ht="45" customHeight="1">
      <c r="A14" s="20" t="s">
        <v>18</v>
      </c>
      <c r="B14" s="22" t="s">
        <v>75</v>
      </c>
      <c r="C14" s="23">
        <f>C15</f>
        <v>1.3</v>
      </c>
      <c r="D14" s="23">
        <f>D15</f>
        <v>1.3</v>
      </c>
      <c r="E14" s="23">
        <f>E15</f>
        <v>1.4</v>
      </c>
      <c r="F14" s="23">
        <f>F15</f>
        <v>0</v>
      </c>
      <c r="G14" s="23"/>
      <c r="H14" s="23"/>
      <c r="I14" s="23"/>
      <c r="J14" s="23"/>
      <c r="K14" s="23"/>
      <c r="L14" s="23"/>
      <c r="M14" s="23"/>
      <c r="N14" s="23"/>
      <c r="O14" s="23">
        <f>SUM(C14:N14)</f>
        <v>4</v>
      </c>
      <c r="P14" s="14">
        <v>3.7</v>
      </c>
      <c r="Q14" s="50">
        <f>O14-P14</f>
        <v>0.2999999999999998</v>
      </c>
    </row>
    <row r="15" spans="1:17" ht="18.75">
      <c r="A15" s="20"/>
      <c r="B15" s="21" t="s">
        <v>59</v>
      </c>
      <c r="C15" s="23">
        <v>1.3</v>
      </c>
      <c r="D15" s="23">
        <v>1.3</v>
      </c>
      <c r="E15" s="23">
        <v>1.4</v>
      </c>
      <c r="F15" s="23">
        <v>0</v>
      </c>
      <c r="G15" s="23"/>
      <c r="H15" s="23"/>
      <c r="I15" s="23"/>
      <c r="J15" s="23"/>
      <c r="K15" s="23"/>
      <c r="L15" s="23"/>
      <c r="M15" s="23"/>
      <c r="N15" s="23"/>
      <c r="O15" s="23">
        <f>SUM(C15:N15)</f>
        <v>4</v>
      </c>
      <c r="P15" s="14">
        <v>3.7</v>
      </c>
      <c r="Q15" s="50">
        <f aca="true" t="shared" si="0" ref="Q15:Q23">O15-P15</f>
        <v>0.2999999999999998</v>
      </c>
    </row>
    <row r="16" spans="1:17" ht="42.75" customHeight="1">
      <c r="A16" s="20" t="s">
        <v>21</v>
      </c>
      <c r="B16" s="22" t="s">
        <v>76</v>
      </c>
      <c r="C16" s="23">
        <f>C17</f>
        <v>23.7</v>
      </c>
      <c r="D16" s="23">
        <f>D17</f>
        <v>21</v>
      </c>
      <c r="E16" s="23">
        <f>E17</f>
        <v>21.6</v>
      </c>
      <c r="F16" s="23">
        <f>F17</f>
        <v>6.2</v>
      </c>
      <c r="G16" s="23"/>
      <c r="H16" s="23"/>
      <c r="I16" s="23"/>
      <c r="J16" s="23"/>
      <c r="K16" s="23"/>
      <c r="L16" s="23">
        <f>L17</f>
        <v>9</v>
      </c>
      <c r="M16" s="23">
        <f>M17</f>
        <v>18.3</v>
      </c>
      <c r="N16" s="23">
        <f>N17</f>
        <v>21.6</v>
      </c>
      <c r="O16" s="23">
        <f>SUM(C16:N16)</f>
        <v>121.4</v>
      </c>
      <c r="P16" s="14">
        <v>124.5</v>
      </c>
      <c r="Q16" s="50">
        <f t="shared" si="0"/>
        <v>-3.0999999999999943</v>
      </c>
    </row>
    <row r="17" spans="1:17" ht="18.75">
      <c r="A17" s="20"/>
      <c r="B17" s="21" t="s">
        <v>59</v>
      </c>
      <c r="C17" s="24">
        <v>23.7</v>
      </c>
      <c r="D17" s="24">
        <v>21</v>
      </c>
      <c r="E17" s="24">
        <v>21.6</v>
      </c>
      <c r="F17" s="24">
        <v>6.2</v>
      </c>
      <c r="G17" s="24"/>
      <c r="H17" s="24"/>
      <c r="I17" s="24"/>
      <c r="J17" s="24"/>
      <c r="K17" s="24"/>
      <c r="L17" s="24">
        <v>9</v>
      </c>
      <c r="M17" s="24">
        <v>18.3</v>
      </c>
      <c r="N17" s="24">
        <v>21.6</v>
      </c>
      <c r="O17" s="23">
        <f>SUM(C17:N17)</f>
        <v>121.4</v>
      </c>
      <c r="P17" s="14">
        <v>124.5</v>
      </c>
      <c r="Q17" s="50">
        <f t="shared" si="0"/>
        <v>-3.0999999999999943</v>
      </c>
    </row>
    <row r="18" spans="1:17" ht="18.75">
      <c r="A18" s="25"/>
      <c r="B18" s="26" t="s">
        <v>99</v>
      </c>
      <c r="C18" s="27">
        <f>C14+C16</f>
        <v>25</v>
      </c>
      <c r="D18" s="27">
        <f>D14+D16</f>
        <v>22.3</v>
      </c>
      <c r="E18" s="27">
        <f>E14+E16</f>
        <v>23</v>
      </c>
      <c r="F18" s="27">
        <f>F14+F16</f>
        <v>6.2</v>
      </c>
      <c r="G18" s="27"/>
      <c r="H18" s="27"/>
      <c r="I18" s="27"/>
      <c r="J18" s="27"/>
      <c r="K18" s="27"/>
      <c r="L18" s="27">
        <f>L19</f>
        <v>9</v>
      </c>
      <c r="M18" s="27">
        <f>M19</f>
        <v>18.3</v>
      </c>
      <c r="N18" s="27">
        <f>N19</f>
        <v>21.6</v>
      </c>
      <c r="O18" s="27">
        <f>SUM(C18:N18)</f>
        <v>125.4</v>
      </c>
      <c r="P18" s="14">
        <v>128.2</v>
      </c>
      <c r="Q18" s="50">
        <f t="shared" si="0"/>
        <v>-2.799999999999983</v>
      </c>
    </row>
    <row r="19" spans="1:17" ht="18.75">
      <c r="A19" s="25"/>
      <c r="B19" s="26" t="s">
        <v>41</v>
      </c>
      <c r="C19" s="27">
        <f>C15+C17</f>
        <v>25</v>
      </c>
      <c r="D19" s="27">
        <f aca="true" t="shared" si="1" ref="D19:O19">D15+D17</f>
        <v>22.3</v>
      </c>
      <c r="E19" s="27">
        <f t="shared" si="1"/>
        <v>23</v>
      </c>
      <c r="F19" s="27">
        <f t="shared" si="1"/>
        <v>6.2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9</v>
      </c>
      <c r="M19" s="27">
        <f t="shared" si="1"/>
        <v>18.3</v>
      </c>
      <c r="N19" s="27">
        <f t="shared" si="1"/>
        <v>21.6</v>
      </c>
      <c r="O19" s="27">
        <f t="shared" si="1"/>
        <v>125.4</v>
      </c>
      <c r="P19" s="14">
        <v>128.2</v>
      </c>
      <c r="Q19" s="50">
        <f t="shared" si="0"/>
        <v>-2.799999999999983</v>
      </c>
    </row>
    <row r="20" spans="1:17" ht="37.5">
      <c r="A20" s="20" t="s">
        <v>24</v>
      </c>
      <c r="B20" s="22" t="s">
        <v>96</v>
      </c>
      <c r="C20" s="38"/>
      <c r="D20" s="38"/>
      <c r="E20" s="38"/>
      <c r="F20" s="38"/>
      <c r="G20" s="38"/>
      <c r="H20" s="38"/>
      <c r="I20" s="38"/>
      <c r="J20" s="38"/>
      <c r="K20" s="38"/>
      <c r="L20" s="39">
        <f>L21</f>
        <v>0</v>
      </c>
      <c r="M20" s="39">
        <f>M21</f>
        <v>0</v>
      </c>
      <c r="N20" s="39">
        <f>N21</f>
        <v>0</v>
      </c>
      <c r="O20" s="39">
        <f>SUM(L20:N20)</f>
        <v>0</v>
      </c>
      <c r="P20" s="14">
        <v>2.7</v>
      </c>
      <c r="Q20" s="50">
        <f t="shared" si="0"/>
        <v>-2.7</v>
      </c>
    </row>
    <row r="21" spans="1:17" ht="18.75">
      <c r="A21" s="20"/>
      <c r="B21" s="21" t="s">
        <v>59</v>
      </c>
      <c r="C21" s="38"/>
      <c r="D21" s="38"/>
      <c r="E21" s="38"/>
      <c r="F21" s="38"/>
      <c r="G21" s="38"/>
      <c r="H21" s="38"/>
      <c r="I21" s="38"/>
      <c r="J21" s="38"/>
      <c r="K21" s="38"/>
      <c r="L21" s="53">
        <v>0</v>
      </c>
      <c r="M21" s="53">
        <v>0</v>
      </c>
      <c r="N21" s="53">
        <v>0</v>
      </c>
      <c r="O21" s="39">
        <f>SUM(L21:N21)</f>
        <v>0</v>
      </c>
      <c r="P21" s="14">
        <v>2.7</v>
      </c>
      <c r="Q21" s="50">
        <f t="shared" si="0"/>
        <v>-2.7</v>
      </c>
    </row>
    <row r="22" spans="1:17" ht="18.75">
      <c r="A22" s="40"/>
      <c r="B22" s="26" t="s">
        <v>100</v>
      </c>
      <c r="C22" s="27">
        <f>C23</f>
        <v>25</v>
      </c>
      <c r="D22" s="27">
        <f aca="true" t="shared" si="2" ref="D22:O22">D23</f>
        <v>22.3</v>
      </c>
      <c r="E22" s="27">
        <f t="shared" si="2"/>
        <v>23</v>
      </c>
      <c r="F22" s="27">
        <f t="shared" si="2"/>
        <v>6.2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 t="shared" si="2"/>
        <v>0</v>
      </c>
      <c r="L22" s="27">
        <f t="shared" si="2"/>
        <v>9</v>
      </c>
      <c r="M22" s="27">
        <f t="shared" si="2"/>
        <v>18.3</v>
      </c>
      <c r="N22" s="27">
        <f t="shared" si="2"/>
        <v>21.6</v>
      </c>
      <c r="O22" s="27">
        <f t="shared" si="2"/>
        <v>125.4</v>
      </c>
      <c r="P22" s="14">
        <v>130.89999999999998</v>
      </c>
      <c r="Q22" s="50">
        <f t="shared" si="0"/>
        <v>-5.499999999999972</v>
      </c>
    </row>
    <row r="23" spans="1:17" ht="18.75">
      <c r="A23" s="40"/>
      <c r="B23" s="26" t="s">
        <v>41</v>
      </c>
      <c r="C23" s="27">
        <f>C19+C21</f>
        <v>25</v>
      </c>
      <c r="D23" s="27">
        <f aca="true" t="shared" si="3" ref="D23:O23">D19+D21</f>
        <v>22.3</v>
      </c>
      <c r="E23" s="27">
        <f t="shared" si="3"/>
        <v>23</v>
      </c>
      <c r="F23" s="27">
        <f t="shared" si="3"/>
        <v>6.2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9</v>
      </c>
      <c r="M23" s="27">
        <f t="shared" si="3"/>
        <v>18.3</v>
      </c>
      <c r="N23" s="27">
        <f t="shared" si="3"/>
        <v>21.6</v>
      </c>
      <c r="O23" s="27">
        <f t="shared" si="3"/>
        <v>125.4</v>
      </c>
      <c r="P23" s="14">
        <v>130.89999999999998</v>
      </c>
      <c r="Q23" s="50">
        <f t="shared" si="0"/>
        <v>-5.499999999999972</v>
      </c>
    </row>
    <row r="27" spans="1:16" ht="15.75">
      <c r="A27" s="12"/>
      <c r="P27" s="9"/>
    </row>
    <row r="31" spans="2:15" ht="18.75">
      <c r="B31" s="10" t="s">
        <v>89</v>
      </c>
      <c r="C31" s="10"/>
      <c r="D31" s="8"/>
      <c r="E31" s="8"/>
      <c r="F31" s="8"/>
      <c r="G31" s="8"/>
      <c r="H31" s="8"/>
      <c r="I31" s="8"/>
      <c r="J31" s="8"/>
      <c r="K31" s="8"/>
      <c r="L31" s="13"/>
      <c r="M31" s="13" t="s">
        <v>106</v>
      </c>
      <c r="N31" s="13"/>
      <c r="O31" s="13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2019-01-21T14:26:44Z</cp:lastPrinted>
  <dcterms:created xsi:type="dcterms:W3CDTF">1996-10-08T23:32:33Z</dcterms:created>
  <dcterms:modified xsi:type="dcterms:W3CDTF">2019-01-29T09:59:04Z</dcterms:modified>
  <cp:category/>
  <cp:version/>
  <cp:contentType/>
  <cp:contentStatus/>
</cp:coreProperties>
</file>