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2390" windowHeight="8415" tabRatio="246" activeTab="0"/>
  </bookViews>
  <sheets>
    <sheet name="дод 2 (вк)" sheetId="1" r:id="rId1"/>
  </sheets>
  <definedNames>
    <definedName name="_xlfn.AGGREGATE" hidden="1">#NAME?</definedName>
    <definedName name="_xlnm.Print_Titles" localSheetId="0">'дод 2 (вк)'!$13:$13</definedName>
    <definedName name="_xlnm.Print_Area" localSheetId="0">'дод 2 (вк)'!$A$1:$N$345</definedName>
  </definedNames>
  <calcPr fullCalcOnLoad="1"/>
</workbook>
</file>

<file path=xl/sharedStrings.xml><?xml version="1.0" encoding="utf-8"?>
<sst xmlns="http://schemas.openxmlformats.org/spreadsheetml/2006/main" count="804" uniqueCount="487">
  <si>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</si>
  <si>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</si>
  <si>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</si>
  <si>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</si>
  <si>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</si>
  <si>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</si>
  <si>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</si>
  <si>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</si>
  <si>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</si>
  <si>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</si>
  <si>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</si>
  <si>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</si>
  <si>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</si>
  <si>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</si>
  <si>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</si>
  <si>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</si>
  <si>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</si>
  <si>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</si>
  <si>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</si>
  <si>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</si>
  <si>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</si>
  <si>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</si>
  <si>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</si>
  <si>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</si>
  <si>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</si>
  <si>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</si>
  <si>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</si>
  <si>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</si>
  <si>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</si>
  <si>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</si>
  <si>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</si>
  <si>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</si>
  <si>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</si>
  <si>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</si>
  <si>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</si>
  <si>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</si>
  <si>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</si>
  <si>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</si>
  <si>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</si>
  <si>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</si>
  <si>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</si>
  <si>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</si>
  <si>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</si>
  <si>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</si>
  <si>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</si>
  <si>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</si>
  <si>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</si>
  <si>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</si>
  <si>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</si>
  <si>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</si>
  <si>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</si>
  <si>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</si>
  <si>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</si>
  <si>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</si>
  <si>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</si>
  <si>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</si>
  <si>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</si>
  <si>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</si>
  <si>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</si>
  <si>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</si>
  <si>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</si>
  <si>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</si>
  <si>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</si>
  <si>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</si>
  <si>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</si>
  <si>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</si>
  <si>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</si>
  <si>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</si>
  <si>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</si>
  <si>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</si>
  <si>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</si>
  <si>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</si>
  <si>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</si>
  <si>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</si>
  <si>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</si>
  <si>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</si>
  <si>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</si>
  <si>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</si>
  <si>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</si>
  <si>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</si>
  <si>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</si>
  <si>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</si>
  <si>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</si>
  <si>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</si>
  <si>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</si>
  <si>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</si>
  <si>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</si>
  <si>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</si>
  <si>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</si>
  <si>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</si>
  <si>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</si>
  <si>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</si>
  <si>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</si>
  <si>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</si>
  <si>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</si>
  <si>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</si>
  <si>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</si>
  <si>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</si>
  <si>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</si>
  <si>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</si>
  <si>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</si>
  <si>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</si>
  <si>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</si>
  <si>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</si>
  <si>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</si>
  <si>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</si>
  <si>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</si>
  <si>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</si>
  <si>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</si>
  <si>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</si>
  <si>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</si>
  <si>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</si>
  <si>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</si>
  <si>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</si>
  <si>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</si>
  <si>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</si>
  <si>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</si>
  <si>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</si>
  <si>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</si>
  <si>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</si>
  <si>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</si>
  <si>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</si>
  <si>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</si>
  <si>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</si>
  <si>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</si>
  <si>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</si>
  <si>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</si>
  <si>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</si>
  <si>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</si>
  <si>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</si>
  <si>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</si>
  <si>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</si>
  <si>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</si>
  <si>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</si>
  <si>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</si>
  <si>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</si>
  <si>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</si>
  <si>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</si>
  <si>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</si>
  <si>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</si>
  <si>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</si>
  <si>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</si>
  <si>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</si>
  <si>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</si>
  <si>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</si>
  <si>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</si>
  <si>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</si>
  <si>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</si>
  <si>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</si>
  <si>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</si>
  <si>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</si>
  <si>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</si>
  <si>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</si>
  <si>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</si>
  <si>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</si>
  <si>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</si>
  <si>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</si>
  <si>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</si>
  <si>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</si>
  <si>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</si>
  <si>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</si>
  <si>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</si>
  <si>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</si>
  <si>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</si>
  <si>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</si>
  <si>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</si>
  <si>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</si>
  <si>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</si>
  <si>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</si>
  <si>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</si>
  <si>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</si>
  <si>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</si>
  <si>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</si>
  <si>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</si>
  <si>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</si>
  <si>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</si>
  <si>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</si>
  <si>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</si>
  <si>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</si>
  <si>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</si>
  <si>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</si>
  <si>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</si>
  <si>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</si>
  <si>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</si>
  <si>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</si>
  <si>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</si>
  <si>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</si>
  <si>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</si>
  <si>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</si>
  <si>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</si>
  <si>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</si>
  <si>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</si>
  <si>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</si>
  <si>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</si>
  <si>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</si>
  <si>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</si>
  <si>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</si>
  <si>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</si>
  <si>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</si>
  <si>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</si>
  <si>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</si>
  <si>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</si>
  <si>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</si>
  <si>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</si>
  <si>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</si>
  <si>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</si>
  <si>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</si>
  <si>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</si>
  <si>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</si>
  <si>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</si>
  <si>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</si>
  <si>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</si>
  <si>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</si>
  <si>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</si>
  <si>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</si>
  <si>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</si>
  <si>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</si>
  <si>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</si>
  <si>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</si>
  <si>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</si>
  <si>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</si>
  <si>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</si>
  <si>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</si>
  <si>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</si>
  <si>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</si>
  <si>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</si>
  <si>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</si>
  <si>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</si>
  <si>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</si>
  <si>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</si>
  <si>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</si>
  <si>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</si>
  <si>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</si>
  <si>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</si>
  <si>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</si>
  <si>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</si>
  <si>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</si>
  <si>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</si>
  <si>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</si>
  <si>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</si>
  <si>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</si>
  <si>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</si>
  <si>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</si>
  <si>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</si>
  <si>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</si>
  <si>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</si>
  <si>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</si>
  <si>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</si>
  <si>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</si>
  <si>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</si>
  <si>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</si>
  <si>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</si>
  <si>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</si>
  <si>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</si>
  <si>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</si>
  <si>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</si>
  <si>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</si>
  <si>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</si>
  <si>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</si>
  <si>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</si>
  <si>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</si>
  <si>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</si>
  <si>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</si>
  <si>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</si>
  <si>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</si>
  <si>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</si>
  <si>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</si>
  <si>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</si>
  <si>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</si>
  <si>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</si>
  <si>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</si>
  <si>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</si>
  <si>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</si>
  <si>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</si>
  <si>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</si>
  <si>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</si>
  <si>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</si>
  <si>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</si>
  <si>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</si>
  <si>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</si>
  <si>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</si>
  <si>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</si>
  <si>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</si>
  <si>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</si>
  <si>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</si>
  <si>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</si>
  <si>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</si>
  <si>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</si>
  <si>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</si>
  <si>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</si>
  <si>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</si>
  <si>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</si>
  <si>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</si>
  <si>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</si>
  <si>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</si>
  <si>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</si>
  <si>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</si>
  <si>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</si>
  <si>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</si>
  <si>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</si>
  <si>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</si>
  <si>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</si>
  <si>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</si>
  <si>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</si>
  <si>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</si>
  <si>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</si>
  <si>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</si>
  <si>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</si>
  <si>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</si>
  <si>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</si>
  <si>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</si>
  <si>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</si>
  <si>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</si>
  <si>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</si>
  <si>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</si>
  <si>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</si>
  <si>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</si>
  <si>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</si>
  <si>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</si>
  <si>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</si>
  <si>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</si>
  <si>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</si>
  <si>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</si>
  <si>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</si>
  <si>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</si>
  <si>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</si>
  <si>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</si>
  <si>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</si>
  <si>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</si>
  <si>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</si>
  <si>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</si>
  <si>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</si>
  <si>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</si>
  <si>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</si>
  <si>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</si>
  <si>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</si>
  <si>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</si>
  <si>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</si>
  <si>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</si>
  <si>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</si>
  <si>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</si>
  <si>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</si>
  <si>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</si>
  <si>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</si>
  <si>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</si>
  <si>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</si>
  <si>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</si>
  <si>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</si>
  <si>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</si>
  <si>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</si>
  <si>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</si>
  <si>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</si>
  <si>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</si>
  <si>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</si>
  <si>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</si>
  <si>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</si>
  <si>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</si>
  <si>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</si>
  <si>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</si>
  <si>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</si>
  <si>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</si>
  <si>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</si>
  <si>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</si>
  <si>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</si>
  <si>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</si>
  <si>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</si>
  <si>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</si>
  <si>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</si>
  <si>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</si>
  <si>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</si>
  <si>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</si>
  <si>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</si>
  <si>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</si>
  <si>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</si>
  <si>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</si>
  <si>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</si>
  <si>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</si>
  <si>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</si>
  <si>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</si>
  <si>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</si>
  <si>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</si>
  <si>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</si>
  <si>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</si>
  <si>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</si>
  <si>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</si>
  <si>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</si>
  <si>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</si>
  <si>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</si>
  <si>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</si>
  <si>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</si>
  <si>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</si>
  <si>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</si>
  <si>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</si>
  <si>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</si>
  <si>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</si>
  <si>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</si>
  <si>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</si>
  <si>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0813222</t>
  </si>
  <si>
    <t>3222</t>
  </si>
  <si>
    <t>1060</t>
  </si>
  <si>
    <t>0916080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</si>
  <si>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</si>
  <si>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</si>
  <si>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</si>
  <si>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</si>
  <si>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</si>
  <si>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</si>
  <si>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</si>
  <si>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</si>
  <si>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</si>
  <si>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</si>
  <si>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</si>
  <si>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</si>
  <si>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</si>
  <si>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</si>
  <si>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</si>
  <si>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</si>
  <si>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</si>
  <si>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</si>
  <si>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</si>
  <si>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</si>
  <si>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</si>
  <si>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</si>
  <si>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</si>
  <si>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</si>
  <si>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</si>
  <si>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</si>
  <si>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</si>
  <si>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</si>
  <si>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</si>
  <si>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</si>
  <si>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</si>
  <si>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</si>
  <si>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</si>
  <si>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</si>
  <si>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</si>
  <si>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С.А. Липова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</si>
  <si>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</si>
  <si>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</si>
  <si>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</si>
  <si>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</si>
  <si>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</si>
  <si>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</si>
  <si>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</si>
  <si>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</si>
  <si>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</si>
  <si>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</si>
  <si>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</si>
  <si>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</si>
  <si>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</si>
  <si>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</si>
  <si>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</si>
  <si>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</si>
  <si>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</si>
  <si>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</si>
  <si>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</si>
  <si>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</si>
  <si>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</si>
  <si>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</si>
  <si>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</si>
  <si>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</si>
  <si>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</si>
  <si>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</si>
  <si>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</si>
  <si>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</si>
  <si>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</si>
  <si>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</si>
  <si>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</si>
  <si>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</si>
  <si>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</si>
  <si>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</si>
  <si>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</si>
  <si>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</si>
  <si>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</si>
  <si>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</si>
  <si>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та модернізація інженерних мереж ССШ №24</t>
  </si>
  <si>
    <t>Реконструкція-термомодернізація будівлі НВК ДНЗ №16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</si>
  <si>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</si>
  <si>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</si>
  <si>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</si>
  <si>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</si>
  <si>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</si>
  <si>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</si>
  <si>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Додаток 2</t>
  </si>
  <si>
    <t xml:space="preserve">     до рішення виконавчого комітету</t>
  </si>
  <si>
    <t>Директор департаменту фінансів, економіки та інвестицій                                                  Сумської міської ради</t>
  </si>
  <si>
    <t xml:space="preserve">                  від  09.10.2018  № 522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</si>
</sst>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  <numFmt numFmtId="222" formatCode="#,##0.000_ ;[Red]\-#,##0.000\ 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3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7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200" fontId="27" fillId="0" borderId="16" xfId="0" applyNumberFormat="1" applyFont="1" applyFill="1" applyBorder="1" applyAlignment="1">
      <alignment/>
    </xf>
    <xf numFmtId="200" fontId="29" fillId="0" borderId="16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221" fontId="25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>
      <alignment horizontal="center"/>
    </xf>
    <xf numFmtId="221" fontId="30" fillId="0" borderId="1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vertical="center" wrapText="1"/>
    </xf>
    <xf numFmtId="200" fontId="25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/>
    </xf>
    <xf numFmtId="221" fontId="27" fillId="0" borderId="16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02" fontId="27" fillId="0" borderId="0" xfId="0" applyNumberFormat="1" applyFont="1" applyFill="1" applyAlignment="1">
      <alignment vertical="center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left" vertical="center" wrapText="1"/>
    </xf>
    <xf numFmtId="221" fontId="25" fillId="0" borderId="16" xfId="0" applyNumberFormat="1" applyFont="1" applyFill="1" applyBorder="1" applyAlignment="1">
      <alignment horizontal="right" vertical="center"/>
    </xf>
    <xf numFmtId="200" fontId="25" fillId="0" borderId="16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02" fontId="25" fillId="0" borderId="16" xfId="0" applyNumberFormat="1" applyFont="1" applyFill="1" applyBorder="1" applyAlignment="1">
      <alignment horizontal="right"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221" fontId="29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5" fillId="0" borderId="16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right" vertical="center"/>
    </xf>
    <xf numFmtId="221" fontId="28" fillId="0" borderId="16" xfId="0" applyNumberFormat="1" applyFont="1" applyFill="1" applyBorder="1" applyAlignment="1">
      <alignment horizontal="right" vertical="center"/>
    </xf>
    <xf numFmtId="202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/>
    </xf>
    <xf numFmtId="4" fontId="25" fillId="0" borderId="16" xfId="0" applyNumberFormat="1" applyFont="1" applyFill="1" applyBorder="1" applyAlignment="1">
      <alignment horizontal="center" vertical="center"/>
    </xf>
    <xf numFmtId="221" fontId="25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justify" vertical="center"/>
    </xf>
    <xf numFmtId="4" fontId="29" fillId="0" borderId="16" xfId="0" applyNumberFormat="1" applyFont="1" applyFill="1" applyBorder="1" applyAlignment="1">
      <alignment horizontal="center" vertical="center"/>
    </xf>
    <xf numFmtId="221" fontId="29" fillId="0" borderId="16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200" fontId="29" fillId="0" borderId="16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justify" vertical="center" wrapText="1"/>
    </xf>
    <xf numFmtId="0" fontId="27" fillId="0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4" fontId="27" fillId="0" borderId="16" xfId="0" applyNumberFormat="1" applyFont="1" applyFill="1" applyBorder="1" applyAlignment="1">
      <alignment horizontal="center" vertical="center"/>
    </xf>
    <xf numFmtId="221" fontId="27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wrapText="1"/>
    </xf>
    <xf numFmtId="202" fontId="29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vertical="center"/>
    </xf>
    <xf numFmtId="203" fontId="2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200" fontId="25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200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221" fontId="27" fillId="0" borderId="16" xfId="0" applyNumberFormat="1" applyFont="1" applyFill="1" applyBorder="1" applyAlignment="1">
      <alignment horizontal="right" vertical="center" wrapText="1"/>
    </xf>
    <xf numFmtId="202" fontId="27" fillId="0" borderId="16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horizontal="center" vertical="center"/>
    </xf>
    <xf numFmtId="200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" fontId="25" fillId="0" borderId="16" xfId="0" applyNumberFormat="1" applyFont="1" applyFill="1" applyBorder="1" applyAlignment="1">
      <alignment vertical="center"/>
    </xf>
    <xf numFmtId="221" fontId="25" fillId="0" borderId="16" xfId="0" applyNumberFormat="1" applyFont="1" applyFill="1" applyBorder="1" applyAlignment="1">
      <alignment vertical="center"/>
    </xf>
    <xf numFmtId="200" fontId="27" fillId="0" borderId="16" xfId="0" applyNumberFormat="1" applyFont="1" applyFill="1" applyBorder="1" applyAlignment="1">
      <alignment horizontal="right" vertical="center"/>
    </xf>
    <xf numFmtId="49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5" fillId="0" borderId="16" xfId="0" applyFont="1" applyFill="1" applyBorder="1" applyAlignment="1">
      <alignment horizontal="right"/>
    </xf>
    <xf numFmtId="0" fontId="25" fillId="0" borderId="16" xfId="0" applyFont="1" applyFill="1" applyBorder="1" applyAlignment="1">
      <alignment/>
    </xf>
    <xf numFmtId="221" fontId="25" fillId="0" borderId="16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221" fontId="25" fillId="0" borderId="0" xfId="0" applyNumberFormat="1" applyFont="1" applyFill="1" applyAlignment="1">
      <alignment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Border="1" applyAlignment="1">
      <alignment vertical="distributed" wrapText="1"/>
    </xf>
    <xf numFmtId="0" fontId="3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 vertical="top"/>
    </xf>
    <xf numFmtId="1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180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200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/>
    </xf>
    <xf numFmtId="200" fontId="29" fillId="0" borderId="0" xfId="0" applyNumberFormat="1" applyFont="1" applyFill="1" applyBorder="1" applyAlignment="1">
      <alignment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 horizontal="center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>
      <alignment horizontal="center" wrapText="1"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7" fillId="0" borderId="16" xfId="0" applyFont="1" applyFill="1" applyBorder="1" applyAlignment="1">
      <alignment horizontal="center" vertical="center" wrapText="1"/>
    </xf>
    <xf numFmtId="221" fontId="27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distributed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345"/>
  <sheetViews>
    <sheetView showGridLines="0" showZeros="0" tabSelected="1" view="pageBreakPreview" zoomScale="60" zoomScaleNormal="70" zoomScalePageLayoutView="0" workbookViewId="0" topLeftCell="D1">
      <selection activeCell="H4" sqref="H4"/>
    </sheetView>
  </sheetViews>
  <sheetFormatPr defaultColWidth="9.16015625" defaultRowHeight="12.75"/>
  <cols>
    <col min="1" max="1" width="19.33203125" style="11" hidden="1" customWidth="1"/>
    <col min="2" max="2" width="17.33203125" style="12" hidden="1" customWidth="1"/>
    <col min="3" max="3" width="17.16015625" style="12" hidden="1" customWidth="1"/>
    <col min="4" max="4" width="159.33203125" style="13" customWidth="1"/>
    <col min="5" max="5" width="61.33203125" style="13" hidden="1" customWidth="1"/>
    <col min="6" max="6" width="23.33203125" style="13" hidden="1" customWidth="1"/>
    <col min="7" max="8" width="32.83203125" style="13" customWidth="1"/>
    <col min="9" max="9" width="30" style="13" hidden="1" customWidth="1"/>
    <col min="10" max="10" width="32.83203125" style="13" customWidth="1"/>
    <col min="11" max="11" width="28.66015625" style="115" hidden="1" customWidth="1"/>
    <col min="12" max="12" width="24.66015625" style="2" hidden="1" customWidth="1"/>
    <col min="13" max="13" width="33.5" style="116" hidden="1" customWidth="1"/>
    <col min="14" max="14" width="32.66015625" style="2" customWidth="1"/>
    <col min="15" max="15" width="25" style="2" customWidth="1"/>
    <col min="16" max="16" width="31.33203125" style="2" customWidth="1"/>
    <col min="17" max="16384" width="9.16015625" style="2" customWidth="1"/>
  </cols>
  <sheetData>
    <row r="1" spans="8:14" ht="30" customHeight="1">
      <c r="H1" s="138" t="s">
        <v>483</v>
      </c>
      <c r="I1" s="138"/>
      <c r="J1" s="138"/>
      <c r="K1" s="138"/>
      <c r="L1" s="138"/>
      <c r="M1" s="138"/>
      <c r="N1" s="138"/>
    </row>
    <row r="2" spans="8:14" ht="30" customHeight="1">
      <c r="H2" s="138" t="s">
        <v>484</v>
      </c>
      <c r="I2" s="138"/>
      <c r="J2" s="138"/>
      <c r="K2" s="138"/>
      <c r="L2" s="138"/>
      <c r="M2" s="138"/>
      <c r="N2" s="138"/>
    </row>
    <row r="3" spans="8:14" ht="30" customHeight="1">
      <c r="H3" s="139" t="s">
        <v>486</v>
      </c>
      <c r="I3" s="139"/>
      <c r="J3" s="139"/>
      <c r="K3" s="139"/>
      <c r="L3" s="139"/>
      <c r="M3" s="139"/>
      <c r="N3" s="139"/>
    </row>
    <row r="4" spans="9:13" ht="20.25">
      <c r="I4" s="140"/>
      <c r="J4" s="140"/>
      <c r="K4" s="140"/>
      <c r="L4" s="140"/>
      <c r="M4" s="140"/>
    </row>
    <row r="5" spans="9:13" ht="20.25">
      <c r="I5" s="140"/>
      <c r="J5" s="140"/>
      <c r="K5" s="140"/>
      <c r="L5" s="140"/>
      <c r="M5" s="140"/>
    </row>
    <row r="6" spans="9:13" ht="20.25">
      <c r="I6" s="1"/>
      <c r="J6" s="1"/>
      <c r="K6" s="1"/>
      <c r="L6" s="1"/>
      <c r="M6" s="1"/>
    </row>
    <row r="7" spans="4:14" ht="38.25" customHeight="1">
      <c r="D7" s="136" t="s">
        <v>481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45" customHeight="1">
      <c r="A8" s="10"/>
      <c r="B8" s="10"/>
      <c r="C8" s="10"/>
      <c r="D8" s="137" t="s">
        <v>482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4:14" ht="40.5" customHeight="1">
      <c r="D9" s="14"/>
      <c r="E9" s="14"/>
      <c r="F9" s="14"/>
      <c r="G9" s="14"/>
      <c r="H9" s="14"/>
      <c r="I9" s="14"/>
      <c r="J9" s="14"/>
      <c r="K9" s="14"/>
      <c r="M9" s="15"/>
      <c r="N9" s="16" t="s">
        <v>480</v>
      </c>
    </row>
    <row r="10" spans="1:15" s="18" customFormat="1" ht="42.75" customHeight="1">
      <c r="A10" s="143" t="s">
        <v>47</v>
      </c>
      <c r="B10" s="134" t="s">
        <v>48</v>
      </c>
      <c r="C10" s="134" t="s">
        <v>24</v>
      </c>
      <c r="D10" s="134" t="s">
        <v>437</v>
      </c>
      <c r="E10" s="141" t="s">
        <v>167</v>
      </c>
      <c r="F10" s="134" t="s">
        <v>168</v>
      </c>
      <c r="G10" s="134" t="s">
        <v>168</v>
      </c>
      <c r="H10" s="134" t="s">
        <v>169</v>
      </c>
      <c r="I10" s="134" t="s">
        <v>170</v>
      </c>
      <c r="J10" s="134" t="s">
        <v>170</v>
      </c>
      <c r="K10" s="134" t="s">
        <v>171</v>
      </c>
      <c r="L10" s="141" t="s">
        <v>209</v>
      </c>
      <c r="M10" s="142" t="s">
        <v>210</v>
      </c>
      <c r="N10" s="134" t="s">
        <v>171</v>
      </c>
      <c r="O10" s="135"/>
    </row>
    <row r="11" spans="1:15" s="18" customFormat="1" ht="42" customHeight="1">
      <c r="A11" s="143"/>
      <c r="B11" s="134"/>
      <c r="C11" s="134"/>
      <c r="D11" s="134"/>
      <c r="E11" s="141"/>
      <c r="F11" s="134"/>
      <c r="G11" s="134"/>
      <c r="H11" s="134"/>
      <c r="I11" s="134"/>
      <c r="J11" s="134"/>
      <c r="K11" s="134"/>
      <c r="L11" s="141"/>
      <c r="M11" s="142"/>
      <c r="N11" s="134"/>
      <c r="O11" s="135"/>
    </row>
    <row r="12" spans="1:15" s="18" customFormat="1" ht="53.25" customHeight="1">
      <c r="A12" s="143"/>
      <c r="B12" s="134"/>
      <c r="C12" s="134"/>
      <c r="D12" s="134"/>
      <c r="E12" s="141"/>
      <c r="F12" s="134"/>
      <c r="G12" s="134"/>
      <c r="H12" s="134"/>
      <c r="I12" s="134"/>
      <c r="J12" s="134"/>
      <c r="K12" s="134"/>
      <c r="L12" s="141"/>
      <c r="M12" s="142"/>
      <c r="N12" s="134"/>
      <c r="O12" s="135"/>
    </row>
    <row r="13" spans="1:14" s="23" customFormat="1" ht="23.25" customHeight="1">
      <c r="A13" s="19"/>
      <c r="B13" s="20"/>
      <c r="C13" s="20"/>
      <c r="D13" s="20">
        <v>1</v>
      </c>
      <c r="E13" s="20">
        <v>5</v>
      </c>
      <c r="F13" s="20"/>
      <c r="G13" s="20">
        <v>2</v>
      </c>
      <c r="H13" s="20">
        <v>3</v>
      </c>
      <c r="I13" s="20"/>
      <c r="J13" s="20">
        <v>4</v>
      </c>
      <c r="K13" s="20"/>
      <c r="L13" s="21"/>
      <c r="M13" s="22"/>
      <c r="N13" s="21">
        <v>5</v>
      </c>
    </row>
    <row r="14" spans="1:16" s="30" customFormat="1" ht="33.75" customHeight="1">
      <c r="A14" s="24" t="s">
        <v>73</v>
      </c>
      <c r="B14" s="24"/>
      <c r="C14" s="24"/>
      <c r="D14" s="25" t="s">
        <v>17</v>
      </c>
      <c r="E14" s="25"/>
      <c r="F14" s="25"/>
      <c r="G14" s="26">
        <f>ROUND(F14/1000,1)</f>
        <v>0</v>
      </c>
      <c r="H14" s="25"/>
      <c r="I14" s="25"/>
      <c r="J14" s="26">
        <f>ROUND(I14/1000,1)</f>
        <v>0</v>
      </c>
      <c r="K14" s="27">
        <f>K15+K16+K19+K23+K26+K31+K29+K21+K18+K30+K33+K36+K34+K35</f>
        <v>49860744</v>
      </c>
      <c r="L14" s="27">
        <f>L15+L16+L19+L23+L26+L31+L29+L21+L18+L30+L33+L36+L34+L35</f>
        <v>0</v>
      </c>
      <c r="M14" s="28">
        <f>M15+M16+M19+M23+M26+M31+M29+M21+M18+M30+M33+M36+M34+M35</f>
        <v>49860744</v>
      </c>
      <c r="N14" s="29">
        <f>N15+N16+N19+N23+N26+N31+N29+N21+N18+N30+N33+N36+N34+N35</f>
        <v>49860.70000000001</v>
      </c>
      <c r="P14" s="31"/>
    </row>
    <row r="15" spans="1:16" s="36" customFormat="1" ht="50.25" customHeight="1">
      <c r="A15" s="32" t="s">
        <v>74</v>
      </c>
      <c r="B15" s="32" t="s">
        <v>55</v>
      </c>
      <c r="C15" s="32" t="s">
        <v>23</v>
      </c>
      <c r="D15" s="33" t="s">
        <v>56</v>
      </c>
      <c r="E15" s="33"/>
      <c r="F15" s="33"/>
      <c r="G15" s="26">
        <f aca="true" t="shared" si="0" ref="G15:G78">ROUND(F15/1000,1)</f>
        <v>0</v>
      </c>
      <c r="H15" s="33"/>
      <c r="I15" s="33"/>
      <c r="J15" s="26">
        <f aca="true" t="shared" si="1" ref="J15:J78">ROUND(I15/1000,1)</f>
        <v>0</v>
      </c>
      <c r="K15" s="9">
        <f>4000000-1295000+302014+31200+180000</f>
        <v>3218214</v>
      </c>
      <c r="L15" s="9"/>
      <c r="M15" s="34">
        <f>L15+K15</f>
        <v>3218214</v>
      </c>
      <c r="N15" s="35">
        <f aca="true" t="shared" si="2" ref="N15:N77">ROUND(M15/1000,1)</f>
        <v>3218.2</v>
      </c>
      <c r="P15" s="31"/>
    </row>
    <row r="16" spans="1:16" s="36" customFormat="1" ht="35.25" customHeight="1">
      <c r="A16" s="32" t="s">
        <v>75</v>
      </c>
      <c r="B16" s="32" t="s">
        <v>59</v>
      </c>
      <c r="C16" s="32"/>
      <c r="D16" s="33" t="s">
        <v>438</v>
      </c>
      <c r="E16" s="33"/>
      <c r="F16" s="33"/>
      <c r="G16" s="26">
        <f t="shared" si="0"/>
        <v>0</v>
      </c>
      <c r="H16" s="33"/>
      <c r="I16" s="33"/>
      <c r="J16" s="26">
        <f t="shared" si="1"/>
        <v>0</v>
      </c>
      <c r="K16" s="9">
        <f>K17</f>
        <v>790500</v>
      </c>
      <c r="L16" s="9">
        <f>L17</f>
        <v>0</v>
      </c>
      <c r="M16" s="34">
        <f>M17</f>
        <v>790500</v>
      </c>
      <c r="N16" s="37">
        <f>N17</f>
        <v>790.5</v>
      </c>
      <c r="P16" s="31"/>
    </row>
    <row r="17" spans="1:16" s="44" customFormat="1" ht="37.5" customHeight="1">
      <c r="A17" s="38" t="s">
        <v>76</v>
      </c>
      <c r="B17" s="38" t="s">
        <v>60</v>
      </c>
      <c r="C17" s="38" t="s">
        <v>46</v>
      </c>
      <c r="D17" s="39" t="s">
        <v>61</v>
      </c>
      <c r="E17" s="40"/>
      <c r="F17" s="40"/>
      <c r="G17" s="26">
        <f t="shared" si="0"/>
        <v>0</v>
      </c>
      <c r="H17" s="40"/>
      <c r="I17" s="40"/>
      <c r="J17" s="26">
        <f t="shared" si="1"/>
        <v>0</v>
      </c>
      <c r="K17" s="41">
        <f>20500+385000+300000+85000</f>
        <v>790500</v>
      </c>
      <c r="L17" s="41"/>
      <c r="M17" s="42">
        <f>L17+K17</f>
        <v>790500</v>
      </c>
      <c r="N17" s="43">
        <f t="shared" si="2"/>
        <v>790.5</v>
      </c>
      <c r="P17" s="31"/>
    </row>
    <row r="18" spans="1:16" s="46" customFormat="1" ht="36" customHeight="1">
      <c r="A18" s="32" t="s">
        <v>231</v>
      </c>
      <c r="B18" s="32" t="s">
        <v>232</v>
      </c>
      <c r="C18" s="32" t="s">
        <v>230</v>
      </c>
      <c r="D18" s="33" t="s">
        <v>229</v>
      </c>
      <c r="E18" s="45"/>
      <c r="F18" s="45"/>
      <c r="G18" s="26">
        <f t="shared" si="0"/>
        <v>0</v>
      </c>
      <c r="H18" s="45"/>
      <c r="I18" s="45"/>
      <c r="J18" s="26">
        <f t="shared" si="1"/>
        <v>0</v>
      </c>
      <c r="K18" s="9">
        <v>28500</v>
      </c>
      <c r="L18" s="9"/>
      <c r="M18" s="34">
        <f>L18+K18</f>
        <v>28500</v>
      </c>
      <c r="N18" s="35">
        <f t="shared" si="2"/>
        <v>28.5</v>
      </c>
      <c r="P18" s="31"/>
    </row>
    <row r="19" spans="1:16" s="36" customFormat="1" ht="30" customHeight="1">
      <c r="A19" s="32" t="s">
        <v>77</v>
      </c>
      <c r="B19" s="32" t="s">
        <v>5</v>
      </c>
      <c r="C19" s="32"/>
      <c r="D19" s="33" t="s">
        <v>439</v>
      </c>
      <c r="E19" s="33"/>
      <c r="F19" s="33"/>
      <c r="G19" s="26">
        <f t="shared" si="0"/>
        <v>0</v>
      </c>
      <c r="H19" s="33"/>
      <c r="I19" s="33"/>
      <c r="J19" s="26">
        <f t="shared" si="1"/>
        <v>0</v>
      </c>
      <c r="K19" s="9">
        <f>K20</f>
        <v>20500</v>
      </c>
      <c r="L19" s="9">
        <f>L20</f>
        <v>0</v>
      </c>
      <c r="M19" s="34">
        <f>M20</f>
        <v>20500</v>
      </c>
      <c r="N19" s="37">
        <f>N20</f>
        <v>20.5</v>
      </c>
      <c r="P19" s="31"/>
    </row>
    <row r="20" spans="1:16" s="47" customFormat="1" ht="38.25" customHeight="1">
      <c r="A20" s="38" t="s">
        <v>184</v>
      </c>
      <c r="B20" s="38" t="s">
        <v>185</v>
      </c>
      <c r="C20" s="38" t="s">
        <v>41</v>
      </c>
      <c r="D20" s="39" t="s">
        <v>186</v>
      </c>
      <c r="E20" s="39"/>
      <c r="F20" s="39"/>
      <c r="G20" s="26">
        <f t="shared" si="0"/>
        <v>0</v>
      </c>
      <c r="H20" s="39"/>
      <c r="I20" s="39"/>
      <c r="J20" s="26">
        <f t="shared" si="1"/>
        <v>0</v>
      </c>
      <c r="K20" s="41">
        <f>49000-28500</f>
        <v>20500</v>
      </c>
      <c r="L20" s="41"/>
      <c r="M20" s="42">
        <f>L20+K20</f>
        <v>20500</v>
      </c>
      <c r="N20" s="43">
        <f t="shared" si="2"/>
        <v>20.5</v>
      </c>
      <c r="P20" s="31"/>
    </row>
    <row r="21" spans="1:16" s="36" customFormat="1" ht="28.5" customHeight="1">
      <c r="A21" s="32" t="s">
        <v>211</v>
      </c>
      <c r="B21" s="32" t="s">
        <v>213</v>
      </c>
      <c r="C21" s="32"/>
      <c r="D21" s="33" t="s">
        <v>440</v>
      </c>
      <c r="E21" s="33"/>
      <c r="F21" s="33"/>
      <c r="G21" s="26">
        <f t="shared" si="0"/>
        <v>0</v>
      </c>
      <c r="H21" s="33"/>
      <c r="I21" s="33"/>
      <c r="J21" s="26">
        <f t="shared" si="1"/>
        <v>0</v>
      </c>
      <c r="K21" s="9">
        <f>K22</f>
        <v>177000</v>
      </c>
      <c r="L21" s="9">
        <f>L22</f>
        <v>0</v>
      </c>
      <c r="M21" s="34">
        <f>M22</f>
        <v>177000</v>
      </c>
      <c r="N21" s="37">
        <f>N22</f>
        <v>177</v>
      </c>
      <c r="P21" s="31"/>
    </row>
    <row r="22" spans="1:16" s="47" customFormat="1" ht="38.25" customHeight="1">
      <c r="A22" s="38" t="s">
        <v>212</v>
      </c>
      <c r="B22" s="38" t="s">
        <v>214</v>
      </c>
      <c r="C22" s="38" t="s">
        <v>42</v>
      </c>
      <c r="D22" s="39" t="s">
        <v>215</v>
      </c>
      <c r="E22" s="39"/>
      <c r="F22" s="39"/>
      <c r="G22" s="26">
        <f t="shared" si="0"/>
        <v>0</v>
      </c>
      <c r="H22" s="39"/>
      <c r="I22" s="39"/>
      <c r="J22" s="26">
        <f t="shared" si="1"/>
        <v>0</v>
      </c>
      <c r="K22" s="41">
        <v>177000</v>
      </c>
      <c r="L22" s="41"/>
      <c r="M22" s="42">
        <f>L22+K22</f>
        <v>177000</v>
      </c>
      <c r="N22" s="43">
        <f t="shared" si="2"/>
        <v>177</v>
      </c>
      <c r="P22" s="31"/>
    </row>
    <row r="23" spans="1:16" s="36" customFormat="1" ht="30.75" customHeight="1">
      <c r="A23" s="48" t="s">
        <v>78</v>
      </c>
      <c r="B23" s="48" t="s">
        <v>52</v>
      </c>
      <c r="C23" s="48"/>
      <c r="D23" s="33" t="s">
        <v>441</v>
      </c>
      <c r="E23" s="33"/>
      <c r="F23" s="33"/>
      <c r="G23" s="26">
        <f t="shared" si="0"/>
        <v>0</v>
      </c>
      <c r="H23" s="33"/>
      <c r="I23" s="33"/>
      <c r="J23" s="26">
        <f t="shared" si="1"/>
        <v>0</v>
      </c>
      <c r="K23" s="9">
        <f>K24+K25</f>
        <v>355650</v>
      </c>
      <c r="L23" s="9">
        <f>L24+L25</f>
        <v>0</v>
      </c>
      <c r="M23" s="34">
        <f>M24+M25</f>
        <v>355650</v>
      </c>
      <c r="N23" s="37">
        <f>N24+N25</f>
        <v>355.6</v>
      </c>
      <c r="P23" s="31"/>
    </row>
    <row r="24" spans="1:16" s="44" customFormat="1" ht="41.25" customHeight="1">
      <c r="A24" s="49" t="s">
        <v>79</v>
      </c>
      <c r="B24" s="49" t="s">
        <v>53</v>
      </c>
      <c r="C24" s="49" t="s">
        <v>42</v>
      </c>
      <c r="D24" s="39" t="s">
        <v>6</v>
      </c>
      <c r="E24" s="40"/>
      <c r="F24" s="40"/>
      <c r="G24" s="26">
        <f t="shared" si="0"/>
        <v>0</v>
      </c>
      <c r="H24" s="40"/>
      <c r="I24" s="40"/>
      <c r="J24" s="26">
        <f t="shared" si="1"/>
        <v>0</v>
      </c>
      <c r="K24" s="41">
        <f>200000+25000+75000</f>
        <v>300000</v>
      </c>
      <c r="L24" s="41"/>
      <c r="M24" s="42">
        <f>L24+K24</f>
        <v>300000</v>
      </c>
      <c r="N24" s="43">
        <f t="shared" si="2"/>
        <v>300</v>
      </c>
      <c r="P24" s="31"/>
    </row>
    <row r="25" spans="1:16" s="44" customFormat="1" ht="38.25" customHeight="1">
      <c r="A25" s="49" t="s">
        <v>358</v>
      </c>
      <c r="B25" s="49" t="s">
        <v>359</v>
      </c>
      <c r="C25" s="49" t="s">
        <v>42</v>
      </c>
      <c r="D25" s="39" t="s">
        <v>360</v>
      </c>
      <c r="E25" s="40"/>
      <c r="F25" s="40"/>
      <c r="G25" s="26">
        <f t="shared" si="0"/>
        <v>0</v>
      </c>
      <c r="H25" s="40"/>
      <c r="I25" s="40"/>
      <c r="J25" s="26">
        <f t="shared" si="1"/>
        <v>0</v>
      </c>
      <c r="K25" s="41">
        <f>10000+45650</f>
        <v>55650</v>
      </c>
      <c r="L25" s="41"/>
      <c r="M25" s="42">
        <f>L25+K25</f>
        <v>55650</v>
      </c>
      <c r="N25" s="43">
        <f>ROUND(M25/1000,1)-0.1</f>
        <v>55.6</v>
      </c>
      <c r="P25" s="31"/>
    </row>
    <row r="26" spans="1:16" s="47" customFormat="1" ht="37.5" customHeight="1">
      <c r="A26" s="48" t="s">
        <v>80</v>
      </c>
      <c r="B26" s="48" t="s">
        <v>43</v>
      </c>
      <c r="C26" s="48"/>
      <c r="D26" s="33" t="s">
        <v>442</v>
      </c>
      <c r="E26" s="33"/>
      <c r="F26" s="33"/>
      <c r="G26" s="26">
        <f t="shared" si="0"/>
        <v>0</v>
      </c>
      <c r="H26" s="33"/>
      <c r="I26" s="33"/>
      <c r="J26" s="26">
        <f t="shared" si="1"/>
        <v>0</v>
      </c>
      <c r="K26" s="9">
        <f>K27+K28</f>
        <v>2940000</v>
      </c>
      <c r="L26" s="9">
        <f>L27+L28</f>
        <v>0</v>
      </c>
      <c r="M26" s="34">
        <f>M27+M28</f>
        <v>2940000</v>
      </c>
      <c r="N26" s="37">
        <f>N27+N28</f>
        <v>2940</v>
      </c>
      <c r="P26" s="31"/>
    </row>
    <row r="27" spans="1:16" s="47" customFormat="1" ht="50.25" customHeight="1">
      <c r="A27" s="49" t="s">
        <v>81</v>
      </c>
      <c r="B27" s="49" t="s">
        <v>50</v>
      </c>
      <c r="C27" s="49" t="s">
        <v>42</v>
      </c>
      <c r="D27" s="39" t="s">
        <v>51</v>
      </c>
      <c r="E27" s="39"/>
      <c r="F27" s="39"/>
      <c r="G27" s="26">
        <f t="shared" si="0"/>
        <v>0</v>
      </c>
      <c r="H27" s="39"/>
      <c r="I27" s="39"/>
      <c r="J27" s="26">
        <f t="shared" si="1"/>
        <v>0</v>
      </c>
      <c r="K27" s="41">
        <f>20000+2900000</f>
        <v>2920000</v>
      </c>
      <c r="L27" s="41"/>
      <c r="M27" s="42">
        <f>L27+K27</f>
        <v>2920000</v>
      </c>
      <c r="N27" s="43">
        <f t="shared" si="2"/>
        <v>2920</v>
      </c>
      <c r="P27" s="31"/>
    </row>
    <row r="28" spans="1:16" s="47" customFormat="1" ht="47.25" customHeight="1">
      <c r="A28" s="49" t="s">
        <v>379</v>
      </c>
      <c r="B28" s="49" t="s">
        <v>380</v>
      </c>
      <c r="C28" s="49" t="s">
        <v>42</v>
      </c>
      <c r="D28" s="39" t="s">
        <v>381</v>
      </c>
      <c r="E28" s="39"/>
      <c r="F28" s="39"/>
      <c r="G28" s="26">
        <f t="shared" si="0"/>
        <v>0</v>
      </c>
      <c r="H28" s="39"/>
      <c r="I28" s="39"/>
      <c r="J28" s="26">
        <f t="shared" si="1"/>
        <v>0</v>
      </c>
      <c r="K28" s="41">
        <v>20000</v>
      </c>
      <c r="L28" s="41"/>
      <c r="M28" s="42">
        <f>L28+K28</f>
        <v>20000</v>
      </c>
      <c r="N28" s="43">
        <f t="shared" si="2"/>
        <v>20</v>
      </c>
      <c r="P28" s="31"/>
    </row>
    <row r="29" spans="1:16" s="36" customFormat="1" ht="20.25">
      <c r="A29" s="48" t="s">
        <v>195</v>
      </c>
      <c r="B29" s="48" t="s">
        <v>196</v>
      </c>
      <c r="C29" s="48" t="s">
        <v>198</v>
      </c>
      <c r="D29" s="33" t="s">
        <v>197</v>
      </c>
      <c r="E29" s="33"/>
      <c r="F29" s="33"/>
      <c r="G29" s="26">
        <f t="shared" si="0"/>
        <v>0</v>
      </c>
      <c r="H29" s="33"/>
      <c r="I29" s="33"/>
      <c r="J29" s="26">
        <f t="shared" si="1"/>
        <v>0</v>
      </c>
      <c r="K29" s="9">
        <f>4897000+3385000-900000+729000</f>
        <v>8111000</v>
      </c>
      <c r="L29" s="9"/>
      <c r="M29" s="34">
        <f aca="true" t="shared" si="3" ref="M29:M36">L29+K29</f>
        <v>8111000</v>
      </c>
      <c r="N29" s="35">
        <f t="shared" si="2"/>
        <v>8111</v>
      </c>
      <c r="P29" s="31"/>
    </row>
    <row r="30" spans="1:16" s="36" customFormat="1" ht="46.5" customHeight="1">
      <c r="A30" s="48" t="s">
        <v>236</v>
      </c>
      <c r="B30" s="48" t="s">
        <v>237</v>
      </c>
      <c r="C30" s="48" t="s">
        <v>239</v>
      </c>
      <c r="D30" s="50" t="s">
        <v>238</v>
      </c>
      <c r="E30" s="33"/>
      <c r="F30" s="33"/>
      <c r="G30" s="26">
        <f t="shared" si="0"/>
        <v>0</v>
      </c>
      <c r="H30" s="33"/>
      <c r="I30" s="33"/>
      <c r="J30" s="26">
        <f t="shared" si="1"/>
        <v>0</v>
      </c>
      <c r="K30" s="9">
        <v>16800</v>
      </c>
      <c r="L30" s="9"/>
      <c r="M30" s="34">
        <f t="shared" si="3"/>
        <v>16800</v>
      </c>
      <c r="N30" s="35">
        <f t="shared" si="2"/>
        <v>16.8</v>
      </c>
      <c r="P30" s="31"/>
    </row>
    <row r="31" spans="1:16" s="47" customFormat="1" ht="36" customHeight="1">
      <c r="A31" s="48" t="s">
        <v>82</v>
      </c>
      <c r="B31" s="48" t="s">
        <v>2</v>
      </c>
      <c r="C31" s="48" t="s">
        <v>44</v>
      </c>
      <c r="D31" s="33" t="s">
        <v>443</v>
      </c>
      <c r="E31" s="33" t="s">
        <v>179</v>
      </c>
      <c r="F31" s="33"/>
      <c r="G31" s="26">
        <f t="shared" si="0"/>
        <v>0</v>
      </c>
      <c r="H31" s="33"/>
      <c r="I31" s="33"/>
      <c r="J31" s="26">
        <f t="shared" si="1"/>
        <v>0</v>
      </c>
      <c r="K31" s="9">
        <f>4220000+24220000+800000-380000</f>
        <v>28860000</v>
      </c>
      <c r="L31" s="9"/>
      <c r="M31" s="34">
        <f t="shared" si="3"/>
        <v>28860000</v>
      </c>
      <c r="N31" s="35">
        <f>N32</f>
        <v>28860</v>
      </c>
      <c r="P31" s="31"/>
    </row>
    <row r="32" spans="1:16" s="47" customFormat="1" ht="33" customHeight="1">
      <c r="A32" s="49"/>
      <c r="B32" s="49"/>
      <c r="C32" s="49"/>
      <c r="D32" s="39" t="s">
        <v>179</v>
      </c>
      <c r="E32" s="39"/>
      <c r="F32" s="39"/>
      <c r="G32" s="26">
        <f t="shared" si="0"/>
        <v>0</v>
      </c>
      <c r="H32" s="39"/>
      <c r="I32" s="39"/>
      <c r="J32" s="26">
        <f t="shared" si="1"/>
        <v>0</v>
      </c>
      <c r="K32" s="41">
        <f>K31</f>
        <v>28860000</v>
      </c>
      <c r="L32" s="41"/>
      <c r="M32" s="34">
        <f t="shared" si="3"/>
        <v>28860000</v>
      </c>
      <c r="N32" s="43">
        <f t="shared" si="2"/>
        <v>28860</v>
      </c>
      <c r="P32" s="31"/>
    </row>
    <row r="33" spans="1:16" s="47" customFormat="1" ht="37.5" customHeight="1">
      <c r="A33" s="48" t="s">
        <v>240</v>
      </c>
      <c r="B33" s="48" t="s">
        <v>241</v>
      </c>
      <c r="C33" s="48" t="s">
        <v>242</v>
      </c>
      <c r="D33" s="50" t="s">
        <v>243</v>
      </c>
      <c r="E33" s="33"/>
      <c r="F33" s="33"/>
      <c r="G33" s="26">
        <f t="shared" si="0"/>
        <v>0</v>
      </c>
      <c r="H33" s="33"/>
      <c r="I33" s="33"/>
      <c r="J33" s="26">
        <f t="shared" si="1"/>
        <v>0</v>
      </c>
      <c r="K33" s="9">
        <f>55900+180000</f>
        <v>235900</v>
      </c>
      <c r="L33" s="9"/>
      <c r="M33" s="34">
        <f t="shared" si="3"/>
        <v>235900</v>
      </c>
      <c r="N33" s="35">
        <f t="shared" si="2"/>
        <v>235.9</v>
      </c>
      <c r="P33" s="31"/>
    </row>
    <row r="34" spans="1:16" s="47" customFormat="1" ht="24.75" customHeight="1">
      <c r="A34" s="48" t="s">
        <v>293</v>
      </c>
      <c r="B34" s="48" t="s">
        <v>296</v>
      </c>
      <c r="C34" s="48" t="s">
        <v>242</v>
      </c>
      <c r="D34" s="33" t="s">
        <v>295</v>
      </c>
      <c r="E34" s="33"/>
      <c r="F34" s="33"/>
      <c r="G34" s="26">
        <f t="shared" si="0"/>
        <v>0</v>
      </c>
      <c r="H34" s="33"/>
      <c r="I34" s="33"/>
      <c r="J34" s="26">
        <f t="shared" si="1"/>
        <v>0</v>
      </c>
      <c r="K34" s="9">
        <v>57900</v>
      </c>
      <c r="L34" s="9"/>
      <c r="M34" s="34">
        <f t="shared" si="3"/>
        <v>57900</v>
      </c>
      <c r="N34" s="35">
        <f t="shared" si="2"/>
        <v>57.9</v>
      </c>
      <c r="P34" s="31"/>
    </row>
    <row r="35" spans="1:16" s="47" customFormat="1" ht="27" customHeight="1">
      <c r="A35" s="48" t="s">
        <v>310</v>
      </c>
      <c r="B35" s="48" t="s">
        <v>202</v>
      </c>
      <c r="C35" s="48" t="s">
        <v>22</v>
      </c>
      <c r="D35" s="33" t="s">
        <v>200</v>
      </c>
      <c r="E35" s="33"/>
      <c r="F35" s="33"/>
      <c r="G35" s="26">
        <f t="shared" si="0"/>
        <v>0</v>
      </c>
      <c r="H35" s="33"/>
      <c r="I35" s="33"/>
      <c r="J35" s="26">
        <f t="shared" si="1"/>
        <v>0</v>
      </c>
      <c r="K35" s="9">
        <v>344000</v>
      </c>
      <c r="L35" s="9"/>
      <c r="M35" s="34">
        <f t="shared" si="3"/>
        <v>344000</v>
      </c>
      <c r="N35" s="35">
        <f t="shared" si="2"/>
        <v>344</v>
      </c>
      <c r="P35" s="31"/>
    </row>
    <row r="36" spans="1:16" s="47" customFormat="1" ht="48.75" customHeight="1">
      <c r="A36" s="48" t="s">
        <v>262</v>
      </c>
      <c r="B36" s="48" t="s">
        <v>251</v>
      </c>
      <c r="C36" s="48" t="s">
        <v>22</v>
      </c>
      <c r="D36" s="50" t="s">
        <v>261</v>
      </c>
      <c r="E36" s="33"/>
      <c r="F36" s="33"/>
      <c r="G36" s="26">
        <f t="shared" si="0"/>
        <v>0</v>
      </c>
      <c r="H36" s="33"/>
      <c r="I36" s="33"/>
      <c r="J36" s="26">
        <f t="shared" si="1"/>
        <v>0</v>
      </c>
      <c r="K36" s="9">
        <f>2563780+1000000+51000+900000+190000</f>
        <v>4704780</v>
      </c>
      <c r="L36" s="9"/>
      <c r="M36" s="34">
        <f t="shared" si="3"/>
        <v>4704780</v>
      </c>
      <c r="N36" s="35">
        <f t="shared" si="2"/>
        <v>4704.8</v>
      </c>
      <c r="P36" s="31"/>
    </row>
    <row r="37" spans="1:16" s="30" customFormat="1" ht="42" customHeight="1">
      <c r="A37" s="51" t="s">
        <v>83</v>
      </c>
      <c r="B37" s="51"/>
      <c r="C37" s="51"/>
      <c r="D37" s="3" t="s">
        <v>7</v>
      </c>
      <c r="E37" s="3"/>
      <c r="F37" s="3"/>
      <c r="G37" s="26">
        <f t="shared" si="0"/>
        <v>0</v>
      </c>
      <c r="H37" s="3"/>
      <c r="I37" s="3"/>
      <c r="J37" s="26">
        <f t="shared" si="1"/>
        <v>0</v>
      </c>
      <c r="K37" s="27">
        <f>K39+K40+K41+K43+K44+K48+K51+K56+K53+K57+K45+K47</f>
        <v>56609891.42</v>
      </c>
      <c r="L37" s="27">
        <f>L39+L40+L41+L43+L44+L48+L51+L56+L53+L57+L45+L47</f>
        <v>0</v>
      </c>
      <c r="M37" s="28">
        <f>M39+M40+M41+M43+M44+M48+M51+M56+M53+M57+M45+M47</f>
        <v>56609891.42</v>
      </c>
      <c r="N37" s="29">
        <f>N39+N40+N41+N43+N44+N48+N51+N56+N53+N57+N45+N47</f>
        <v>56609.899999999994</v>
      </c>
      <c r="P37" s="31"/>
    </row>
    <row r="38" spans="1:16" s="56" customFormat="1" ht="32.25" customHeight="1">
      <c r="A38" s="52"/>
      <c r="B38" s="52"/>
      <c r="C38" s="52"/>
      <c r="D38" s="4" t="s">
        <v>413</v>
      </c>
      <c r="E38" s="4"/>
      <c r="F38" s="4"/>
      <c r="G38" s="26">
        <f t="shared" si="0"/>
        <v>0</v>
      </c>
      <c r="H38" s="4"/>
      <c r="I38" s="4"/>
      <c r="J38" s="26">
        <f t="shared" si="1"/>
        <v>0</v>
      </c>
      <c r="K38" s="53">
        <f>K42+K46+K50+K55</f>
        <v>18165095.78</v>
      </c>
      <c r="L38" s="53">
        <f>L42+L46+L50+L55</f>
        <v>0</v>
      </c>
      <c r="M38" s="54">
        <f>M42+M46+M50+M55</f>
        <v>18165095.78</v>
      </c>
      <c r="N38" s="55">
        <f>N42+N46+N50+N55</f>
        <v>18165.1</v>
      </c>
      <c r="P38" s="31"/>
    </row>
    <row r="39" spans="1:16" s="36" customFormat="1" ht="40.5">
      <c r="A39" s="32" t="s">
        <v>84</v>
      </c>
      <c r="B39" s="32" t="s">
        <v>55</v>
      </c>
      <c r="C39" s="32" t="s">
        <v>23</v>
      </c>
      <c r="D39" s="33" t="s">
        <v>56</v>
      </c>
      <c r="E39" s="33"/>
      <c r="F39" s="33"/>
      <c r="G39" s="26">
        <f t="shared" si="0"/>
        <v>0</v>
      </c>
      <c r="H39" s="33"/>
      <c r="I39" s="33"/>
      <c r="J39" s="26">
        <f t="shared" si="1"/>
        <v>0</v>
      </c>
      <c r="K39" s="9">
        <v>16000</v>
      </c>
      <c r="L39" s="9"/>
      <c r="M39" s="34">
        <f aca="true" t="shared" si="4" ref="M39:M47">L39+K39</f>
        <v>16000</v>
      </c>
      <c r="N39" s="35">
        <f t="shared" si="2"/>
        <v>16</v>
      </c>
      <c r="P39" s="31"/>
    </row>
    <row r="40" spans="1:16" s="36" customFormat="1" ht="28.5" customHeight="1">
      <c r="A40" s="32" t="s">
        <v>85</v>
      </c>
      <c r="B40" s="32" t="s">
        <v>25</v>
      </c>
      <c r="C40" s="32" t="s">
        <v>26</v>
      </c>
      <c r="D40" s="33" t="s">
        <v>68</v>
      </c>
      <c r="E40" s="33"/>
      <c r="F40" s="33"/>
      <c r="G40" s="26">
        <f t="shared" si="0"/>
        <v>0</v>
      </c>
      <c r="H40" s="33"/>
      <c r="I40" s="33"/>
      <c r="J40" s="26">
        <f t="shared" si="1"/>
        <v>0</v>
      </c>
      <c r="K40" s="9">
        <f>3500000+40000+300269+455116.65+15000+8000+60000+670000-2286</f>
        <v>5046099.65</v>
      </c>
      <c r="L40" s="9"/>
      <c r="M40" s="34">
        <f t="shared" si="4"/>
        <v>5046099.65</v>
      </c>
      <c r="N40" s="35">
        <f t="shared" si="2"/>
        <v>5046.1</v>
      </c>
      <c r="P40" s="31"/>
    </row>
    <row r="41" spans="1:16" s="36" customFormat="1" ht="54" customHeight="1">
      <c r="A41" s="32" t="s">
        <v>86</v>
      </c>
      <c r="B41" s="32" t="s">
        <v>27</v>
      </c>
      <c r="C41" s="32" t="s">
        <v>28</v>
      </c>
      <c r="D41" s="33" t="s">
        <v>69</v>
      </c>
      <c r="E41" s="33"/>
      <c r="F41" s="33"/>
      <c r="G41" s="26">
        <f t="shared" si="0"/>
        <v>0</v>
      </c>
      <c r="H41" s="33"/>
      <c r="I41" s="33"/>
      <c r="J41" s="26">
        <f t="shared" si="1"/>
        <v>0</v>
      </c>
      <c r="K41" s="9">
        <f>17926422+272847-31407</f>
        <v>18167862</v>
      </c>
      <c r="L41" s="9"/>
      <c r="M41" s="34">
        <f t="shared" si="4"/>
        <v>18167862</v>
      </c>
      <c r="N41" s="35">
        <f t="shared" si="2"/>
        <v>18167.9</v>
      </c>
      <c r="P41" s="31"/>
    </row>
    <row r="42" spans="1:16" s="47" customFormat="1" ht="20.25">
      <c r="A42" s="38"/>
      <c r="B42" s="38"/>
      <c r="C42" s="38"/>
      <c r="D42" s="39" t="s">
        <v>413</v>
      </c>
      <c r="E42" s="39"/>
      <c r="F42" s="39"/>
      <c r="G42" s="26">
        <f t="shared" si="0"/>
        <v>0</v>
      </c>
      <c r="H42" s="39"/>
      <c r="I42" s="39"/>
      <c r="J42" s="26">
        <f t="shared" si="1"/>
        <v>0</v>
      </c>
      <c r="K42" s="41">
        <v>1416542</v>
      </c>
      <c r="L42" s="41"/>
      <c r="M42" s="42">
        <f t="shared" si="4"/>
        <v>1416542</v>
      </c>
      <c r="N42" s="43">
        <f t="shared" si="2"/>
        <v>1416.5</v>
      </c>
      <c r="P42" s="31"/>
    </row>
    <row r="43" spans="1:16" s="36" customFormat="1" ht="58.5" customHeight="1">
      <c r="A43" s="32" t="s">
        <v>117</v>
      </c>
      <c r="B43" s="32" t="s">
        <v>29</v>
      </c>
      <c r="C43" s="32" t="s">
        <v>30</v>
      </c>
      <c r="D43" s="33" t="s">
        <v>57</v>
      </c>
      <c r="E43" s="33"/>
      <c r="F43" s="33"/>
      <c r="G43" s="26">
        <f t="shared" si="0"/>
        <v>0</v>
      </c>
      <c r="H43" s="33"/>
      <c r="I43" s="33"/>
      <c r="J43" s="26">
        <f t="shared" si="1"/>
        <v>0</v>
      </c>
      <c r="K43" s="9">
        <v>103611</v>
      </c>
      <c r="L43" s="9"/>
      <c r="M43" s="34">
        <f t="shared" si="4"/>
        <v>103611</v>
      </c>
      <c r="N43" s="35">
        <f t="shared" si="2"/>
        <v>103.6</v>
      </c>
      <c r="P43" s="31"/>
    </row>
    <row r="44" spans="1:16" s="36" customFormat="1" ht="41.25" customHeight="1">
      <c r="A44" s="32" t="s">
        <v>118</v>
      </c>
      <c r="B44" s="32" t="s">
        <v>31</v>
      </c>
      <c r="C44" s="32" t="s">
        <v>32</v>
      </c>
      <c r="D44" s="33" t="s">
        <v>70</v>
      </c>
      <c r="E44" s="33"/>
      <c r="F44" s="33"/>
      <c r="G44" s="26">
        <f t="shared" si="0"/>
        <v>0</v>
      </c>
      <c r="H44" s="33"/>
      <c r="I44" s="33"/>
      <c r="J44" s="26">
        <f t="shared" si="1"/>
        <v>0</v>
      </c>
      <c r="K44" s="9">
        <f>433709-50411-1623</f>
        <v>381675</v>
      </c>
      <c r="L44" s="9"/>
      <c r="M44" s="34">
        <f t="shared" si="4"/>
        <v>381675</v>
      </c>
      <c r="N44" s="35">
        <f t="shared" si="2"/>
        <v>381.7</v>
      </c>
      <c r="P44" s="31"/>
    </row>
    <row r="45" spans="1:16" s="36" customFormat="1" ht="33" customHeight="1">
      <c r="A45" s="32" t="s">
        <v>327</v>
      </c>
      <c r="B45" s="32" t="s">
        <v>328</v>
      </c>
      <c r="C45" s="32" t="s">
        <v>330</v>
      </c>
      <c r="D45" s="33" t="s">
        <v>329</v>
      </c>
      <c r="E45" s="33"/>
      <c r="F45" s="33"/>
      <c r="G45" s="26">
        <f t="shared" si="0"/>
        <v>0</v>
      </c>
      <c r="H45" s="33"/>
      <c r="I45" s="33"/>
      <c r="J45" s="26">
        <f t="shared" si="1"/>
        <v>0</v>
      </c>
      <c r="K45" s="9">
        <f>2300000+2700000-370000</f>
        <v>4630000</v>
      </c>
      <c r="L45" s="9"/>
      <c r="M45" s="34">
        <f t="shared" si="4"/>
        <v>4630000</v>
      </c>
      <c r="N45" s="35">
        <f t="shared" si="2"/>
        <v>4630</v>
      </c>
      <c r="P45" s="31"/>
    </row>
    <row r="46" spans="1:16" s="47" customFormat="1" ht="20.25">
      <c r="A46" s="38"/>
      <c r="B46" s="38"/>
      <c r="C46" s="38"/>
      <c r="D46" s="39" t="s">
        <v>413</v>
      </c>
      <c r="E46" s="39"/>
      <c r="F46" s="39"/>
      <c r="G46" s="26">
        <f t="shared" si="0"/>
        <v>0</v>
      </c>
      <c r="H46" s="39"/>
      <c r="I46" s="39"/>
      <c r="J46" s="26">
        <f t="shared" si="1"/>
        <v>0</v>
      </c>
      <c r="K46" s="41">
        <v>4630000</v>
      </c>
      <c r="L46" s="41"/>
      <c r="M46" s="42">
        <f t="shared" si="4"/>
        <v>4630000</v>
      </c>
      <c r="N46" s="43">
        <f t="shared" si="2"/>
        <v>4630</v>
      </c>
      <c r="P46" s="31"/>
    </row>
    <row r="47" spans="1:16" s="36" customFormat="1" ht="20.25">
      <c r="A47" s="32" t="s">
        <v>353</v>
      </c>
      <c r="B47" s="32" t="s">
        <v>354</v>
      </c>
      <c r="C47" s="32" t="s">
        <v>34</v>
      </c>
      <c r="D47" s="50" t="s">
        <v>352</v>
      </c>
      <c r="E47" s="33"/>
      <c r="F47" s="33"/>
      <c r="G47" s="26">
        <f t="shared" si="0"/>
        <v>0</v>
      </c>
      <c r="H47" s="33"/>
      <c r="I47" s="33"/>
      <c r="J47" s="26">
        <f t="shared" si="1"/>
        <v>0</v>
      </c>
      <c r="K47" s="9">
        <v>13000</v>
      </c>
      <c r="L47" s="9"/>
      <c r="M47" s="34">
        <f t="shared" si="4"/>
        <v>13000</v>
      </c>
      <c r="N47" s="35">
        <f t="shared" si="2"/>
        <v>13</v>
      </c>
      <c r="P47" s="31"/>
    </row>
    <row r="48" spans="1:16" s="36" customFormat="1" ht="30" customHeight="1">
      <c r="A48" s="32" t="s">
        <v>119</v>
      </c>
      <c r="B48" s="32" t="s">
        <v>120</v>
      </c>
      <c r="C48" s="32"/>
      <c r="D48" s="33" t="s">
        <v>444</v>
      </c>
      <c r="E48" s="33"/>
      <c r="F48" s="33"/>
      <c r="G48" s="26">
        <f t="shared" si="0"/>
        <v>0</v>
      </c>
      <c r="H48" s="33"/>
      <c r="I48" s="33"/>
      <c r="J48" s="26">
        <f t="shared" si="1"/>
        <v>0</v>
      </c>
      <c r="K48" s="9">
        <f>K49</f>
        <v>349361</v>
      </c>
      <c r="L48" s="9">
        <f>L49</f>
        <v>0</v>
      </c>
      <c r="M48" s="34">
        <f>M49</f>
        <v>349361</v>
      </c>
      <c r="N48" s="37">
        <f>N49</f>
        <v>349.4</v>
      </c>
      <c r="P48" s="31"/>
    </row>
    <row r="49" spans="1:16" s="47" customFormat="1" ht="38.25" customHeight="1">
      <c r="A49" s="38" t="s">
        <v>187</v>
      </c>
      <c r="B49" s="38" t="s">
        <v>188</v>
      </c>
      <c r="C49" s="38" t="s">
        <v>34</v>
      </c>
      <c r="D49" s="57" t="s">
        <v>189</v>
      </c>
      <c r="E49" s="39"/>
      <c r="F49" s="39"/>
      <c r="G49" s="26">
        <f t="shared" si="0"/>
        <v>0</v>
      </c>
      <c r="H49" s="39"/>
      <c r="I49" s="39"/>
      <c r="J49" s="26">
        <f t="shared" si="1"/>
        <v>0</v>
      </c>
      <c r="K49" s="41">
        <f>337950+11411</f>
        <v>349361</v>
      </c>
      <c r="L49" s="41"/>
      <c r="M49" s="42">
        <f>L49+K49</f>
        <v>349361</v>
      </c>
      <c r="N49" s="43">
        <f t="shared" si="2"/>
        <v>349.4</v>
      </c>
      <c r="P49" s="31"/>
    </row>
    <row r="50" spans="1:16" s="47" customFormat="1" ht="20.25">
      <c r="A50" s="38"/>
      <c r="B50" s="38"/>
      <c r="C50" s="38"/>
      <c r="D50" s="39" t="s">
        <v>413</v>
      </c>
      <c r="E50" s="39"/>
      <c r="F50" s="39"/>
      <c r="G50" s="26">
        <f t="shared" si="0"/>
        <v>0</v>
      </c>
      <c r="H50" s="39"/>
      <c r="I50" s="39"/>
      <c r="J50" s="26">
        <f t="shared" si="1"/>
        <v>0</v>
      </c>
      <c r="K50" s="41">
        <v>107950</v>
      </c>
      <c r="L50" s="41"/>
      <c r="M50" s="42">
        <f>L50+K50</f>
        <v>107950</v>
      </c>
      <c r="N50" s="43">
        <f t="shared" si="2"/>
        <v>108</v>
      </c>
      <c r="P50" s="31"/>
    </row>
    <row r="51" spans="1:16" s="36" customFormat="1" ht="42" customHeight="1">
      <c r="A51" s="32" t="s">
        <v>87</v>
      </c>
      <c r="B51" s="32" t="s">
        <v>52</v>
      </c>
      <c r="C51" s="32"/>
      <c r="D51" s="50" t="s">
        <v>441</v>
      </c>
      <c r="E51" s="50"/>
      <c r="F51" s="50"/>
      <c r="G51" s="26">
        <f t="shared" si="0"/>
        <v>0</v>
      </c>
      <c r="H51" s="50"/>
      <c r="I51" s="50"/>
      <c r="J51" s="26">
        <f t="shared" si="1"/>
        <v>0</v>
      </c>
      <c r="K51" s="9">
        <f>K52</f>
        <v>95129</v>
      </c>
      <c r="L51" s="9">
        <f>L52</f>
        <v>0</v>
      </c>
      <c r="M51" s="34">
        <f>M52</f>
        <v>95129</v>
      </c>
      <c r="N51" s="37">
        <f>N52</f>
        <v>95.1</v>
      </c>
      <c r="P51" s="31"/>
    </row>
    <row r="52" spans="1:16" s="47" customFormat="1" ht="31.5" customHeight="1">
      <c r="A52" s="38" t="s">
        <v>88</v>
      </c>
      <c r="B52" s="38" t="s">
        <v>53</v>
      </c>
      <c r="C52" s="38" t="s">
        <v>42</v>
      </c>
      <c r="D52" s="57" t="s">
        <v>6</v>
      </c>
      <c r="E52" s="57"/>
      <c r="F52" s="57"/>
      <c r="G52" s="26">
        <f t="shared" si="0"/>
        <v>0</v>
      </c>
      <c r="H52" s="57"/>
      <c r="I52" s="57"/>
      <c r="J52" s="26">
        <f t="shared" si="1"/>
        <v>0</v>
      </c>
      <c r="K52" s="41">
        <f>100000-4871</f>
        <v>95129</v>
      </c>
      <c r="L52" s="41"/>
      <c r="M52" s="42">
        <f>L52+K52</f>
        <v>95129</v>
      </c>
      <c r="N52" s="43">
        <f t="shared" si="2"/>
        <v>95.1</v>
      </c>
      <c r="P52" s="31"/>
    </row>
    <row r="53" spans="1:16" s="47" customFormat="1" ht="25.5" customHeight="1">
      <c r="A53" s="32" t="s">
        <v>255</v>
      </c>
      <c r="B53" s="32" t="s">
        <v>256</v>
      </c>
      <c r="C53" s="32"/>
      <c r="D53" s="58" t="s">
        <v>445</v>
      </c>
      <c r="E53" s="33"/>
      <c r="F53" s="33"/>
      <c r="G53" s="26">
        <f t="shared" si="0"/>
        <v>0</v>
      </c>
      <c r="H53" s="33"/>
      <c r="I53" s="33"/>
      <c r="J53" s="26">
        <f t="shared" si="1"/>
        <v>0</v>
      </c>
      <c r="K53" s="59">
        <f>SUM(K54)</f>
        <v>12466734.77</v>
      </c>
      <c r="L53" s="59">
        <f>SUM(L54)</f>
        <v>0</v>
      </c>
      <c r="M53" s="60">
        <f>SUM(M54)</f>
        <v>12466734.77</v>
      </c>
      <c r="N53" s="37">
        <f>SUM(N54)</f>
        <v>12466.7</v>
      </c>
      <c r="P53" s="31"/>
    </row>
    <row r="54" spans="1:16" s="47" customFormat="1" ht="48" customHeight="1">
      <c r="A54" s="38" t="s">
        <v>253</v>
      </c>
      <c r="B54" s="38" t="s">
        <v>263</v>
      </c>
      <c r="C54" s="38" t="s">
        <v>44</v>
      </c>
      <c r="D54" s="61" t="s">
        <v>254</v>
      </c>
      <c r="E54" s="39"/>
      <c r="F54" s="39"/>
      <c r="G54" s="26">
        <f t="shared" si="0"/>
        <v>0</v>
      </c>
      <c r="H54" s="39"/>
      <c r="I54" s="39"/>
      <c r="J54" s="26">
        <f t="shared" si="1"/>
        <v>0</v>
      </c>
      <c r="K54" s="62">
        <v>12466734.77</v>
      </c>
      <c r="L54" s="62"/>
      <c r="M54" s="63">
        <f>L54+K54</f>
        <v>12466734.77</v>
      </c>
      <c r="N54" s="43">
        <f t="shared" si="2"/>
        <v>12466.7</v>
      </c>
      <c r="P54" s="31"/>
    </row>
    <row r="55" spans="1:16" s="47" customFormat="1" ht="20.25">
      <c r="A55" s="38"/>
      <c r="B55" s="38"/>
      <c r="C55" s="38"/>
      <c r="D55" s="39" t="s">
        <v>413</v>
      </c>
      <c r="E55" s="39"/>
      <c r="F55" s="39"/>
      <c r="G55" s="26">
        <f t="shared" si="0"/>
        <v>0</v>
      </c>
      <c r="H55" s="39"/>
      <c r="I55" s="39"/>
      <c r="J55" s="26">
        <f t="shared" si="1"/>
        <v>0</v>
      </c>
      <c r="K55" s="41">
        <v>12010603.78</v>
      </c>
      <c r="L55" s="41"/>
      <c r="M55" s="42">
        <f>L55+K55</f>
        <v>12010603.78</v>
      </c>
      <c r="N55" s="43">
        <f t="shared" si="2"/>
        <v>12010.6</v>
      </c>
      <c r="P55" s="31"/>
    </row>
    <row r="56" spans="1:16" s="47" customFormat="1" ht="27" customHeight="1">
      <c r="A56" s="32" t="s">
        <v>89</v>
      </c>
      <c r="B56" s="32" t="s">
        <v>1</v>
      </c>
      <c r="C56" s="32" t="s">
        <v>45</v>
      </c>
      <c r="D56" s="33" t="s">
        <v>14</v>
      </c>
      <c r="E56" s="33"/>
      <c r="F56" s="33"/>
      <c r="G56" s="26">
        <f t="shared" si="0"/>
        <v>0</v>
      </c>
      <c r="H56" s="33"/>
      <c r="I56" s="33"/>
      <c r="J56" s="26">
        <f t="shared" si="1"/>
        <v>0</v>
      </c>
      <c r="K56" s="9">
        <f>11768000+900000+283419+389000</f>
        <v>13340419</v>
      </c>
      <c r="L56" s="9"/>
      <c r="M56" s="34">
        <f>L56+K56</f>
        <v>13340419</v>
      </c>
      <c r="N56" s="35">
        <f t="shared" si="2"/>
        <v>13340.4</v>
      </c>
      <c r="P56" s="31"/>
    </row>
    <row r="57" spans="1:16" s="47" customFormat="1" ht="43.5" customHeight="1">
      <c r="A57" s="32" t="s">
        <v>289</v>
      </c>
      <c r="B57" s="32" t="s">
        <v>251</v>
      </c>
      <c r="C57" s="32" t="s">
        <v>22</v>
      </c>
      <c r="D57" s="33" t="s">
        <v>261</v>
      </c>
      <c r="E57" s="33"/>
      <c r="F57" s="33"/>
      <c r="G57" s="26">
        <f t="shared" si="0"/>
        <v>0</v>
      </c>
      <c r="H57" s="33"/>
      <c r="I57" s="33"/>
      <c r="J57" s="26">
        <f t="shared" si="1"/>
        <v>0</v>
      </c>
      <c r="K57" s="9">
        <v>2000000</v>
      </c>
      <c r="L57" s="9"/>
      <c r="M57" s="34">
        <f>L57+K57</f>
        <v>2000000</v>
      </c>
      <c r="N57" s="35">
        <f t="shared" si="2"/>
        <v>2000</v>
      </c>
      <c r="P57" s="31"/>
    </row>
    <row r="58" spans="1:16" s="30" customFormat="1" ht="46.5" customHeight="1">
      <c r="A58" s="24" t="s">
        <v>90</v>
      </c>
      <c r="B58" s="24"/>
      <c r="C58" s="24"/>
      <c r="D58" s="3" t="s">
        <v>8</v>
      </c>
      <c r="E58" s="3"/>
      <c r="F58" s="3"/>
      <c r="G58" s="26">
        <f t="shared" si="0"/>
        <v>0</v>
      </c>
      <c r="H58" s="3"/>
      <c r="I58" s="3"/>
      <c r="J58" s="26">
        <f t="shared" si="1"/>
        <v>0</v>
      </c>
      <c r="K58" s="27">
        <f>K60+K69+K66+K61+K62+K65+K70</f>
        <v>51308438.6</v>
      </c>
      <c r="L58" s="27">
        <f>L60+L69+L66+L61+L62+L65+L70</f>
        <v>0</v>
      </c>
      <c r="M58" s="28">
        <f>M60+M69+M66+M61+M62+M65+M70</f>
        <v>51308438.6</v>
      </c>
      <c r="N58" s="29">
        <f>N60+N69+N66+N61+N62+N65+N70</f>
        <v>51308.5</v>
      </c>
      <c r="P58" s="31"/>
    </row>
    <row r="59" spans="1:16" s="56" customFormat="1" ht="20.25">
      <c r="A59" s="52"/>
      <c r="B59" s="52"/>
      <c r="C59" s="52"/>
      <c r="D59" s="4" t="s">
        <v>413</v>
      </c>
      <c r="E59" s="4"/>
      <c r="F59" s="4"/>
      <c r="G59" s="26">
        <f t="shared" si="0"/>
        <v>0</v>
      </c>
      <c r="H59" s="4"/>
      <c r="I59" s="4"/>
      <c r="J59" s="26">
        <f t="shared" si="1"/>
        <v>0</v>
      </c>
      <c r="K59" s="53">
        <f>K68</f>
        <v>4529964.66</v>
      </c>
      <c r="L59" s="53">
        <f>L68</f>
        <v>0</v>
      </c>
      <c r="M59" s="54">
        <f>M68</f>
        <v>4529964.66</v>
      </c>
      <c r="N59" s="55">
        <f>N68</f>
        <v>4530</v>
      </c>
      <c r="P59" s="31"/>
    </row>
    <row r="60" spans="1:16" s="36" customFormat="1" ht="30" customHeight="1">
      <c r="A60" s="32" t="s">
        <v>91</v>
      </c>
      <c r="B60" s="32" t="s">
        <v>35</v>
      </c>
      <c r="C60" s="32" t="s">
        <v>36</v>
      </c>
      <c r="D60" s="33" t="s">
        <v>9</v>
      </c>
      <c r="E60" s="33"/>
      <c r="F60" s="33"/>
      <c r="G60" s="26">
        <f t="shared" si="0"/>
        <v>0</v>
      </c>
      <c r="H60" s="33"/>
      <c r="I60" s="33"/>
      <c r="J60" s="26">
        <f t="shared" si="1"/>
        <v>0</v>
      </c>
      <c r="K60" s="9">
        <f>28491409+3464315+744355</f>
        <v>32700079</v>
      </c>
      <c r="L60" s="9"/>
      <c r="M60" s="34">
        <f>L60+K60</f>
        <v>32700079</v>
      </c>
      <c r="N60" s="35">
        <f t="shared" si="2"/>
        <v>32700.1</v>
      </c>
      <c r="P60" s="31"/>
    </row>
    <row r="61" spans="1:16" s="36" customFormat="1" ht="23.25" customHeight="1">
      <c r="A61" s="32" t="s">
        <v>317</v>
      </c>
      <c r="B61" s="32" t="s">
        <v>318</v>
      </c>
      <c r="C61" s="32" t="s">
        <v>320</v>
      </c>
      <c r="D61" s="33" t="s">
        <v>319</v>
      </c>
      <c r="E61" s="33"/>
      <c r="F61" s="33"/>
      <c r="G61" s="26">
        <f t="shared" si="0"/>
        <v>0</v>
      </c>
      <c r="H61" s="33"/>
      <c r="I61" s="33"/>
      <c r="J61" s="26">
        <f t="shared" si="1"/>
        <v>0</v>
      </c>
      <c r="K61" s="9">
        <f>15000+115000</f>
        <v>130000</v>
      </c>
      <c r="L61" s="9"/>
      <c r="M61" s="34">
        <f>L61+K61</f>
        <v>130000</v>
      </c>
      <c r="N61" s="35">
        <f t="shared" si="2"/>
        <v>130</v>
      </c>
      <c r="P61" s="31"/>
    </row>
    <row r="62" spans="1:16" s="36" customFormat="1" ht="23.25" customHeight="1">
      <c r="A62" s="32" t="s">
        <v>321</v>
      </c>
      <c r="B62" s="32" t="s">
        <v>322</v>
      </c>
      <c r="C62" s="32"/>
      <c r="D62" s="33" t="s">
        <v>446</v>
      </c>
      <c r="E62" s="33"/>
      <c r="F62" s="33"/>
      <c r="G62" s="26">
        <f t="shared" si="0"/>
        <v>0</v>
      </c>
      <c r="H62" s="33"/>
      <c r="I62" s="33"/>
      <c r="J62" s="26">
        <f t="shared" si="1"/>
        <v>0</v>
      </c>
      <c r="K62" s="9">
        <f>K63</f>
        <v>59000</v>
      </c>
      <c r="L62" s="9">
        <f>L63</f>
        <v>0</v>
      </c>
      <c r="M62" s="34">
        <f>M63</f>
        <v>59000</v>
      </c>
      <c r="N62" s="37">
        <f>N63</f>
        <v>59</v>
      </c>
      <c r="P62" s="31"/>
    </row>
    <row r="63" spans="1:16" s="47" customFormat="1" ht="58.5" customHeight="1">
      <c r="A63" s="38" t="s">
        <v>323</v>
      </c>
      <c r="B63" s="38" t="s">
        <v>324</v>
      </c>
      <c r="C63" s="38" t="s">
        <v>326</v>
      </c>
      <c r="D63" s="39" t="s">
        <v>325</v>
      </c>
      <c r="E63" s="39"/>
      <c r="F63" s="39"/>
      <c r="G63" s="26">
        <f t="shared" si="0"/>
        <v>0</v>
      </c>
      <c r="H63" s="39"/>
      <c r="I63" s="39"/>
      <c r="J63" s="26">
        <f t="shared" si="1"/>
        <v>0</v>
      </c>
      <c r="K63" s="41">
        <f>35000+34600-10600</f>
        <v>59000</v>
      </c>
      <c r="L63" s="41"/>
      <c r="M63" s="34">
        <f>L63+K63</f>
        <v>59000</v>
      </c>
      <c r="N63" s="43">
        <f t="shared" si="2"/>
        <v>59</v>
      </c>
      <c r="P63" s="31"/>
    </row>
    <row r="64" spans="1:16" s="36" customFormat="1" ht="20.25">
      <c r="A64" s="32" t="s">
        <v>340</v>
      </c>
      <c r="B64" s="32" t="s">
        <v>341</v>
      </c>
      <c r="C64" s="32"/>
      <c r="D64" s="33" t="s">
        <v>447</v>
      </c>
      <c r="E64" s="33"/>
      <c r="F64" s="33"/>
      <c r="G64" s="26">
        <f t="shared" si="0"/>
        <v>0</v>
      </c>
      <c r="H64" s="33"/>
      <c r="I64" s="33"/>
      <c r="J64" s="26">
        <f t="shared" si="1"/>
        <v>0</v>
      </c>
      <c r="K64" s="9">
        <f>K65</f>
        <v>3406496</v>
      </c>
      <c r="L64" s="9">
        <f>L65</f>
        <v>0</v>
      </c>
      <c r="M64" s="34">
        <f>M65</f>
        <v>3406496</v>
      </c>
      <c r="N64" s="37">
        <f>N65</f>
        <v>3406.5</v>
      </c>
      <c r="P64" s="31"/>
    </row>
    <row r="65" spans="1:16" s="47" customFormat="1" ht="28.5" customHeight="1">
      <c r="A65" s="38" t="s">
        <v>343</v>
      </c>
      <c r="B65" s="38" t="s">
        <v>342</v>
      </c>
      <c r="C65" s="38" t="s">
        <v>345</v>
      </c>
      <c r="D65" s="39" t="s">
        <v>344</v>
      </c>
      <c r="E65" s="39"/>
      <c r="F65" s="39"/>
      <c r="G65" s="26">
        <f t="shared" si="0"/>
        <v>0</v>
      </c>
      <c r="H65" s="39"/>
      <c r="I65" s="39"/>
      <c r="J65" s="26">
        <f t="shared" si="1"/>
        <v>0</v>
      </c>
      <c r="K65" s="41">
        <v>3406496</v>
      </c>
      <c r="L65" s="41"/>
      <c r="M65" s="42">
        <f>L65+K65</f>
        <v>3406496</v>
      </c>
      <c r="N65" s="43">
        <f t="shared" si="2"/>
        <v>3406.5</v>
      </c>
      <c r="P65" s="31"/>
    </row>
    <row r="66" spans="1:16" s="36" customFormat="1" ht="32.25" customHeight="1">
      <c r="A66" s="32" t="s">
        <v>281</v>
      </c>
      <c r="B66" s="32" t="s">
        <v>256</v>
      </c>
      <c r="C66" s="32"/>
      <c r="D66" s="33" t="s">
        <v>445</v>
      </c>
      <c r="E66" s="33"/>
      <c r="F66" s="33"/>
      <c r="G66" s="26">
        <f t="shared" si="0"/>
        <v>0</v>
      </c>
      <c r="H66" s="33"/>
      <c r="I66" s="33"/>
      <c r="J66" s="26">
        <f t="shared" si="1"/>
        <v>0</v>
      </c>
      <c r="K66" s="9">
        <f>SUM(K67)</f>
        <v>4665863.6</v>
      </c>
      <c r="L66" s="9">
        <f>SUM(L67)</f>
        <v>0</v>
      </c>
      <c r="M66" s="34">
        <f>SUM(M67)</f>
        <v>4665863.6</v>
      </c>
      <c r="N66" s="37">
        <f>SUM(N67)</f>
        <v>4665.9</v>
      </c>
      <c r="P66" s="31"/>
    </row>
    <row r="67" spans="1:16" s="47" customFormat="1" ht="46.5" customHeight="1">
      <c r="A67" s="38" t="s">
        <v>282</v>
      </c>
      <c r="B67" s="38" t="s">
        <v>263</v>
      </c>
      <c r="C67" s="38" t="s">
        <v>44</v>
      </c>
      <c r="D67" s="39" t="s">
        <v>254</v>
      </c>
      <c r="E67" s="39"/>
      <c r="F67" s="39"/>
      <c r="G67" s="26">
        <f t="shared" si="0"/>
        <v>0</v>
      </c>
      <c r="H67" s="39"/>
      <c r="I67" s="39"/>
      <c r="J67" s="26">
        <f t="shared" si="1"/>
        <v>0</v>
      </c>
      <c r="K67" s="41">
        <v>4665863.6</v>
      </c>
      <c r="L67" s="41"/>
      <c r="M67" s="42">
        <f>L67+K67</f>
        <v>4665863.6</v>
      </c>
      <c r="N67" s="43">
        <f t="shared" si="2"/>
        <v>4665.9</v>
      </c>
      <c r="P67" s="31"/>
    </row>
    <row r="68" spans="1:16" s="47" customFormat="1" ht="25.5" customHeight="1">
      <c r="A68" s="38"/>
      <c r="B68" s="38"/>
      <c r="C68" s="38"/>
      <c r="D68" s="39" t="s">
        <v>413</v>
      </c>
      <c r="E68" s="39"/>
      <c r="F68" s="39"/>
      <c r="G68" s="26">
        <f t="shared" si="0"/>
        <v>0</v>
      </c>
      <c r="H68" s="39"/>
      <c r="I68" s="39"/>
      <c r="J68" s="26">
        <f t="shared" si="1"/>
        <v>0</v>
      </c>
      <c r="K68" s="41">
        <v>4529964.66</v>
      </c>
      <c r="L68" s="41"/>
      <c r="M68" s="42">
        <f>L68+K68</f>
        <v>4529964.66</v>
      </c>
      <c r="N68" s="43">
        <f t="shared" si="2"/>
        <v>4530</v>
      </c>
      <c r="P68" s="31"/>
    </row>
    <row r="69" spans="1:16" s="36" customFormat="1" ht="26.25" customHeight="1">
      <c r="A69" s="32" t="s">
        <v>92</v>
      </c>
      <c r="B69" s="32" t="s">
        <v>1</v>
      </c>
      <c r="C69" s="32" t="s">
        <v>45</v>
      </c>
      <c r="D69" s="33" t="s">
        <v>14</v>
      </c>
      <c r="E69" s="33"/>
      <c r="F69" s="33"/>
      <c r="G69" s="26">
        <f t="shared" si="0"/>
        <v>0</v>
      </c>
      <c r="H69" s="33"/>
      <c r="I69" s="33"/>
      <c r="J69" s="26">
        <f t="shared" si="1"/>
        <v>0</v>
      </c>
      <c r="K69" s="9">
        <f>6847000+3000000</f>
        <v>9847000</v>
      </c>
      <c r="L69" s="9"/>
      <c r="M69" s="34">
        <f>L69+K69</f>
        <v>9847000</v>
      </c>
      <c r="N69" s="35">
        <f t="shared" si="2"/>
        <v>9847</v>
      </c>
      <c r="P69" s="31"/>
    </row>
    <row r="70" spans="1:16" s="36" customFormat="1" ht="26.25" customHeight="1">
      <c r="A70" s="32" t="s">
        <v>423</v>
      </c>
      <c r="B70" s="32" t="s">
        <v>202</v>
      </c>
      <c r="C70" s="32" t="s">
        <v>22</v>
      </c>
      <c r="D70" s="33" t="s">
        <v>203</v>
      </c>
      <c r="E70" s="33"/>
      <c r="F70" s="33"/>
      <c r="G70" s="26">
        <f t="shared" si="0"/>
        <v>0</v>
      </c>
      <c r="H70" s="33"/>
      <c r="I70" s="33"/>
      <c r="J70" s="26">
        <f t="shared" si="1"/>
        <v>0</v>
      </c>
      <c r="K70" s="9">
        <v>500000</v>
      </c>
      <c r="L70" s="9"/>
      <c r="M70" s="34">
        <f>L70+K70</f>
        <v>500000</v>
      </c>
      <c r="N70" s="35">
        <f t="shared" si="2"/>
        <v>500</v>
      </c>
      <c r="P70" s="31"/>
    </row>
    <row r="71" spans="1:16" s="30" customFormat="1" ht="37.5" customHeight="1">
      <c r="A71" s="24" t="s">
        <v>93</v>
      </c>
      <c r="B71" s="24"/>
      <c r="C71" s="24"/>
      <c r="D71" s="3" t="s">
        <v>18</v>
      </c>
      <c r="E71" s="3"/>
      <c r="F71" s="3"/>
      <c r="G71" s="26">
        <f t="shared" si="0"/>
        <v>0</v>
      </c>
      <c r="H71" s="3"/>
      <c r="I71" s="3"/>
      <c r="J71" s="26">
        <f t="shared" si="1"/>
        <v>0</v>
      </c>
      <c r="K71" s="27">
        <f>K73+K74+K85+K76+K78</f>
        <v>13808431.68</v>
      </c>
      <c r="L71" s="27">
        <f>L73+L74+L85+L76+L78</f>
        <v>0</v>
      </c>
      <c r="M71" s="28">
        <f>M73+M74+M85+M76+M78</f>
        <v>13808431.68</v>
      </c>
      <c r="N71" s="29">
        <f>N73+N74+N85+N76+N78</f>
        <v>13808.4</v>
      </c>
      <c r="P71" s="31"/>
    </row>
    <row r="72" spans="1:16" s="56" customFormat="1" ht="20.25">
      <c r="A72" s="52"/>
      <c r="B72" s="52"/>
      <c r="C72" s="52"/>
      <c r="D72" s="4" t="s">
        <v>413</v>
      </c>
      <c r="E72" s="4"/>
      <c r="F72" s="4"/>
      <c r="G72" s="26">
        <f t="shared" si="0"/>
        <v>0</v>
      </c>
      <c r="H72" s="4"/>
      <c r="I72" s="4"/>
      <c r="J72" s="26">
        <f t="shared" si="1"/>
        <v>0</v>
      </c>
      <c r="K72" s="53">
        <f>K80+K84+K82</f>
        <v>12613549.68</v>
      </c>
      <c r="L72" s="53">
        <f>L80+L84+L82</f>
        <v>0</v>
      </c>
      <c r="M72" s="54">
        <f>M80+M84+M82</f>
        <v>12613549.68</v>
      </c>
      <c r="N72" s="55">
        <f>N80+N84+N82</f>
        <v>12613.5</v>
      </c>
      <c r="P72" s="31"/>
    </row>
    <row r="73" spans="1:16" s="36" customFormat="1" ht="45.75" customHeight="1">
      <c r="A73" s="32" t="s">
        <v>94</v>
      </c>
      <c r="B73" s="32" t="s">
        <v>55</v>
      </c>
      <c r="C73" s="32" t="s">
        <v>23</v>
      </c>
      <c r="D73" s="33" t="s">
        <v>56</v>
      </c>
      <c r="E73" s="33"/>
      <c r="F73" s="33"/>
      <c r="G73" s="26">
        <f t="shared" si="0"/>
        <v>0</v>
      </c>
      <c r="H73" s="33"/>
      <c r="I73" s="33"/>
      <c r="J73" s="26">
        <f t="shared" si="1"/>
        <v>0</v>
      </c>
      <c r="K73" s="9">
        <f>700000-128000-21910</f>
        <v>550090</v>
      </c>
      <c r="L73" s="9"/>
      <c r="M73" s="34">
        <f>L73+K73</f>
        <v>550090</v>
      </c>
      <c r="N73" s="35">
        <f t="shared" si="2"/>
        <v>550.1</v>
      </c>
      <c r="P73" s="31"/>
    </row>
    <row r="74" spans="1:16" s="65" customFormat="1" ht="54.75" customHeight="1">
      <c r="A74" s="32" t="s">
        <v>95</v>
      </c>
      <c r="B74" s="64">
        <v>3030</v>
      </c>
      <c r="C74" s="64"/>
      <c r="D74" s="33" t="s">
        <v>448</v>
      </c>
      <c r="E74" s="33"/>
      <c r="F74" s="33"/>
      <c r="G74" s="26">
        <f t="shared" si="0"/>
        <v>0</v>
      </c>
      <c r="H74" s="33"/>
      <c r="I74" s="33"/>
      <c r="J74" s="26">
        <f t="shared" si="1"/>
        <v>0</v>
      </c>
      <c r="K74" s="9">
        <f>K75</f>
        <v>245910</v>
      </c>
      <c r="L74" s="9">
        <f>L75</f>
        <v>0</v>
      </c>
      <c r="M74" s="34">
        <f>M75</f>
        <v>245910</v>
      </c>
      <c r="N74" s="37">
        <f>N75</f>
        <v>245.9</v>
      </c>
      <c r="P74" s="31"/>
    </row>
    <row r="75" spans="1:16" s="67" customFormat="1" ht="44.25" customHeight="1">
      <c r="A75" s="38" t="s">
        <v>96</v>
      </c>
      <c r="B75" s="66">
        <v>3031</v>
      </c>
      <c r="C75" s="66">
        <v>1030</v>
      </c>
      <c r="D75" s="39" t="s">
        <v>58</v>
      </c>
      <c r="E75" s="39"/>
      <c r="F75" s="39"/>
      <c r="G75" s="26">
        <f t="shared" si="0"/>
        <v>0</v>
      </c>
      <c r="H75" s="39"/>
      <c r="I75" s="39"/>
      <c r="J75" s="26">
        <f t="shared" si="1"/>
        <v>0</v>
      </c>
      <c r="K75" s="41">
        <f>214000+31910</f>
        <v>245910</v>
      </c>
      <c r="L75" s="41"/>
      <c r="M75" s="42">
        <f>L75+K75</f>
        <v>245910</v>
      </c>
      <c r="N75" s="43">
        <f t="shared" si="2"/>
        <v>245.9</v>
      </c>
      <c r="P75" s="31"/>
    </row>
    <row r="76" spans="1:16" s="67" customFormat="1" ht="56.25" customHeight="1">
      <c r="A76" s="32" t="s">
        <v>97</v>
      </c>
      <c r="B76" s="64">
        <v>3100</v>
      </c>
      <c r="C76" s="64"/>
      <c r="D76" s="33" t="s">
        <v>449</v>
      </c>
      <c r="E76" s="39"/>
      <c r="F76" s="39"/>
      <c r="G76" s="26">
        <f t="shared" si="0"/>
        <v>0</v>
      </c>
      <c r="H76" s="39"/>
      <c r="I76" s="39"/>
      <c r="J76" s="26">
        <f t="shared" si="1"/>
        <v>0</v>
      </c>
      <c r="K76" s="9">
        <f>K77</f>
        <v>18500</v>
      </c>
      <c r="L76" s="9">
        <f>L77</f>
        <v>0</v>
      </c>
      <c r="M76" s="34">
        <f>M77</f>
        <v>18500</v>
      </c>
      <c r="N76" s="37">
        <f>N77</f>
        <v>18.5</v>
      </c>
      <c r="P76" s="31"/>
    </row>
    <row r="77" spans="1:16" s="67" customFormat="1" ht="61.5" customHeight="1">
      <c r="A77" s="38" t="s">
        <v>98</v>
      </c>
      <c r="B77" s="66">
        <v>3104</v>
      </c>
      <c r="C77" s="66">
        <v>1020</v>
      </c>
      <c r="D77" s="39" t="s">
        <v>11</v>
      </c>
      <c r="E77" s="39"/>
      <c r="F77" s="39"/>
      <c r="G77" s="26">
        <f t="shared" si="0"/>
        <v>0</v>
      </c>
      <c r="H77" s="39"/>
      <c r="I77" s="39"/>
      <c r="J77" s="26">
        <f t="shared" si="1"/>
        <v>0</v>
      </c>
      <c r="K77" s="41">
        <v>18500</v>
      </c>
      <c r="L77" s="41"/>
      <c r="M77" s="42">
        <f>L77+K77</f>
        <v>18500</v>
      </c>
      <c r="N77" s="43">
        <f t="shared" si="2"/>
        <v>18.5</v>
      </c>
      <c r="P77" s="31"/>
    </row>
    <row r="78" spans="1:16" s="65" customFormat="1" ht="49.5" customHeight="1">
      <c r="A78" s="32" t="s">
        <v>367</v>
      </c>
      <c r="B78" s="64">
        <v>3220</v>
      </c>
      <c r="C78" s="64"/>
      <c r="D78" s="33" t="s">
        <v>450</v>
      </c>
      <c r="E78" s="33"/>
      <c r="F78" s="33"/>
      <c r="G78" s="26">
        <f t="shared" si="0"/>
        <v>0</v>
      </c>
      <c r="H78" s="33"/>
      <c r="I78" s="33"/>
      <c r="J78" s="26">
        <f t="shared" si="1"/>
        <v>0</v>
      </c>
      <c r="K78" s="9">
        <f>K79+K83+K81</f>
        <v>12613549.68</v>
      </c>
      <c r="L78" s="9">
        <f>L79+L83+L81</f>
        <v>0</v>
      </c>
      <c r="M78" s="34">
        <f>M79+M83+M81</f>
        <v>12613549.68</v>
      </c>
      <c r="N78" s="37">
        <f>N79+N83+N81</f>
        <v>12613.5</v>
      </c>
      <c r="P78" s="31"/>
    </row>
    <row r="79" spans="1:16" s="67" customFormat="1" ht="141.75">
      <c r="A79" s="38" t="s">
        <v>368</v>
      </c>
      <c r="B79" s="66">
        <v>3221</v>
      </c>
      <c r="C79" s="66">
        <v>1060</v>
      </c>
      <c r="D79" s="39" t="s">
        <v>369</v>
      </c>
      <c r="E79" s="39"/>
      <c r="F79" s="39"/>
      <c r="G79" s="26">
        <f aca="true" t="shared" si="5" ref="G79:G142">ROUND(F79/1000,1)</f>
        <v>0</v>
      </c>
      <c r="H79" s="39"/>
      <c r="I79" s="39"/>
      <c r="J79" s="26">
        <f aca="true" t="shared" si="6" ref="J79:J142">ROUND(I79/1000,1)</f>
        <v>0</v>
      </c>
      <c r="K79" s="41">
        <v>6547535.21</v>
      </c>
      <c r="L79" s="41"/>
      <c r="M79" s="42">
        <f aca="true" t="shared" si="7" ref="M79:M84">L79+K79</f>
        <v>6547535.21</v>
      </c>
      <c r="N79" s="43">
        <f aca="true" t="shared" si="8" ref="N79:N141">ROUND(M79/1000,1)</f>
        <v>6547.5</v>
      </c>
      <c r="P79" s="31"/>
    </row>
    <row r="80" spans="1:16" s="47" customFormat="1" ht="24.75" customHeight="1">
      <c r="A80" s="38"/>
      <c r="B80" s="38"/>
      <c r="C80" s="38"/>
      <c r="D80" s="39" t="s">
        <v>413</v>
      </c>
      <c r="E80" s="39"/>
      <c r="F80" s="39"/>
      <c r="G80" s="26">
        <f t="shared" si="5"/>
        <v>0</v>
      </c>
      <c r="H80" s="39"/>
      <c r="I80" s="39"/>
      <c r="J80" s="26">
        <f t="shared" si="6"/>
        <v>0</v>
      </c>
      <c r="K80" s="41">
        <v>6547535.21</v>
      </c>
      <c r="L80" s="41"/>
      <c r="M80" s="42">
        <f t="shared" si="7"/>
        <v>6547535.21</v>
      </c>
      <c r="N80" s="43">
        <f t="shared" si="8"/>
        <v>6547.5</v>
      </c>
      <c r="P80" s="31"/>
    </row>
    <row r="81" spans="1:16" s="47" customFormat="1" ht="162">
      <c r="A81" s="38" t="s">
        <v>397</v>
      </c>
      <c r="B81" s="38" t="s">
        <v>398</v>
      </c>
      <c r="C81" s="38" t="s">
        <v>399</v>
      </c>
      <c r="D81" s="57" t="s">
        <v>451</v>
      </c>
      <c r="E81" s="39"/>
      <c r="F81" s="39"/>
      <c r="G81" s="26">
        <f t="shared" si="5"/>
        <v>0</v>
      </c>
      <c r="H81" s="39"/>
      <c r="I81" s="39"/>
      <c r="J81" s="26">
        <f t="shared" si="6"/>
        <v>0</v>
      </c>
      <c r="K81" s="41">
        <v>2544480</v>
      </c>
      <c r="L81" s="41"/>
      <c r="M81" s="42">
        <f t="shared" si="7"/>
        <v>2544480</v>
      </c>
      <c r="N81" s="43">
        <f t="shared" si="8"/>
        <v>2544.5</v>
      </c>
      <c r="P81" s="31"/>
    </row>
    <row r="82" spans="1:16" s="47" customFormat="1" ht="24.75" customHeight="1">
      <c r="A82" s="38"/>
      <c r="B82" s="38"/>
      <c r="C82" s="38"/>
      <c r="D82" s="39" t="s">
        <v>413</v>
      </c>
      <c r="E82" s="39"/>
      <c r="F82" s="39"/>
      <c r="G82" s="26">
        <f t="shared" si="5"/>
        <v>0</v>
      </c>
      <c r="H82" s="39"/>
      <c r="I82" s="39"/>
      <c r="J82" s="26">
        <f t="shared" si="6"/>
        <v>0</v>
      </c>
      <c r="K82" s="41">
        <v>2544480</v>
      </c>
      <c r="L82" s="41"/>
      <c r="M82" s="42">
        <f t="shared" si="7"/>
        <v>2544480</v>
      </c>
      <c r="N82" s="43">
        <f t="shared" si="8"/>
        <v>2544.5</v>
      </c>
      <c r="P82" s="31"/>
    </row>
    <row r="83" spans="1:16" s="67" customFormat="1" ht="141.75">
      <c r="A83" s="38" t="s">
        <v>382</v>
      </c>
      <c r="B83" s="66">
        <v>3223</v>
      </c>
      <c r="C83" s="66">
        <v>1060</v>
      </c>
      <c r="D83" s="39" t="s">
        <v>389</v>
      </c>
      <c r="E83" s="39"/>
      <c r="F83" s="39"/>
      <c r="G83" s="26">
        <f t="shared" si="5"/>
        <v>0</v>
      </c>
      <c r="H83" s="39"/>
      <c r="I83" s="39"/>
      <c r="J83" s="26">
        <f t="shared" si="6"/>
        <v>0</v>
      </c>
      <c r="K83" s="41">
        <v>3521534.47</v>
      </c>
      <c r="L83" s="41"/>
      <c r="M83" s="42">
        <f t="shared" si="7"/>
        <v>3521534.47</v>
      </c>
      <c r="N83" s="35">
        <f t="shared" si="8"/>
        <v>3521.5</v>
      </c>
      <c r="P83" s="31"/>
    </row>
    <row r="84" spans="1:16" s="47" customFormat="1" ht="20.25">
      <c r="A84" s="38"/>
      <c r="B84" s="38"/>
      <c r="C84" s="38"/>
      <c r="D84" s="39" t="s">
        <v>413</v>
      </c>
      <c r="E84" s="39"/>
      <c r="F84" s="39"/>
      <c r="G84" s="68">
        <f t="shared" si="5"/>
        <v>0</v>
      </c>
      <c r="H84" s="39"/>
      <c r="I84" s="39"/>
      <c r="J84" s="26">
        <f t="shared" si="6"/>
        <v>0</v>
      </c>
      <c r="K84" s="41">
        <v>3521534.47</v>
      </c>
      <c r="L84" s="41"/>
      <c r="M84" s="42">
        <f t="shared" si="7"/>
        <v>3521534.47</v>
      </c>
      <c r="N84" s="43">
        <f t="shared" si="8"/>
        <v>3521.5</v>
      </c>
      <c r="P84" s="31"/>
    </row>
    <row r="85" spans="1:16" s="36" customFormat="1" ht="26.25" customHeight="1">
      <c r="A85" s="32" t="s">
        <v>199</v>
      </c>
      <c r="B85" s="64">
        <v>3240</v>
      </c>
      <c r="C85" s="64"/>
      <c r="D85" s="33" t="s">
        <v>452</v>
      </c>
      <c r="E85" s="33"/>
      <c r="F85" s="33"/>
      <c r="G85" s="26">
        <f t="shared" si="5"/>
        <v>0</v>
      </c>
      <c r="H85" s="33"/>
      <c r="I85" s="33"/>
      <c r="J85" s="26">
        <f t="shared" si="6"/>
        <v>0</v>
      </c>
      <c r="K85" s="9">
        <f>K86+K87</f>
        <v>380382</v>
      </c>
      <c r="L85" s="9">
        <f>L86+L87</f>
        <v>0</v>
      </c>
      <c r="M85" s="34">
        <f>M86+M87</f>
        <v>380382</v>
      </c>
      <c r="N85" s="37">
        <f>N86+N87</f>
        <v>380.4</v>
      </c>
      <c r="P85" s="31"/>
    </row>
    <row r="86" spans="1:16" s="47" customFormat="1" ht="32.25" customHeight="1">
      <c r="A86" s="38" t="s">
        <v>190</v>
      </c>
      <c r="B86" s="66">
        <v>3241</v>
      </c>
      <c r="C86" s="66">
        <v>1090</v>
      </c>
      <c r="D86" s="39" t="s">
        <v>191</v>
      </c>
      <c r="E86" s="39"/>
      <c r="F86" s="39"/>
      <c r="G86" s="26">
        <f t="shared" si="5"/>
        <v>0</v>
      </c>
      <c r="H86" s="39"/>
      <c r="I86" s="39"/>
      <c r="J86" s="26">
        <f t="shared" si="6"/>
        <v>0</v>
      </c>
      <c r="K86" s="41">
        <f>300000+5382</f>
        <v>305382</v>
      </c>
      <c r="L86" s="41"/>
      <c r="M86" s="42">
        <f>L86+K86</f>
        <v>305382</v>
      </c>
      <c r="N86" s="43">
        <f t="shared" si="8"/>
        <v>305.4</v>
      </c>
      <c r="P86" s="31"/>
    </row>
    <row r="87" spans="1:16" s="47" customFormat="1" ht="37.5" customHeight="1">
      <c r="A87" s="38" t="s">
        <v>192</v>
      </c>
      <c r="B87" s="66">
        <v>3242</v>
      </c>
      <c r="C87" s="66">
        <v>1090</v>
      </c>
      <c r="D87" s="39" t="s">
        <v>193</v>
      </c>
      <c r="E87" s="39"/>
      <c r="F87" s="39"/>
      <c r="G87" s="26">
        <f t="shared" si="5"/>
        <v>0</v>
      </c>
      <c r="H87" s="39"/>
      <c r="I87" s="39"/>
      <c r="J87" s="26">
        <f t="shared" si="6"/>
        <v>0</v>
      </c>
      <c r="K87" s="41">
        <v>75000</v>
      </c>
      <c r="L87" s="41"/>
      <c r="M87" s="42">
        <f>L87+K87</f>
        <v>75000</v>
      </c>
      <c r="N87" s="43">
        <f t="shared" si="8"/>
        <v>75</v>
      </c>
      <c r="P87" s="31"/>
    </row>
    <row r="88" spans="1:16" s="30" customFormat="1" ht="34.5" customHeight="1">
      <c r="A88" s="24" t="s">
        <v>404</v>
      </c>
      <c r="B88" s="69"/>
      <c r="C88" s="69"/>
      <c r="D88" s="3" t="s">
        <v>401</v>
      </c>
      <c r="E88" s="3"/>
      <c r="F88" s="3"/>
      <c r="G88" s="26">
        <f t="shared" si="5"/>
        <v>0</v>
      </c>
      <c r="H88" s="3"/>
      <c r="I88" s="3"/>
      <c r="J88" s="26">
        <f t="shared" si="6"/>
        <v>0</v>
      </c>
      <c r="K88" s="27">
        <f>SUM(K90)</f>
        <v>809800</v>
      </c>
      <c r="L88" s="27">
        <f>SUM(L90)</f>
        <v>0</v>
      </c>
      <c r="M88" s="28">
        <f>SUM(M90)</f>
        <v>809800</v>
      </c>
      <c r="N88" s="29">
        <f>SUM(N90)</f>
        <v>809.8</v>
      </c>
      <c r="P88" s="31"/>
    </row>
    <row r="89" spans="1:16" s="56" customFormat="1" ht="27" customHeight="1">
      <c r="A89" s="52"/>
      <c r="B89" s="70"/>
      <c r="C89" s="70"/>
      <c r="D89" s="4" t="s">
        <v>413</v>
      </c>
      <c r="E89" s="4"/>
      <c r="F89" s="4"/>
      <c r="G89" s="26">
        <f t="shared" si="5"/>
        <v>0</v>
      </c>
      <c r="H89" s="4"/>
      <c r="I89" s="4"/>
      <c r="J89" s="26">
        <f t="shared" si="6"/>
        <v>0</v>
      </c>
      <c r="K89" s="53">
        <f>SUM(K92)</f>
        <v>809800</v>
      </c>
      <c r="L89" s="53">
        <f>SUM(L92)</f>
        <v>0</v>
      </c>
      <c r="M89" s="54">
        <f>SUM(M92)</f>
        <v>809800</v>
      </c>
      <c r="N89" s="55">
        <f>SUM(N92)</f>
        <v>809.8</v>
      </c>
      <c r="P89" s="31"/>
    </row>
    <row r="90" spans="1:16" s="47" customFormat="1" ht="40.5" customHeight="1">
      <c r="A90" s="38" t="s">
        <v>400</v>
      </c>
      <c r="B90" s="66">
        <v>6080</v>
      </c>
      <c r="C90" s="38" t="s">
        <v>286</v>
      </c>
      <c r="D90" s="71" t="s">
        <v>453</v>
      </c>
      <c r="E90" s="33"/>
      <c r="F90" s="33"/>
      <c r="G90" s="26">
        <f t="shared" si="5"/>
        <v>0</v>
      </c>
      <c r="H90" s="33"/>
      <c r="I90" s="33"/>
      <c r="J90" s="26">
        <f t="shared" si="6"/>
        <v>0</v>
      </c>
      <c r="K90" s="9">
        <f>SUM(K91)</f>
        <v>809800</v>
      </c>
      <c r="L90" s="9">
        <f>SUM(L91)</f>
        <v>0</v>
      </c>
      <c r="M90" s="34">
        <f>SUM(M91)</f>
        <v>809800</v>
      </c>
      <c r="N90" s="37">
        <f>SUM(N91)</f>
        <v>809.8</v>
      </c>
      <c r="P90" s="31"/>
    </row>
    <row r="91" spans="1:16" s="47" customFormat="1" ht="69.75" customHeight="1">
      <c r="A91" s="38" t="s">
        <v>402</v>
      </c>
      <c r="B91" s="66">
        <v>6083</v>
      </c>
      <c r="C91" s="38" t="s">
        <v>286</v>
      </c>
      <c r="D91" s="57" t="s">
        <v>403</v>
      </c>
      <c r="E91" s="39"/>
      <c r="F91" s="39"/>
      <c r="G91" s="26">
        <f t="shared" si="5"/>
        <v>0</v>
      </c>
      <c r="H91" s="39"/>
      <c r="I91" s="39"/>
      <c r="J91" s="26">
        <f t="shared" si="6"/>
        <v>0</v>
      </c>
      <c r="K91" s="41">
        <v>809800</v>
      </c>
      <c r="L91" s="41"/>
      <c r="M91" s="42">
        <f>SUM(K91)+L91</f>
        <v>809800</v>
      </c>
      <c r="N91" s="43">
        <f t="shared" si="8"/>
        <v>809.8</v>
      </c>
      <c r="P91" s="31"/>
    </row>
    <row r="92" spans="1:16" s="47" customFormat="1" ht="24.75" customHeight="1">
      <c r="A92" s="38"/>
      <c r="B92" s="66"/>
      <c r="C92" s="66"/>
      <c r="D92" s="39" t="s">
        <v>413</v>
      </c>
      <c r="E92" s="39"/>
      <c r="F92" s="39"/>
      <c r="G92" s="68">
        <f t="shared" si="5"/>
        <v>0</v>
      </c>
      <c r="H92" s="39"/>
      <c r="I92" s="39"/>
      <c r="J92" s="26">
        <f t="shared" si="6"/>
        <v>0</v>
      </c>
      <c r="K92" s="41">
        <v>809800</v>
      </c>
      <c r="L92" s="41"/>
      <c r="M92" s="42">
        <f>SUM(K92)+L92</f>
        <v>809800</v>
      </c>
      <c r="N92" s="43">
        <f t="shared" si="8"/>
        <v>809.8</v>
      </c>
      <c r="P92" s="31"/>
    </row>
    <row r="93" spans="1:16" s="30" customFormat="1" ht="42.75" customHeight="1">
      <c r="A93" s="24" t="s">
        <v>99</v>
      </c>
      <c r="B93" s="24"/>
      <c r="C93" s="24"/>
      <c r="D93" s="3" t="s">
        <v>12</v>
      </c>
      <c r="E93" s="3"/>
      <c r="F93" s="3"/>
      <c r="G93" s="26">
        <f t="shared" si="5"/>
        <v>0</v>
      </c>
      <c r="H93" s="3"/>
      <c r="I93" s="3"/>
      <c r="J93" s="26">
        <f t="shared" si="6"/>
        <v>0</v>
      </c>
      <c r="K93" s="27">
        <f>K95+K96+K97+K98+K103+K100</f>
        <v>3670450</v>
      </c>
      <c r="L93" s="27">
        <f>L95+L96+L97+L98+L103+L100</f>
        <v>0</v>
      </c>
      <c r="M93" s="28">
        <f>M95+M96+M97+M98+M103+M100</f>
        <v>3670450</v>
      </c>
      <c r="N93" s="29">
        <f>N95+N96+N97+N98+N103+N100</f>
        <v>3670.4</v>
      </c>
      <c r="P93" s="31"/>
    </row>
    <row r="94" spans="1:16" s="56" customFormat="1" ht="20.25">
      <c r="A94" s="52"/>
      <c r="B94" s="52"/>
      <c r="C94" s="52"/>
      <c r="D94" s="4" t="s">
        <v>413</v>
      </c>
      <c r="E94" s="4"/>
      <c r="F94" s="4"/>
      <c r="G94" s="26">
        <f t="shared" si="5"/>
        <v>0</v>
      </c>
      <c r="H94" s="4"/>
      <c r="I94" s="4"/>
      <c r="J94" s="26">
        <f t="shared" si="6"/>
        <v>0</v>
      </c>
      <c r="K94" s="53">
        <f>K102</f>
        <v>500000</v>
      </c>
      <c r="L94" s="53">
        <f>L102</f>
        <v>0</v>
      </c>
      <c r="M94" s="54">
        <f>M102</f>
        <v>500000</v>
      </c>
      <c r="N94" s="55">
        <f>N102</f>
        <v>500</v>
      </c>
      <c r="P94" s="31"/>
    </row>
    <row r="95" spans="1:16" s="36" customFormat="1" ht="50.25" customHeight="1">
      <c r="A95" s="32" t="s">
        <v>67</v>
      </c>
      <c r="B95" s="32" t="s">
        <v>55</v>
      </c>
      <c r="C95" s="32" t="s">
        <v>23</v>
      </c>
      <c r="D95" s="33" t="s">
        <v>56</v>
      </c>
      <c r="E95" s="33"/>
      <c r="F95" s="33"/>
      <c r="G95" s="26">
        <f t="shared" si="5"/>
        <v>0</v>
      </c>
      <c r="H95" s="33"/>
      <c r="I95" s="33"/>
      <c r="J95" s="26">
        <f t="shared" si="6"/>
        <v>0</v>
      </c>
      <c r="K95" s="9">
        <f>10000+850</f>
        <v>10850</v>
      </c>
      <c r="L95" s="9"/>
      <c r="M95" s="34">
        <f>L95+K95</f>
        <v>10850</v>
      </c>
      <c r="N95" s="35">
        <f>ROUND(M95/1000,1)-0.1</f>
        <v>10.8</v>
      </c>
      <c r="P95" s="31"/>
    </row>
    <row r="96" spans="1:16" s="36" customFormat="1" ht="45.75" customHeight="1">
      <c r="A96" s="32" t="s">
        <v>116</v>
      </c>
      <c r="B96" s="32" t="s">
        <v>33</v>
      </c>
      <c r="C96" s="32" t="s">
        <v>32</v>
      </c>
      <c r="D96" s="33" t="s">
        <v>4</v>
      </c>
      <c r="E96" s="33"/>
      <c r="F96" s="33"/>
      <c r="G96" s="26">
        <f t="shared" si="5"/>
        <v>0</v>
      </c>
      <c r="H96" s="33"/>
      <c r="I96" s="33"/>
      <c r="J96" s="26">
        <f t="shared" si="6"/>
        <v>0</v>
      </c>
      <c r="K96" s="9">
        <v>197300</v>
      </c>
      <c r="L96" s="9"/>
      <c r="M96" s="34">
        <f>L96+K96</f>
        <v>197300</v>
      </c>
      <c r="N96" s="35">
        <f t="shared" si="8"/>
        <v>197.3</v>
      </c>
      <c r="P96" s="31"/>
    </row>
    <row r="97" spans="1:16" s="36" customFormat="1" ht="21" customHeight="1">
      <c r="A97" s="32" t="s">
        <v>100</v>
      </c>
      <c r="B97" s="32" t="s">
        <v>39</v>
      </c>
      <c r="C97" s="32" t="s">
        <v>40</v>
      </c>
      <c r="D97" s="33" t="s">
        <v>3</v>
      </c>
      <c r="E97" s="33"/>
      <c r="F97" s="33"/>
      <c r="G97" s="26">
        <f t="shared" si="5"/>
        <v>0</v>
      </c>
      <c r="H97" s="33"/>
      <c r="I97" s="33"/>
      <c r="J97" s="26">
        <f t="shared" si="6"/>
        <v>0</v>
      </c>
      <c r="K97" s="9">
        <f>300000+850050+70100+10000+20000</f>
        <v>1250150</v>
      </c>
      <c r="L97" s="9"/>
      <c r="M97" s="34">
        <f>L97+K97</f>
        <v>1250150</v>
      </c>
      <c r="N97" s="35">
        <f t="shared" si="8"/>
        <v>1250.2</v>
      </c>
      <c r="P97" s="31"/>
    </row>
    <row r="98" spans="1:16" s="36" customFormat="1" ht="28.5" customHeight="1">
      <c r="A98" s="32" t="s">
        <v>101</v>
      </c>
      <c r="B98" s="32" t="s">
        <v>5</v>
      </c>
      <c r="C98" s="32"/>
      <c r="D98" s="33" t="s">
        <v>439</v>
      </c>
      <c r="E98" s="33"/>
      <c r="F98" s="33"/>
      <c r="G98" s="26">
        <f t="shared" si="5"/>
        <v>0</v>
      </c>
      <c r="H98" s="33"/>
      <c r="I98" s="33"/>
      <c r="J98" s="26">
        <f t="shared" si="6"/>
        <v>0</v>
      </c>
      <c r="K98" s="9">
        <f>K99</f>
        <v>49150</v>
      </c>
      <c r="L98" s="9">
        <f>L99</f>
        <v>0</v>
      </c>
      <c r="M98" s="34">
        <f>M99</f>
        <v>49150</v>
      </c>
      <c r="N98" s="37">
        <f>N99</f>
        <v>49.1</v>
      </c>
      <c r="P98" s="31"/>
    </row>
    <row r="99" spans="1:16" s="47" customFormat="1" ht="25.5" customHeight="1">
      <c r="A99" s="38" t="s">
        <v>194</v>
      </c>
      <c r="B99" s="38" t="s">
        <v>185</v>
      </c>
      <c r="C99" s="38" t="s">
        <v>41</v>
      </c>
      <c r="D99" s="39" t="s">
        <v>186</v>
      </c>
      <c r="E99" s="39"/>
      <c r="F99" s="39"/>
      <c r="G99" s="26">
        <f t="shared" si="5"/>
        <v>0</v>
      </c>
      <c r="H99" s="39"/>
      <c r="I99" s="39"/>
      <c r="J99" s="26">
        <f t="shared" si="6"/>
        <v>0</v>
      </c>
      <c r="K99" s="41">
        <f>50000-850</f>
        <v>49150</v>
      </c>
      <c r="L99" s="41"/>
      <c r="M99" s="42">
        <f>L99+K99</f>
        <v>49150</v>
      </c>
      <c r="N99" s="43">
        <f>ROUND(M99/1000,1)-0.1</f>
        <v>49.1</v>
      </c>
      <c r="P99" s="31"/>
    </row>
    <row r="100" spans="1:16" s="47" customFormat="1" ht="25.5" customHeight="1">
      <c r="A100" s="32" t="s">
        <v>377</v>
      </c>
      <c r="B100" s="32" t="s">
        <v>256</v>
      </c>
      <c r="C100" s="32"/>
      <c r="D100" s="33" t="s">
        <v>445</v>
      </c>
      <c r="E100" s="39"/>
      <c r="F100" s="39"/>
      <c r="G100" s="26">
        <f t="shared" si="5"/>
        <v>0</v>
      </c>
      <c r="H100" s="39"/>
      <c r="I100" s="39"/>
      <c r="J100" s="26">
        <f t="shared" si="6"/>
        <v>0</v>
      </c>
      <c r="K100" s="9">
        <f>K101</f>
        <v>515000</v>
      </c>
      <c r="L100" s="9">
        <f>L101</f>
        <v>0</v>
      </c>
      <c r="M100" s="34">
        <f>M101</f>
        <v>515000</v>
      </c>
      <c r="N100" s="37">
        <f>N101</f>
        <v>515</v>
      </c>
      <c r="P100" s="31"/>
    </row>
    <row r="101" spans="1:16" s="47" customFormat="1" ht="40.5">
      <c r="A101" s="38" t="s">
        <v>378</v>
      </c>
      <c r="B101" s="38" t="s">
        <v>263</v>
      </c>
      <c r="C101" s="38" t="s">
        <v>44</v>
      </c>
      <c r="D101" s="39" t="s">
        <v>254</v>
      </c>
      <c r="E101" s="39"/>
      <c r="F101" s="39"/>
      <c r="G101" s="26">
        <f t="shared" si="5"/>
        <v>0</v>
      </c>
      <c r="H101" s="39"/>
      <c r="I101" s="39"/>
      <c r="J101" s="26">
        <f t="shared" si="6"/>
        <v>0</v>
      </c>
      <c r="K101" s="41">
        <v>515000</v>
      </c>
      <c r="L101" s="41"/>
      <c r="M101" s="42">
        <f>L101+K101</f>
        <v>515000</v>
      </c>
      <c r="N101" s="43">
        <f t="shared" si="8"/>
        <v>515</v>
      </c>
      <c r="P101" s="31"/>
    </row>
    <row r="102" spans="1:16" s="47" customFormat="1" ht="20.25">
      <c r="A102" s="38"/>
      <c r="B102" s="38"/>
      <c r="C102" s="38"/>
      <c r="D102" s="39" t="s">
        <v>413</v>
      </c>
      <c r="E102" s="39"/>
      <c r="F102" s="39"/>
      <c r="G102" s="26">
        <f t="shared" si="5"/>
        <v>0</v>
      </c>
      <c r="H102" s="39"/>
      <c r="I102" s="39"/>
      <c r="J102" s="26">
        <f t="shared" si="6"/>
        <v>0</v>
      </c>
      <c r="K102" s="41">
        <v>500000</v>
      </c>
      <c r="L102" s="41"/>
      <c r="M102" s="42">
        <f>L102+K102</f>
        <v>500000</v>
      </c>
      <c r="N102" s="43">
        <f t="shared" si="8"/>
        <v>500</v>
      </c>
      <c r="P102" s="31"/>
    </row>
    <row r="103" spans="1:16" s="36" customFormat="1" ht="24.75" customHeight="1">
      <c r="A103" s="32" t="s">
        <v>71</v>
      </c>
      <c r="B103" s="32" t="s">
        <v>1</v>
      </c>
      <c r="C103" s="32" t="s">
        <v>45</v>
      </c>
      <c r="D103" s="33" t="s">
        <v>14</v>
      </c>
      <c r="E103" s="33"/>
      <c r="F103" s="33"/>
      <c r="G103" s="26">
        <f t="shared" si="5"/>
        <v>0</v>
      </c>
      <c r="H103" s="33"/>
      <c r="I103" s="33"/>
      <c r="J103" s="26">
        <f t="shared" si="6"/>
        <v>0</v>
      </c>
      <c r="K103" s="9">
        <v>1648000</v>
      </c>
      <c r="L103" s="9"/>
      <c r="M103" s="34">
        <f>L103+K103</f>
        <v>1648000</v>
      </c>
      <c r="N103" s="35">
        <f t="shared" si="8"/>
        <v>1648</v>
      </c>
      <c r="P103" s="31"/>
    </row>
    <row r="104" spans="1:16" s="30" customFormat="1" ht="48.75" customHeight="1">
      <c r="A104" s="24" t="s">
        <v>102</v>
      </c>
      <c r="B104" s="24"/>
      <c r="C104" s="24"/>
      <c r="D104" s="3" t="s">
        <v>13</v>
      </c>
      <c r="E104" s="3"/>
      <c r="F104" s="3"/>
      <c r="G104" s="26">
        <f t="shared" si="5"/>
        <v>0</v>
      </c>
      <c r="H104" s="3"/>
      <c r="I104" s="3"/>
      <c r="J104" s="26">
        <f t="shared" si="6"/>
        <v>0</v>
      </c>
      <c r="K104" s="27">
        <f>K106+K107+K112+K153+K171+K113+K142+K156</f>
        <v>153109014.54000002</v>
      </c>
      <c r="L104" s="27">
        <f>L106+L107+L112+L153+L171+L113+L142+L156</f>
        <v>-89000</v>
      </c>
      <c r="M104" s="28">
        <f>M106+M107+M112+M153+M171+M113+M142+M156</f>
        <v>153020014.54000002</v>
      </c>
      <c r="N104" s="29">
        <f>N106+N107+N112+N153+N171+N113+N142+N156</f>
        <v>153020</v>
      </c>
      <c r="P104" s="31"/>
    </row>
    <row r="105" spans="1:16" s="56" customFormat="1" ht="20.25">
      <c r="A105" s="52"/>
      <c r="B105" s="52"/>
      <c r="C105" s="52"/>
      <c r="D105" s="4" t="s">
        <v>413</v>
      </c>
      <c r="E105" s="4"/>
      <c r="F105" s="4"/>
      <c r="G105" s="26">
        <f t="shared" si="5"/>
        <v>0</v>
      </c>
      <c r="H105" s="4"/>
      <c r="I105" s="4"/>
      <c r="J105" s="26">
        <f t="shared" si="6"/>
        <v>0</v>
      </c>
      <c r="K105" s="53">
        <f>K160</f>
        <v>4242868.85</v>
      </c>
      <c r="L105" s="53">
        <f>L160</f>
        <v>0</v>
      </c>
      <c r="M105" s="54">
        <f>L105+K105</f>
        <v>4242868.85</v>
      </c>
      <c r="N105" s="55">
        <f>N160</f>
        <v>4242.9</v>
      </c>
      <c r="P105" s="31"/>
    </row>
    <row r="106" spans="1:16" s="36" customFormat="1" ht="39.75" customHeight="1">
      <c r="A106" s="32" t="s">
        <v>103</v>
      </c>
      <c r="B106" s="32" t="s">
        <v>55</v>
      </c>
      <c r="C106" s="32" t="s">
        <v>23</v>
      </c>
      <c r="D106" s="33" t="s">
        <v>56</v>
      </c>
      <c r="E106" s="33"/>
      <c r="F106" s="33"/>
      <c r="G106" s="26">
        <f t="shared" si="5"/>
        <v>0</v>
      </c>
      <c r="H106" s="33"/>
      <c r="I106" s="33"/>
      <c r="J106" s="26">
        <f t="shared" si="6"/>
        <v>0</v>
      </c>
      <c r="K106" s="9">
        <f>200000-137500</f>
        <v>62500</v>
      </c>
      <c r="L106" s="9"/>
      <c r="M106" s="34">
        <f>L106+K106</f>
        <v>62500</v>
      </c>
      <c r="N106" s="35">
        <f t="shared" si="8"/>
        <v>62.5</v>
      </c>
      <c r="P106" s="31"/>
    </row>
    <row r="107" spans="1:16" s="36" customFormat="1" ht="33" customHeight="1">
      <c r="A107" s="32" t="s">
        <v>104</v>
      </c>
      <c r="B107" s="32" t="s">
        <v>37</v>
      </c>
      <c r="C107" s="32"/>
      <c r="D107" s="33" t="s">
        <v>454</v>
      </c>
      <c r="E107" s="33"/>
      <c r="F107" s="33"/>
      <c r="G107" s="26">
        <f t="shared" si="5"/>
        <v>0</v>
      </c>
      <c r="H107" s="33"/>
      <c r="I107" s="33"/>
      <c r="J107" s="26">
        <f t="shared" si="6"/>
        <v>0</v>
      </c>
      <c r="K107" s="9">
        <f>K108+K110+K109+K111</f>
        <v>66660581.6</v>
      </c>
      <c r="L107" s="9">
        <f>L108+L110+L109+L111</f>
        <v>0</v>
      </c>
      <c r="M107" s="34">
        <f>M108+M110+M109+M111</f>
        <v>66660581.6</v>
      </c>
      <c r="N107" s="37">
        <f>N108+N110+N109+N111</f>
        <v>66660.6</v>
      </c>
      <c r="P107" s="31"/>
    </row>
    <row r="108" spans="1:16" s="47" customFormat="1" ht="20.25">
      <c r="A108" s="38" t="s">
        <v>105</v>
      </c>
      <c r="B108" s="38" t="s">
        <v>62</v>
      </c>
      <c r="C108" s="38" t="s">
        <v>38</v>
      </c>
      <c r="D108" s="39" t="s">
        <v>63</v>
      </c>
      <c r="E108" s="39"/>
      <c r="F108" s="39"/>
      <c r="G108" s="26">
        <f t="shared" si="5"/>
        <v>0</v>
      </c>
      <c r="H108" s="39"/>
      <c r="I108" s="39"/>
      <c r="J108" s="26">
        <f t="shared" si="6"/>
        <v>0</v>
      </c>
      <c r="K108" s="41">
        <f>33000738+145000+972000</f>
        <v>34117738</v>
      </c>
      <c r="L108" s="41"/>
      <c r="M108" s="42">
        <f>L108+K108</f>
        <v>34117738</v>
      </c>
      <c r="N108" s="43">
        <f t="shared" si="8"/>
        <v>34117.7</v>
      </c>
      <c r="P108" s="31"/>
    </row>
    <row r="109" spans="1:16" s="47" customFormat="1" ht="27" customHeight="1">
      <c r="A109" s="38" t="s">
        <v>244</v>
      </c>
      <c r="B109" s="38" t="s">
        <v>245</v>
      </c>
      <c r="C109" s="38" t="s">
        <v>38</v>
      </c>
      <c r="D109" s="57" t="s">
        <v>246</v>
      </c>
      <c r="E109" s="39"/>
      <c r="F109" s="39"/>
      <c r="G109" s="26">
        <f t="shared" si="5"/>
        <v>0</v>
      </c>
      <c r="H109" s="39"/>
      <c r="I109" s="39"/>
      <c r="J109" s="26">
        <f t="shared" si="6"/>
        <v>0</v>
      </c>
      <c r="K109" s="41">
        <f>222622+320000-163158.4</f>
        <v>379463.6</v>
      </c>
      <c r="L109" s="41"/>
      <c r="M109" s="42">
        <f>L109+K109</f>
        <v>379463.6</v>
      </c>
      <c r="N109" s="43">
        <f t="shared" si="8"/>
        <v>379.5</v>
      </c>
      <c r="P109" s="31"/>
    </row>
    <row r="110" spans="1:16" s="47" customFormat="1" ht="27.75" customHeight="1">
      <c r="A110" s="38" t="s">
        <v>121</v>
      </c>
      <c r="B110" s="38" t="s">
        <v>122</v>
      </c>
      <c r="C110" s="38" t="s">
        <v>38</v>
      </c>
      <c r="D110" s="39" t="s">
        <v>123</v>
      </c>
      <c r="E110" s="39"/>
      <c r="F110" s="39"/>
      <c r="G110" s="26">
        <f t="shared" si="5"/>
        <v>0</v>
      </c>
      <c r="H110" s="39"/>
      <c r="I110" s="39"/>
      <c r="J110" s="26">
        <f t="shared" si="6"/>
        <v>0</v>
      </c>
      <c r="K110" s="41">
        <v>29957400</v>
      </c>
      <c r="L110" s="41"/>
      <c r="M110" s="42">
        <f>L110+K110</f>
        <v>29957400</v>
      </c>
      <c r="N110" s="43">
        <f t="shared" si="8"/>
        <v>29957.4</v>
      </c>
      <c r="P110" s="31"/>
    </row>
    <row r="111" spans="1:16" s="47" customFormat="1" ht="32.25" customHeight="1">
      <c r="A111" s="38" t="s">
        <v>247</v>
      </c>
      <c r="B111" s="38" t="s">
        <v>248</v>
      </c>
      <c r="C111" s="38" t="s">
        <v>38</v>
      </c>
      <c r="D111" s="39" t="s">
        <v>249</v>
      </c>
      <c r="E111" s="39"/>
      <c r="F111" s="39"/>
      <c r="G111" s="26">
        <f t="shared" si="5"/>
        <v>0</v>
      </c>
      <c r="H111" s="39"/>
      <c r="I111" s="39"/>
      <c r="J111" s="26">
        <f t="shared" si="6"/>
        <v>0</v>
      </c>
      <c r="K111" s="41">
        <f>2178000+27980</f>
        <v>2205980</v>
      </c>
      <c r="L111" s="41"/>
      <c r="M111" s="42">
        <f>L111+K111</f>
        <v>2205980</v>
      </c>
      <c r="N111" s="43">
        <f t="shared" si="8"/>
        <v>2206</v>
      </c>
      <c r="P111" s="31"/>
    </row>
    <row r="112" spans="1:16" s="36" customFormat="1" ht="29.25" customHeight="1">
      <c r="A112" s="32" t="s">
        <v>106</v>
      </c>
      <c r="B112" s="32" t="s">
        <v>64</v>
      </c>
      <c r="C112" s="32" t="s">
        <v>38</v>
      </c>
      <c r="D112" s="33" t="s">
        <v>65</v>
      </c>
      <c r="E112" s="33"/>
      <c r="F112" s="33"/>
      <c r="G112" s="26">
        <f t="shared" si="5"/>
        <v>0</v>
      </c>
      <c r="H112" s="33"/>
      <c r="I112" s="33"/>
      <c r="J112" s="26">
        <f t="shared" si="6"/>
        <v>0</v>
      </c>
      <c r="K112" s="9">
        <f>42609180.35-1625256-198832</f>
        <v>40785092.35</v>
      </c>
      <c r="L112" s="9">
        <f>-89000</f>
        <v>-89000</v>
      </c>
      <c r="M112" s="34">
        <f>L112+K112</f>
        <v>40696092.35</v>
      </c>
      <c r="N112" s="35">
        <f t="shared" si="8"/>
        <v>40696.1</v>
      </c>
      <c r="P112" s="31"/>
    </row>
    <row r="113" spans="1:16" s="36" customFormat="1" ht="33.75" customHeight="1">
      <c r="A113" s="32" t="s">
        <v>130</v>
      </c>
      <c r="B113" s="32" t="s">
        <v>131</v>
      </c>
      <c r="C113" s="32" t="s">
        <v>49</v>
      </c>
      <c r="D113" s="3" t="s">
        <v>455</v>
      </c>
      <c r="E113" s="33"/>
      <c r="F113" s="33"/>
      <c r="G113" s="26">
        <f t="shared" si="5"/>
        <v>0</v>
      </c>
      <c r="H113" s="33"/>
      <c r="I113" s="33"/>
      <c r="J113" s="26">
        <f t="shared" si="6"/>
        <v>0</v>
      </c>
      <c r="K113" s="27">
        <f>K114+K121+K132+K140</f>
        <v>24115761.13</v>
      </c>
      <c r="L113" s="27">
        <f>L114+L121+L132+L140</f>
        <v>0</v>
      </c>
      <c r="M113" s="28">
        <f>M114+M121+M132+M140</f>
        <v>24115761.13</v>
      </c>
      <c r="N113" s="29">
        <f>N114+N121+N132+N140</f>
        <v>24115.8</v>
      </c>
      <c r="P113" s="31"/>
    </row>
    <row r="114" spans="1:16" s="36" customFormat="1" ht="27.75" customHeight="1">
      <c r="A114" s="32"/>
      <c r="B114" s="32"/>
      <c r="C114" s="32"/>
      <c r="D114" s="72" t="s">
        <v>138</v>
      </c>
      <c r="E114" s="72" t="s">
        <v>138</v>
      </c>
      <c r="F114" s="33"/>
      <c r="G114" s="26">
        <f t="shared" si="5"/>
        <v>0</v>
      </c>
      <c r="H114" s="33"/>
      <c r="I114" s="33"/>
      <c r="J114" s="26">
        <f t="shared" si="6"/>
        <v>0</v>
      </c>
      <c r="K114" s="27">
        <f>SUM(K115:K120)</f>
        <v>2151077</v>
      </c>
      <c r="L114" s="27">
        <f>SUM(L115:L120)</f>
        <v>0</v>
      </c>
      <c r="M114" s="28">
        <f>SUM(M115:M120)</f>
        <v>2151077</v>
      </c>
      <c r="N114" s="29">
        <f>SUM(N115:N120)</f>
        <v>2151.1</v>
      </c>
      <c r="P114" s="31"/>
    </row>
    <row r="115" spans="1:16" s="36" customFormat="1" ht="42" customHeight="1">
      <c r="A115" s="32"/>
      <c r="B115" s="32"/>
      <c r="C115" s="32"/>
      <c r="D115" s="33" t="s">
        <v>456</v>
      </c>
      <c r="E115" s="33" t="s">
        <v>292</v>
      </c>
      <c r="F115" s="33"/>
      <c r="G115" s="26">
        <f t="shared" si="5"/>
        <v>0</v>
      </c>
      <c r="H115" s="33"/>
      <c r="I115" s="33"/>
      <c r="J115" s="26">
        <f t="shared" si="6"/>
        <v>0</v>
      </c>
      <c r="K115" s="9">
        <f>650000-395107</f>
        <v>254893</v>
      </c>
      <c r="L115" s="9"/>
      <c r="M115" s="34">
        <f aca="true" t="shared" si="9" ref="M115:M120">L115+K115</f>
        <v>254893</v>
      </c>
      <c r="N115" s="35">
        <f t="shared" si="8"/>
        <v>254.9</v>
      </c>
      <c r="P115" s="31"/>
    </row>
    <row r="116" spans="1:16" s="36" customFormat="1" ht="47.25" customHeight="1">
      <c r="A116" s="32"/>
      <c r="B116" s="32"/>
      <c r="C116" s="32"/>
      <c r="D116" s="33" t="s">
        <v>457</v>
      </c>
      <c r="E116" s="33" t="s">
        <v>365</v>
      </c>
      <c r="F116" s="33"/>
      <c r="G116" s="26">
        <f t="shared" si="5"/>
        <v>0</v>
      </c>
      <c r="H116" s="33"/>
      <c r="I116" s="33"/>
      <c r="J116" s="26">
        <f t="shared" si="6"/>
        <v>0</v>
      </c>
      <c r="K116" s="9">
        <f>350000-11980</f>
        <v>338020</v>
      </c>
      <c r="L116" s="9"/>
      <c r="M116" s="34">
        <f t="shared" si="9"/>
        <v>338020</v>
      </c>
      <c r="N116" s="35">
        <f t="shared" si="8"/>
        <v>338</v>
      </c>
      <c r="P116" s="31"/>
    </row>
    <row r="117" spans="1:16" s="36" customFormat="1" ht="41.25" customHeight="1">
      <c r="A117" s="32"/>
      <c r="B117" s="32"/>
      <c r="C117" s="32"/>
      <c r="D117" s="33" t="s">
        <v>347</v>
      </c>
      <c r="E117" s="33" t="s">
        <v>347</v>
      </c>
      <c r="F117" s="33"/>
      <c r="G117" s="26">
        <f t="shared" si="5"/>
        <v>0</v>
      </c>
      <c r="H117" s="33"/>
      <c r="I117" s="33"/>
      <c r="J117" s="26">
        <f t="shared" si="6"/>
        <v>0</v>
      </c>
      <c r="K117" s="9">
        <f>350000-70000</f>
        <v>280000</v>
      </c>
      <c r="L117" s="9"/>
      <c r="M117" s="34">
        <f t="shared" si="9"/>
        <v>280000</v>
      </c>
      <c r="N117" s="35">
        <f t="shared" si="8"/>
        <v>280</v>
      </c>
      <c r="P117" s="31"/>
    </row>
    <row r="118" spans="1:16" s="36" customFormat="1" ht="51" customHeight="1">
      <c r="A118" s="32"/>
      <c r="B118" s="32"/>
      <c r="C118" s="32"/>
      <c r="D118" s="33" t="s">
        <v>348</v>
      </c>
      <c r="E118" s="33" t="s">
        <v>348</v>
      </c>
      <c r="F118" s="33"/>
      <c r="G118" s="26">
        <f t="shared" si="5"/>
        <v>0</v>
      </c>
      <c r="H118" s="33"/>
      <c r="I118" s="33"/>
      <c r="J118" s="26">
        <f t="shared" si="6"/>
        <v>0</v>
      </c>
      <c r="K118" s="9">
        <f>250000-141836</f>
        <v>108164</v>
      </c>
      <c r="L118" s="9"/>
      <c r="M118" s="34">
        <f t="shared" si="9"/>
        <v>108164</v>
      </c>
      <c r="N118" s="35">
        <f t="shared" si="8"/>
        <v>108.2</v>
      </c>
      <c r="P118" s="31"/>
    </row>
    <row r="119" spans="1:16" s="36" customFormat="1" ht="46.5" customHeight="1">
      <c r="A119" s="32"/>
      <c r="B119" s="32"/>
      <c r="C119" s="32"/>
      <c r="D119" s="33" t="s">
        <v>290</v>
      </c>
      <c r="E119" s="33" t="s">
        <v>290</v>
      </c>
      <c r="F119" s="33"/>
      <c r="G119" s="26">
        <f t="shared" si="5"/>
        <v>0</v>
      </c>
      <c r="H119" s="33"/>
      <c r="I119" s="33"/>
      <c r="J119" s="26">
        <f t="shared" si="6"/>
        <v>0</v>
      </c>
      <c r="K119" s="9">
        <f>1300000-330000</f>
        <v>970000</v>
      </c>
      <c r="L119" s="9"/>
      <c r="M119" s="34">
        <f t="shared" si="9"/>
        <v>970000</v>
      </c>
      <c r="N119" s="35">
        <f t="shared" si="8"/>
        <v>970</v>
      </c>
      <c r="P119" s="31"/>
    </row>
    <row r="120" spans="1:16" s="36" customFormat="1" ht="42.75" customHeight="1">
      <c r="A120" s="32"/>
      <c r="B120" s="32"/>
      <c r="C120" s="32"/>
      <c r="D120" s="58" t="s">
        <v>312</v>
      </c>
      <c r="E120" s="58" t="s">
        <v>312</v>
      </c>
      <c r="F120" s="33"/>
      <c r="G120" s="26">
        <f t="shared" si="5"/>
        <v>0</v>
      </c>
      <c r="H120" s="33"/>
      <c r="I120" s="33"/>
      <c r="J120" s="26">
        <f t="shared" si="6"/>
        <v>0</v>
      </c>
      <c r="K120" s="9">
        <f>1980000-1780000</f>
        <v>200000</v>
      </c>
      <c r="L120" s="9"/>
      <c r="M120" s="34">
        <f t="shared" si="9"/>
        <v>200000</v>
      </c>
      <c r="N120" s="35">
        <f t="shared" si="8"/>
        <v>200</v>
      </c>
      <c r="P120" s="31"/>
    </row>
    <row r="121" spans="1:16" s="36" customFormat="1" ht="29.25" customHeight="1">
      <c r="A121" s="32"/>
      <c r="B121" s="32"/>
      <c r="C121" s="32"/>
      <c r="D121" s="72" t="s">
        <v>180</v>
      </c>
      <c r="E121" s="72" t="s">
        <v>180</v>
      </c>
      <c r="F121" s="33"/>
      <c r="G121" s="26">
        <f t="shared" si="5"/>
        <v>0</v>
      </c>
      <c r="H121" s="33"/>
      <c r="I121" s="33"/>
      <c r="J121" s="26">
        <f t="shared" si="6"/>
        <v>0</v>
      </c>
      <c r="K121" s="27">
        <f>SUM(K122:K131)</f>
        <v>1784500</v>
      </c>
      <c r="L121" s="27">
        <f>SUM(L122:L131)</f>
        <v>0</v>
      </c>
      <c r="M121" s="28">
        <f>SUM(M122:M131)</f>
        <v>1784500</v>
      </c>
      <c r="N121" s="29">
        <f>SUM(N122:N131)</f>
        <v>1784.5</v>
      </c>
      <c r="P121" s="31"/>
    </row>
    <row r="122" spans="1:16" s="36" customFormat="1" ht="32.25" customHeight="1">
      <c r="A122" s="32"/>
      <c r="B122" s="32"/>
      <c r="C122" s="32"/>
      <c r="D122" s="33" t="s">
        <v>458</v>
      </c>
      <c r="E122" s="33" t="s">
        <v>182</v>
      </c>
      <c r="F122" s="33"/>
      <c r="G122" s="26">
        <f t="shared" si="5"/>
        <v>0</v>
      </c>
      <c r="H122" s="33"/>
      <c r="I122" s="33"/>
      <c r="J122" s="26">
        <f t="shared" si="6"/>
        <v>0</v>
      </c>
      <c r="K122" s="9">
        <f>50000-15000+129000-2338</f>
        <v>161662</v>
      </c>
      <c r="L122" s="9"/>
      <c r="M122" s="34">
        <f aca="true" t="shared" si="10" ref="M122:M131">L122+K122</f>
        <v>161662</v>
      </c>
      <c r="N122" s="35">
        <f t="shared" si="8"/>
        <v>161.7</v>
      </c>
      <c r="P122" s="31"/>
    </row>
    <row r="123" spans="1:16" s="36" customFormat="1" ht="53.25" customHeight="1">
      <c r="A123" s="32"/>
      <c r="B123" s="32"/>
      <c r="C123" s="32"/>
      <c r="D123" s="33" t="s">
        <v>408</v>
      </c>
      <c r="E123" s="33" t="s">
        <v>408</v>
      </c>
      <c r="F123" s="33"/>
      <c r="G123" s="26">
        <f t="shared" si="5"/>
        <v>0</v>
      </c>
      <c r="H123" s="33"/>
      <c r="I123" s="33"/>
      <c r="J123" s="26">
        <f t="shared" si="6"/>
        <v>0</v>
      </c>
      <c r="K123" s="9">
        <f>10000+134003</f>
        <v>144003</v>
      </c>
      <c r="L123" s="9"/>
      <c r="M123" s="34">
        <f t="shared" si="10"/>
        <v>144003</v>
      </c>
      <c r="N123" s="35">
        <f t="shared" si="8"/>
        <v>144</v>
      </c>
      <c r="P123" s="31"/>
    </row>
    <row r="124" spans="1:16" s="36" customFormat="1" ht="51" customHeight="1">
      <c r="A124" s="32"/>
      <c r="B124" s="32"/>
      <c r="C124" s="32"/>
      <c r="D124" s="33" t="s">
        <v>407</v>
      </c>
      <c r="E124" s="33" t="s">
        <v>407</v>
      </c>
      <c r="F124" s="33"/>
      <c r="G124" s="26">
        <f t="shared" si="5"/>
        <v>0</v>
      </c>
      <c r="H124" s="33"/>
      <c r="I124" s="33"/>
      <c r="J124" s="26">
        <f t="shared" si="6"/>
        <v>0</v>
      </c>
      <c r="K124" s="9">
        <f>50000-15000-25000</f>
        <v>10000</v>
      </c>
      <c r="L124" s="9"/>
      <c r="M124" s="34">
        <f t="shared" si="10"/>
        <v>10000</v>
      </c>
      <c r="N124" s="35">
        <f t="shared" si="8"/>
        <v>10</v>
      </c>
      <c r="P124" s="31"/>
    </row>
    <row r="125" spans="1:16" s="36" customFormat="1" ht="48" customHeight="1">
      <c r="A125" s="32"/>
      <c r="B125" s="32"/>
      <c r="C125" s="32"/>
      <c r="D125" s="33" t="s">
        <v>410</v>
      </c>
      <c r="E125" s="33" t="s">
        <v>410</v>
      </c>
      <c r="F125" s="33"/>
      <c r="G125" s="26">
        <f t="shared" si="5"/>
        <v>0</v>
      </c>
      <c r="H125" s="33"/>
      <c r="I125" s="33"/>
      <c r="J125" s="26">
        <f t="shared" si="6"/>
        <v>0</v>
      </c>
      <c r="K125" s="9">
        <f>9550+208588</f>
        <v>218138</v>
      </c>
      <c r="L125" s="9"/>
      <c r="M125" s="34">
        <f t="shared" si="10"/>
        <v>218138</v>
      </c>
      <c r="N125" s="35">
        <f t="shared" si="8"/>
        <v>218.1</v>
      </c>
      <c r="P125" s="31"/>
    </row>
    <row r="126" spans="1:16" s="36" customFormat="1" ht="28.5" customHeight="1">
      <c r="A126" s="32"/>
      <c r="B126" s="32"/>
      <c r="C126" s="32"/>
      <c r="D126" s="33" t="s">
        <v>349</v>
      </c>
      <c r="E126" s="33" t="s">
        <v>349</v>
      </c>
      <c r="F126" s="33"/>
      <c r="G126" s="26">
        <f t="shared" si="5"/>
        <v>0</v>
      </c>
      <c r="H126" s="33"/>
      <c r="I126" s="33"/>
      <c r="J126" s="26">
        <f t="shared" si="6"/>
        <v>0</v>
      </c>
      <c r="K126" s="9">
        <f>111000-3008</f>
        <v>107992</v>
      </c>
      <c r="L126" s="9"/>
      <c r="M126" s="34">
        <f t="shared" si="10"/>
        <v>107992</v>
      </c>
      <c r="N126" s="35">
        <f t="shared" si="8"/>
        <v>108</v>
      </c>
      <c r="P126" s="31"/>
    </row>
    <row r="127" spans="1:16" s="36" customFormat="1" ht="49.5" customHeight="1">
      <c r="A127" s="32"/>
      <c r="B127" s="32"/>
      <c r="C127" s="32"/>
      <c r="D127" s="33" t="s">
        <v>411</v>
      </c>
      <c r="E127" s="33" t="s">
        <v>411</v>
      </c>
      <c r="F127" s="33"/>
      <c r="G127" s="26">
        <f t="shared" si="5"/>
        <v>0</v>
      </c>
      <c r="H127" s="33"/>
      <c r="I127" s="33"/>
      <c r="J127" s="26">
        <f t="shared" si="6"/>
        <v>0</v>
      </c>
      <c r="K127" s="9">
        <f>50000-15000-25450+134003</f>
        <v>143553</v>
      </c>
      <c r="L127" s="9"/>
      <c r="M127" s="34">
        <f t="shared" si="10"/>
        <v>143553</v>
      </c>
      <c r="N127" s="35">
        <f t="shared" si="8"/>
        <v>143.6</v>
      </c>
      <c r="P127" s="31"/>
    </row>
    <row r="128" spans="1:16" s="36" customFormat="1" ht="32.25" customHeight="1">
      <c r="A128" s="32"/>
      <c r="B128" s="32"/>
      <c r="C128" s="32"/>
      <c r="D128" s="33" t="s">
        <v>459</v>
      </c>
      <c r="E128" s="33" t="s">
        <v>181</v>
      </c>
      <c r="F128" s="33"/>
      <c r="G128" s="26">
        <f t="shared" si="5"/>
        <v>0</v>
      </c>
      <c r="H128" s="33"/>
      <c r="I128" s="33"/>
      <c r="J128" s="26">
        <f t="shared" si="6"/>
        <v>0</v>
      </c>
      <c r="K128" s="9">
        <v>123900</v>
      </c>
      <c r="L128" s="9"/>
      <c r="M128" s="34">
        <f t="shared" si="10"/>
        <v>123900</v>
      </c>
      <c r="N128" s="35">
        <f t="shared" si="8"/>
        <v>123.9</v>
      </c>
      <c r="P128" s="31"/>
    </row>
    <row r="129" spans="1:16" s="36" customFormat="1" ht="54" customHeight="1">
      <c r="A129" s="32"/>
      <c r="B129" s="32"/>
      <c r="C129" s="32"/>
      <c r="D129" s="33" t="s">
        <v>409</v>
      </c>
      <c r="E129" s="33" t="s">
        <v>409</v>
      </c>
      <c r="F129" s="33"/>
      <c r="G129" s="26">
        <f t="shared" si="5"/>
        <v>0</v>
      </c>
      <c r="H129" s="33"/>
      <c r="I129" s="33"/>
      <c r="J129" s="26">
        <f t="shared" si="6"/>
        <v>0</v>
      </c>
      <c r="K129" s="9">
        <f>33000-3000-20000</f>
        <v>10000</v>
      </c>
      <c r="L129" s="9"/>
      <c r="M129" s="34">
        <f t="shared" si="10"/>
        <v>10000</v>
      </c>
      <c r="N129" s="35">
        <f t="shared" si="8"/>
        <v>10</v>
      </c>
      <c r="P129" s="31"/>
    </row>
    <row r="130" spans="1:16" s="36" customFormat="1" ht="45.75" customHeight="1">
      <c r="A130" s="32"/>
      <c r="B130" s="32"/>
      <c r="C130" s="32"/>
      <c r="D130" s="33" t="s">
        <v>412</v>
      </c>
      <c r="E130" s="33" t="s">
        <v>412</v>
      </c>
      <c r="F130" s="33"/>
      <c r="G130" s="26">
        <f t="shared" si="5"/>
        <v>0</v>
      </c>
      <c r="H130" s="33"/>
      <c r="I130" s="33"/>
      <c r="J130" s="26">
        <f t="shared" si="6"/>
        <v>0</v>
      </c>
      <c r="K130" s="9">
        <f>48000+522252</f>
        <v>570252</v>
      </c>
      <c r="L130" s="9"/>
      <c r="M130" s="34">
        <f t="shared" si="10"/>
        <v>570252</v>
      </c>
      <c r="N130" s="35">
        <f>ROUND(M130/1000,1)-0.1</f>
        <v>570.1999999999999</v>
      </c>
      <c r="P130" s="31"/>
    </row>
    <row r="131" spans="1:16" s="36" customFormat="1" ht="42.75" customHeight="1">
      <c r="A131" s="32"/>
      <c r="B131" s="32"/>
      <c r="C131" s="32"/>
      <c r="D131" s="33" t="s">
        <v>291</v>
      </c>
      <c r="E131" s="33" t="s">
        <v>291</v>
      </c>
      <c r="F131" s="33"/>
      <c r="G131" s="26">
        <f t="shared" si="5"/>
        <v>0</v>
      </c>
      <c r="H131" s="33"/>
      <c r="I131" s="33"/>
      <c r="J131" s="26">
        <f t="shared" si="6"/>
        <v>0</v>
      </c>
      <c r="K131" s="9">
        <v>295000</v>
      </c>
      <c r="L131" s="9"/>
      <c r="M131" s="34">
        <f t="shared" si="10"/>
        <v>295000</v>
      </c>
      <c r="N131" s="35">
        <f t="shared" si="8"/>
        <v>295</v>
      </c>
      <c r="P131" s="31"/>
    </row>
    <row r="132" spans="1:16" s="36" customFormat="1" ht="24.75" customHeight="1">
      <c r="A132" s="32"/>
      <c r="B132" s="32"/>
      <c r="C132" s="32"/>
      <c r="D132" s="3" t="s">
        <v>208</v>
      </c>
      <c r="E132" s="3" t="s">
        <v>208</v>
      </c>
      <c r="F132" s="33"/>
      <c r="G132" s="26">
        <f t="shared" si="5"/>
        <v>0</v>
      </c>
      <c r="H132" s="33"/>
      <c r="I132" s="33"/>
      <c r="J132" s="26">
        <f t="shared" si="6"/>
        <v>0</v>
      </c>
      <c r="K132" s="27">
        <f>SUM(K133:K139)</f>
        <v>17292334</v>
      </c>
      <c r="L132" s="27">
        <f>SUM(L133:L139)</f>
        <v>0</v>
      </c>
      <c r="M132" s="28">
        <f>SUM(M133:M139)</f>
        <v>17292334</v>
      </c>
      <c r="N132" s="29">
        <f>SUM(N133:N139)</f>
        <v>17292.3</v>
      </c>
      <c r="P132" s="31"/>
    </row>
    <row r="133" spans="1:16" s="36" customFormat="1" ht="36.75" customHeight="1">
      <c r="A133" s="32"/>
      <c r="B133" s="32"/>
      <c r="C133" s="32"/>
      <c r="D133" s="33" t="s">
        <v>178</v>
      </c>
      <c r="E133" s="33" t="s">
        <v>178</v>
      </c>
      <c r="F133" s="33"/>
      <c r="G133" s="26">
        <f t="shared" si="5"/>
        <v>0</v>
      </c>
      <c r="H133" s="33"/>
      <c r="I133" s="33"/>
      <c r="J133" s="26">
        <f t="shared" si="6"/>
        <v>0</v>
      </c>
      <c r="K133" s="9">
        <f>250000-22297</f>
        <v>227703</v>
      </c>
      <c r="L133" s="9"/>
      <c r="M133" s="34">
        <f aca="true" t="shared" si="11" ref="M133:M139">L133+K133</f>
        <v>227703</v>
      </c>
      <c r="N133" s="35">
        <f t="shared" si="8"/>
        <v>227.7</v>
      </c>
      <c r="P133" s="31"/>
    </row>
    <row r="134" spans="1:16" s="36" customFormat="1" ht="63.75" customHeight="1">
      <c r="A134" s="32"/>
      <c r="B134" s="32"/>
      <c r="C134" s="32"/>
      <c r="D134" s="33" t="s">
        <v>300</v>
      </c>
      <c r="E134" s="33" t="s">
        <v>300</v>
      </c>
      <c r="F134" s="33"/>
      <c r="G134" s="26">
        <f t="shared" si="5"/>
        <v>0</v>
      </c>
      <c r="H134" s="33"/>
      <c r="I134" s="33"/>
      <c r="J134" s="26">
        <f t="shared" si="6"/>
        <v>0</v>
      </c>
      <c r="K134" s="9">
        <f>250000-71</f>
        <v>249929</v>
      </c>
      <c r="L134" s="9"/>
      <c r="M134" s="34">
        <f t="shared" si="11"/>
        <v>249929</v>
      </c>
      <c r="N134" s="35">
        <f t="shared" si="8"/>
        <v>249.9</v>
      </c>
      <c r="P134" s="31"/>
    </row>
    <row r="135" spans="1:16" s="36" customFormat="1" ht="45.75" customHeight="1">
      <c r="A135" s="32"/>
      <c r="B135" s="32"/>
      <c r="C135" s="32"/>
      <c r="D135" s="33" t="s">
        <v>301</v>
      </c>
      <c r="E135" s="33" t="s">
        <v>301</v>
      </c>
      <c r="F135" s="33"/>
      <c r="G135" s="26">
        <f t="shared" si="5"/>
        <v>0</v>
      </c>
      <c r="H135" s="33"/>
      <c r="I135" s="33"/>
      <c r="J135" s="26">
        <f t="shared" si="6"/>
        <v>0</v>
      </c>
      <c r="K135" s="9">
        <f>240000-2337</f>
        <v>237663</v>
      </c>
      <c r="L135" s="9"/>
      <c r="M135" s="34">
        <f t="shared" si="11"/>
        <v>237663</v>
      </c>
      <c r="N135" s="35">
        <f t="shared" si="8"/>
        <v>237.7</v>
      </c>
      <c r="P135" s="31"/>
    </row>
    <row r="136" spans="1:16" s="36" customFormat="1" ht="47.25" customHeight="1">
      <c r="A136" s="32"/>
      <c r="B136" s="32"/>
      <c r="C136" s="32"/>
      <c r="D136" s="33" t="s">
        <v>302</v>
      </c>
      <c r="E136" s="33" t="s">
        <v>302</v>
      </c>
      <c r="F136" s="33"/>
      <c r="G136" s="26">
        <f t="shared" si="5"/>
        <v>0</v>
      </c>
      <c r="H136" s="33"/>
      <c r="I136" s="33"/>
      <c r="J136" s="26">
        <f t="shared" si="6"/>
        <v>0</v>
      </c>
      <c r="K136" s="9">
        <f>240000-23491</f>
        <v>216509</v>
      </c>
      <c r="L136" s="9"/>
      <c r="M136" s="34">
        <f t="shared" si="11"/>
        <v>216509</v>
      </c>
      <c r="N136" s="35">
        <f t="shared" si="8"/>
        <v>216.5</v>
      </c>
      <c r="P136" s="31"/>
    </row>
    <row r="137" spans="1:16" s="36" customFormat="1" ht="41.25" customHeight="1">
      <c r="A137" s="32"/>
      <c r="B137" s="32"/>
      <c r="C137" s="32"/>
      <c r="D137" s="33" t="s">
        <v>366</v>
      </c>
      <c r="E137" s="33" t="s">
        <v>366</v>
      </c>
      <c r="F137" s="33"/>
      <c r="G137" s="26">
        <f t="shared" si="5"/>
        <v>0</v>
      </c>
      <c r="H137" s="33"/>
      <c r="I137" s="33"/>
      <c r="J137" s="26">
        <f t="shared" si="6"/>
        <v>0</v>
      </c>
      <c r="K137" s="9">
        <f>14991530-100000</f>
        <v>14891530</v>
      </c>
      <c r="L137" s="9"/>
      <c r="M137" s="34">
        <f t="shared" si="11"/>
        <v>14891530</v>
      </c>
      <c r="N137" s="35">
        <f t="shared" si="8"/>
        <v>14891.5</v>
      </c>
      <c r="P137" s="31"/>
    </row>
    <row r="138" spans="1:16" s="36" customFormat="1" ht="31.5" customHeight="1">
      <c r="A138" s="32"/>
      <c r="B138" s="32"/>
      <c r="C138" s="32"/>
      <c r="D138" s="33" t="s">
        <v>364</v>
      </c>
      <c r="E138" s="33" t="s">
        <v>364</v>
      </c>
      <c r="F138" s="33"/>
      <c r="G138" s="26">
        <f t="shared" si="5"/>
        <v>0</v>
      </c>
      <c r="H138" s="33"/>
      <c r="I138" s="33"/>
      <c r="J138" s="26">
        <f t="shared" si="6"/>
        <v>0</v>
      </c>
      <c r="K138" s="9">
        <f>200000+1000000</f>
        <v>1200000</v>
      </c>
      <c r="L138" s="9"/>
      <c r="M138" s="34">
        <f t="shared" si="11"/>
        <v>1200000</v>
      </c>
      <c r="N138" s="35">
        <f t="shared" si="8"/>
        <v>1200</v>
      </c>
      <c r="P138" s="31"/>
    </row>
    <row r="139" spans="1:16" s="36" customFormat="1" ht="33.75" customHeight="1">
      <c r="A139" s="32"/>
      <c r="B139" s="32"/>
      <c r="C139" s="32"/>
      <c r="D139" s="33" t="s">
        <v>309</v>
      </c>
      <c r="E139" s="33" t="s">
        <v>309</v>
      </c>
      <c r="F139" s="33"/>
      <c r="G139" s="26">
        <f t="shared" si="5"/>
        <v>0</v>
      </c>
      <c r="H139" s="33"/>
      <c r="I139" s="33"/>
      <c r="J139" s="26">
        <f t="shared" si="6"/>
        <v>0</v>
      </c>
      <c r="K139" s="9">
        <v>269000</v>
      </c>
      <c r="L139" s="9"/>
      <c r="M139" s="34">
        <f t="shared" si="11"/>
        <v>269000</v>
      </c>
      <c r="N139" s="35">
        <f t="shared" si="8"/>
        <v>269</v>
      </c>
      <c r="P139" s="31"/>
    </row>
    <row r="140" spans="1:16" s="36" customFormat="1" ht="28.5" customHeight="1">
      <c r="A140" s="32"/>
      <c r="B140" s="32"/>
      <c r="C140" s="32"/>
      <c r="D140" s="3" t="s">
        <v>422</v>
      </c>
      <c r="E140" s="3" t="s">
        <v>422</v>
      </c>
      <c r="F140" s="33"/>
      <c r="G140" s="26">
        <f t="shared" si="5"/>
        <v>0</v>
      </c>
      <c r="H140" s="33"/>
      <c r="I140" s="33"/>
      <c r="J140" s="26">
        <f t="shared" si="6"/>
        <v>0</v>
      </c>
      <c r="K140" s="27">
        <f>K141</f>
        <v>2887850.13</v>
      </c>
      <c r="L140" s="27">
        <f>L141</f>
        <v>0</v>
      </c>
      <c r="M140" s="28">
        <f>M141</f>
        <v>2887850.13</v>
      </c>
      <c r="N140" s="29">
        <f>N141</f>
        <v>2887.9</v>
      </c>
      <c r="P140" s="31"/>
    </row>
    <row r="141" spans="1:16" s="36" customFormat="1" ht="54" customHeight="1">
      <c r="A141" s="32"/>
      <c r="B141" s="32"/>
      <c r="C141" s="32"/>
      <c r="D141" s="33" t="s">
        <v>264</v>
      </c>
      <c r="E141" s="33" t="s">
        <v>264</v>
      </c>
      <c r="F141" s="33"/>
      <c r="G141" s="26">
        <f t="shared" si="5"/>
        <v>0</v>
      </c>
      <c r="H141" s="33"/>
      <c r="I141" s="33"/>
      <c r="J141" s="26">
        <f t="shared" si="6"/>
        <v>0</v>
      </c>
      <c r="K141" s="9">
        <v>2887850.13</v>
      </c>
      <c r="L141" s="9"/>
      <c r="M141" s="34">
        <f>L141+K141</f>
        <v>2887850.13</v>
      </c>
      <c r="N141" s="35">
        <f t="shared" si="8"/>
        <v>2887.9</v>
      </c>
      <c r="P141" s="31"/>
    </row>
    <row r="142" spans="1:16" s="36" customFormat="1" ht="67.5" customHeight="1">
      <c r="A142" s="32" t="s">
        <v>132</v>
      </c>
      <c r="B142" s="32" t="s">
        <v>133</v>
      </c>
      <c r="C142" s="32" t="s">
        <v>49</v>
      </c>
      <c r="D142" s="3" t="s">
        <v>460</v>
      </c>
      <c r="E142" s="33"/>
      <c r="F142" s="33"/>
      <c r="G142" s="26">
        <f t="shared" si="5"/>
        <v>0</v>
      </c>
      <c r="H142" s="33"/>
      <c r="I142" s="33"/>
      <c r="J142" s="26">
        <f t="shared" si="6"/>
        <v>0</v>
      </c>
      <c r="K142" s="27">
        <f>K143+K149</f>
        <v>6498315</v>
      </c>
      <c r="L142" s="27">
        <f>L143+L149</f>
        <v>0</v>
      </c>
      <c r="M142" s="28">
        <f>M143+M149</f>
        <v>6498315</v>
      </c>
      <c r="N142" s="29">
        <f>N143+N149</f>
        <v>6498.3</v>
      </c>
      <c r="P142" s="31"/>
    </row>
    <row r="143" spans="1:16" s="36" customFormat="1" ht="22.5" customHeight="1">
      <c r="A143" s="32"/>
      <c r="B143" s="32"/>
      <c r="C143" s="32"/>
      <c r="D143" s="72" t="s">
        <v>138</v>
      </c>
      <c r="E143" s="72" t="s">
        <v>138</v>
      </c>
      <c r="F143" s="33"/>
      <c r="G143" s="26">
        <f aca="true" t="shared" si="12" ref="G143:G206">ROUND(F143/1000,1)</f>
        <v>0</v>
      </c>
      <c r="H143" s="33"/>
      <c r="I143" s="33"/>
      <c r="J143" s="26">
        <f aca="true" t="shared" si="13" ref="J143:J206">ROUND(I143/1000,1)</f>
        <v>0</v>
      </c>
      <c r="K143" s="27">
        <f>K144+K145+K146+K148+K147</f>
        <v>3659785</v>
      </c>
      <c r="L143" s="27">
        <f>L144+L145+L146+L148+L147</f>
        <v>0</v>
      </c>
      <c r="M143" s="28">
        <f>M144+M145+M146+M148+M147</f>
        <v>3659785</v>
      </c>
      <c r="N143" s="29">
        <f>N144+N145+N146+N148+N147</f>
        <v>3659.8</v>
      </c>
      <c r="P143" s="31"/>
    </row>
    <row r="144" spans="1:16" s="36" customFormat="1" ht="33.75" customHeight="1">
      <c r="A144" s="32"/>
      <c r="B144" s="32"/>
      <c r="C144" s="32"/>
      <c r="D144" s="33" t="s">
        <v>461</v>
      </c>
      <c r="E144" s="33" t="s">
        <v>204</v>
      </c>
      <c r="F144" s="33"/>
      <c r="G144" s="26">
        <f t="shared" si="12"/>
        <v>0</v>
      </c>
      <c r="H144" s="33"/>
      <c r="I144" s="33"/>
      <c r="J144" s="26">
        <f t="shared" si="13"/>
        <v>0</v>
      </c>
      <c r="K144" s="9">
        <f>335000-191961</f>
        <v>143039</v>
      </c>
      <c r="L144" s="9"/>
      <c r="M144" s="34">
        <f>L144+K144</f>
        <v>143039</v>
      </c>
      <c r="N144" s="35">
        <f aca="true" t="shared" si="14" ref="N144:N205">ROUND(M144/1000,1)</f>
        <v>143</v>
      </c>
      <c r="P144" s="31"/>
    </row>
    <row r="145" spans="1:16" s="36" customFormat="1" ht="27.75" customHeight="1">
      <c r="A145" s="32"/>
      <c r="B145" s="32"/>
      <c r="C145" s="32"/>
      <c r="D145" s="33" t="s">
        <v>462</v>
      </c>
      <c r="E145" s="33" t="s">
        <v>207</v>
      </c>
      <c r="F145" s="33"/>
      <c r="G145" s="26">
        <f t="shared" si="12"/>
        <v>0</v>
      </c>
      <c r="H145" s="33"/>
      <c r="I145" s="33"/>
      <c r="J145" s="26">
        <f t="shared" si="13"/>
        <v>0</v>
      </c>
      <c r="K145" s="9">
        <f>3000000-589933</f>
        <v>2410067</v>
      </c>
      <c r="L145" s="9"/>
      <c r="M145" s="34">
        <f>L145+K145</f>
        <v>2410067</v>
      </c>
      <c r="N145" s="35">
        <f t="shared" si="14"/>
        <v>2410.1</v>
      </c>
      <c r="P145" s="31"/>
    </row>
    <row r="146" spans="1:16" s="36" customFormat="1" ht="27.75" customHeight="1">
      <c r="A146" s="32"/>
      <c r="B146" s="32"/>
      <c r="C146" s="32"/>
      <c r="D146" s="33" t="s">
        <v>216</v>
      </c>
      <c r="E146" s="33" t="s">
        <v>216</v>
      </c>
      <c r="F146" s="33"/>
      <c r="G146" s="26">
        <f t="shared" si="12"/>
        <v>0</v>
      </c>
      <c r="H146" s="33"/>
      <c r="I146" s="33"/>
      <c r="J146" s="26">
        <f t="shared" si="13"/>
        <v>0</v>
      </c>
      <c r="K146" s="9">
        <v>376800</v>
      </c>
      <c r="L146" s="9"/>
      <c r="M146" s="34">
        <f>L146+K146</f>
        <v>376800</v>
      </c>
      <c r="N146" s="35">
        <f t="shared" si="14"/>
        <v>376.8</v>
      </c>
      <c r="P146" s="31"/>
    </row>
    <row r="147" spans="1:16" s="36" customFormat="1" ht="31.5" customHeight="1">
      <c r="A147" s="32"/>
      <c r="B147" s="32"/>
      <c r="C147" s="32"/>
      <c r="D147" s="33" t="s">
        <v>396</v>
      </c>
      <c r="E147" s="33" t="s">
        <v>396</v>
      </c>
      <c r="F147" s="33"/>
      <c r="G147" s="26">
        <f t="shared" si="12"/>
        <v>0</v>
      </c>
      <c r="H147" s="33"/>
      <c r="I147" s="33"/>
      <c r="J147" s="26">
        <f t="shared" si="13"/>
        <v>0</v>
      </c>
      <c r="K147" s="9">
        <v>30000</v>
      </c>
      <c r="L147" s="9"/>
      <c r="M147" s="34">
        <f>L147+K147</f>
        <v>30000</v>
      </c>
      <c r="N147" s="35">
        <f t="shared" si="14"/>
        <v>30</v>
      </c>
      <c r="P147" s="31"/>
    </row>
    <row r="148" spans="1:16" s="36" customFormat="1" ht="66" customHeight="1">
      <c r="A148" s="32"/>
      <c r="B148" s="32"/>
      <c r="C148" s="32"/>
      <c r="D148" s="33" t="s">
        <v>313</v>
      </c>
      <c r="E148" s="33" t="s">
        <v>313</v>
      </c>
      <c r="F148" s="33"/>
      <c r="G148" s="26">
        <f t="shared" si="12"/>
        <v>0</v>
      </c>
      <c r="H148" s="33"/>
      <c r="I148" s="33"/>
      <c r="J148" s="26">
        <f t="shared" si="13"/>
        <v>0</v>
      </c>
      <c r="K148" s="9">
        <f>700000-121</f>
        <v>699879</v>
      </c>
      <c r="L148" s="9"/>
      <c r="M148" s="34">
        <f>L148+K148</f>
        <v>699879</v>
      </c>
      <c r="N148" s="35">
        <f t="shared" si="14"/>
        <v>699.9</v>
      </c>
      <c r="P148" s="31"/>
    </row>
    <row r="149" spans="1:16" s="36" customFormat="1" ht="28.5" customHeight="1">
      <c r="A149" s="32"/>
      <c r="B149" s="32"/>
      <c r="C149" s="32"/>
      <c r="D149" s="3" t="s">
        <v>141</v>
      </c>
      <c r="E149" s="3" t="s">
        <v>141</v>
      </c>
      <c r="F149" s="33"/>
      <c r="G149" s="26">
        <f t="shared" si="12"/>
        <v>0</v>
      </c>
      <c r="H149" s="33"/>
      <c r="I149" s="33"/>
      <c r="J149" s="26">
        <f t="shared" si="13"/>
        <v>0</v>
      </c>
      <c r="K149" s="27">
        <f>K150+K152+K151</f>
        <v>2838530</v>
      </c>
      <c r="L149" s="27">
        <f>L150+L152+L151</f>
        <v>0</v>
      </c>
      <c r="M149" s="28">
        <f>M150+M152+M151</f>
        <v>2838530</v>
      </c>
      <c r="N149" s="29">
        <f>N150+N152+N151</f>
        <v>2838.5</v>
      </c>
      <c r="P149" s="31"/>
    </row>
    <row r="150" spans="1:16" s="36" customFormat="1" ht="53.25" customHeight="1">
      <c r="A150" s="32"/>
      <c r="B150" s="32"/>
      <c r="C150" s="32"/>
      <c r="D150" s="33" t="s">
        <v>205</v>
      </c>
      <c r="E150" s="33" t="s">
        <v>205</v>
      </c>
      <c r="F150" s="33"/>
      <c r="G150" s="26">
        <f t="shared" si="12"/>
        <v>0</v>
      </c>
      <c r="H150" s="33"/>
      <c r="I150" s="33"/>
      <c r="J150" s="26">
        <f t="shared" si="13"/>
        <v>0</v>
      </c>
      <c r="K150" s="9">
        <f>1185530-94000</f>
        <v>1091530</v>
      </c>
      <c r="L150" s="9"/>
      <c r="M150" s="34">
        <f>L150+K150</f>
        <v>1091530</v>
      </c>
      <c r="N150" s="35">
        <f t="shared" si="14"/>
        <v>1091.5</v>
      </c>
      <c r="P150" s="31"/>
    </row>
    <row r="151" spans="1:16" s="36" customFormat="1" ht="48" customHeight="1">
      <c r="A151" s="32"/>
      <c r="B151" s="32"/>
      <c r="C151" s="32"/>
      <c r="D151" s="33" t="s">
        <v>406</v>
      </c>
      <c r="E151" s="33" t="s">
        <v>406</v>
      </c>
      <c r="F151" s="33"/>
      <c r="G151" s="26">
        <f t="shared" si="12"/>
        <v>0</v>
      </c>
      <c r="H151" s="33"/>
      <c r="I151" s="33"/>
      <c r="J151" s="26">
        <f t="shared" si="13"/>
        <v>0</v>
      </c>
      <c r="K151" s="9">
        <v>1497000</v>
      </c>
      <c r="L151" s="9"/>
      <c r="M151" s="34">
        <f>L151+K151</f>
        <v>1497000</v>
      </c>
      <c r="N151" s="35">
        <f t="shared" si="14"/>
        <v>1497</v>
      </c>
      <c r="P151" s="31"/>
    </row>
    <row r="152" spans="1:16" s="36" customFormat="1" ht="24" customHeight="1">
      <c r="A152" s="32"/>
      <c r="B152" s="32"/>
      <c r="C152" s="32"/>
      <c r="D152" s="33" t="s">
        <v>206</v>
      </c>
      <c r="E152" s="33" t="s">
        <v>206</v>
      </c>
      <c r="F152" s="33"/>
      <c r="G152" s="26">
        <f t="shared" si="12"/>
        <v>0</v>
      </c>
      <c r="H152" s="33"/>
      <c r="I152" s="33"/>
      <c r="J152" s="26">
        <f t="shared" si="13"/>
        <v>0</v>
      </c>
      <c r="K152" s="9">
        <v>250000</v>
      </c>
      <c r="L152" s="9"/>
      <c r="M152" s="34">
        <f>L152+K152</f>
        <v>250000</v>
      </c>
      <c r="N152" s="35">
        <f t="shared" si="14"/>
        <v>250</v>
      </c>
      <c r="P152" s="31"/>
    </row>
    <row r="153" spans="1:16" s="30" customFormat="1" ht="36.75" customHeight="1">
      <c r="A153" s="24" t="s">
        <v>107</v>
      </c>
      <c r="B153" s="24" t="s">
        <v>66</v>
      </c>
      <c r="C153" s="24" t="s">
        <v>49</v>
      </c>
      <c r="D153" s="25" t="s">
        <v>463</v>
      </c>
      <c r="E153" s="25"/>
      <c r="F153" s="73"/>
      <c r="G153" s="26">
        <f t="shared" si="12"/>
        <v>0</v>
      </c>
      <c r="H153" s="73"/>
      <c r="I153" s="73"/>
      <c r="J153" s="26">
        <f t="shared" si="13"/>
        <v>0</v>
      </c>
      <c r="K153" s="27">
        <f>K154+K155</f>
        <v>2253802</v>
      </c>
      <c r="L153" s="27">
        <f>L154+L155</f>
        <v>0</v>
      </c>
      <c r="M153" s="28">
        <f>M154+M155</f>
        <v>2253802</v>
      </c>
      <c r="N153" s="29">
        <f>N154+N155</f>
        <v>2253.8</v>
      </c>
      <c r="P153" s="31"/>
    </row>
    <row r="154" spans="1:16" s="47" customFormat="1" ht="34.5" customHeight="1">
      <c r="A154" s="38"/>
      <c r="B154" s="38"/>
      <c r="C154" s="38"/>
      <c r="D154" s="57" t="s">
        <v>172</v>
      </c>
      <c r="E154" s="57" t="s">
        <v>172</v>
      </c>
      <c r="F154" s="74"/>
      <c r="G154" s="26">
        <f t="shared" si="12"/>
        <v>0</v>
      </c>
      <c r="H154" s="74"/>
      <c r="I154" s="74"/>
      <c r="J154" s="26">
        <f t="shared" si="13"/>
        <v>0</v>
      </c>
      <c r="K154" s="41">
        <v>253802</v>
      </c>
      <c r="L154" s="41"/>
      <c r="M154" s="42">
        <f>L154+K154</f>
        <v>253802</v>
      </c>
      <c r="N154" s="43">
        <f t="shared" si="14"/>
        <v>253.8</v>
      </c>
      <c r="P154" s="31"/>
    </row>
    <row r="155" spans="1:16" s="47" customFormat="1" ht="42" customHeight="1">
      <c r="A155" s="38"/>
      <c r="B155" s="38"/>
      <c r="C155" s="38"/>
      <c r="D155" s="57" t="s">
        <v>183</v>
      </c>
      <c r="E155" s="57" t="s">
        <v>183</v>
      </c>
      <c r="F155" s="74"/>
      <c r="G155" s="26">
        <f t="shared" si="12"/>
        <v>0</v>
      </c>
      <c r="H155" s="74"/>
      <c r="I155" s="74"/>
      <c r="J155" s="26">
        <f t="shared" si="13"/>
        <v>0</v>
      </c>
      <c r="K155" s="41">
        <f>2000000</f>
        <v>2000000</v>
      </c>
      <c r="L155" s="41">
        <f>1000000-1000000</f>
        <v>0</v>
      </c>
      <c r="M155" s="42">
        <f>L155+K155</f>
        <v>2000000</v>
      </c>
      <c r="N155" s="43">
        <f t="shared" si="14"/>
        <v>2000</v>
      </c>
      <c r="P155" s="31"/>
    </row>
    <row r="156" spans="1:16" s="30" customFormat="1" ht="33" customHeight="1">
      <c r="A156" s="24" t="s">
        <v>258</v>
      </c>
      <c r="B156" s="24" t="s">
        <v>256</v>
      </c>
      <c r="C156" s="24"/>
      <c r="D156" s="25" t="s">
        <v>445</v>
      </c>
      <c r="E156" s="25"/>
      <c r="F156" s="73"/>
      <c r="G156" s="26">
        <f t="shared" si="12"/>
        <v>0</v>
      </c>
      <c r="H156" s="73"/>
      <c r="I156" s="73"/>
      <c r="J156" s="26">
        <f t="shared" si="13"/>
        <v>0</v>
      </c>
      <c r="K156" s="75">
        <f>SUM(K159)+K157</f>
        <v>11512962.46</v>
      </c>
      <c r="L156" s="75">
        <f>SUM(L159)+L157</f>
        <v>0</v>
      </c>
      <c r="M156" s="76">
        <f>SUM(M159)+M157</f>
        <v>11512962.46</v>
      </c>
      <c r="N156" s="29">
        <f>SUM(N159)+N157</f>
        <v>11512.9</v>
      </c>
      <c r="P156" s="31"/>
    </row>
    <row r="157" spans="1:16" s="36" customFormat="1" ht="47.25" customHeight="1">
      <c r="A157" s="49" t="s">
        <v>265</v>
      </c>
      <c r="B157" s="49" t="s">
        <v>266</v>
      </c>
      <c r="C157" s="38" t="s">
        <v>44</v>
      </c>
      <c r="D157" s="39" t="s">
        <v>267</v>
      </c>
      <c r="E157" s="57"/>
      <c r="F157" s="77"/>
      <c r="G157" s="26">
        <f t="shared" si="12"/>
        <v>0</v>
      </c>
      <c r="H157" s="77"/>
      <c r="I157" s="77"/>
      <c r="J157" s="26">
        <f t="shared" si="13"/>
        <v>0</v>
      </c>
      <c r="K157" s="62">
        <f>K158</f>
        <v>426739</v>
      </c>
      <c r="L157" s="62"/>
      <c r="M157" s="63">
        <f>L157+K157</f>
        <v>426739</v>
      </c>
      <c r="N157" s="43">
        <f t="shared" si="14"/>
        <v>426.7</v>
      </c>
      <c r="P157" s="31"/>
    </row>
    <row r="158" spans="1:16" s="36" customFormat="1" ht="65.25" customHeight="1">
      <c r="A158" s="49"/>
      <c r="B158" s="49"/>
      <c r="C158" s="32"/>
      <c r="D158" s="50" t="s">
        <v>355</v>
      </c>
      <c r="E158" s="50" t="s">
        <v>355</v>
      </c>
      <c r="F158" s="77"/>
      <c r="G158" s="26">
        <f t="shared" si="12"/>
        <v>0</v>
      </c>
      <c r="H158" s="77"/>
      <c r="I158" s="77"/>
      <c r="J158" s="26">
        <f t="shared" si="13"/>
        <v>0</v>
      </c>
      <c r="K158" s="59">
        <v>426739</v>
      </c>
      <c r="L158" s="59"/>
      <c r="M158" s="60">
        <f>L158+K158</f>
        <v>426739</v>
      </c>
      <c r="N158" s="35">
        <f t="shared" si="14"/>
        <v>426.7</v>
      </c>
      <c r="P158" s="31"/>
    </row>
    <row r="159" spans="1:16" s="47" customFormat="1" ht="50.25" customHeight="1">
      <c r="A159" s="38" t="s">
        <v>257</v>
      </c>
      <c r="B159" s="38" t="s">
        <v>263</v>
      </c>
      <c r="C159" s="38" t="s">
        <v>44</v>
      </c>
      <c r="D159" s="57" t="s">
        <v>254</v>
      </c>
      <c r="E159" s="57"/>
      <c r="F159" s="74"/>
      <c r="G159" s="26">
        <f t="shared" si="12"/>
        <v>0</v>
      </c>
      <c r="H159" s="74"/>
      <c r="I159" s="74"/>
      <c r="J159" s="26">
        <f t="shared" si="13"/>
        <v>0</v>
      </c>
      <c r="K159" s="62">
        <f>K161+K165+K169+K167+K163</f>
        <v>11086223.46</v>
      </c>
      <c r="L159" s="62">
        <f>L161+L165+L169+L167+L163</f>
        <v>0</v>
      </c>
      <c r="M159" s="63">
        <f>M161+M165+M169+M167+M163</f>
        <v>11086223.46</v>
      </c>
      <c r="N159" s="78">
        <f>N161+N165+N169+N167+N163</f>
        <v>11086.199999999999</v>
      </c>
      <c r="P159" s="31"/>
    </row>
    <row r="160" spans="1:16" s="47" customFormat="1" ht="20.25">
      <c r="A160" s="38"/>
      <c r="B160" s="38"/>
      <c r="C160" s="38"/>
      <c r="D160" s="39" t="s">
        <v>413</v>
      </c>
      <c r="E160" s="39"/>
      <c r="F160" s="39"/>
      <c r="G160" s="26">
        <f t="shared" si="12"/>
        <v>0</v>
      </c>
      <c r="H160" s="39"/>
      <c r="I160" s="39"/>
      <c r="J160" s="26">
        <f t="shared" si="13"/>
        <v>0</v>
      </c>
      <c r="K160" s="41">
        <f>K162+K164+K166+K168+K170</f>
        <v>4242868.85</v>
      </c>
      <c r="L160" s="41">
        <f>L162+L164+L166+L168+L170</f>
        <v>0</v>
      </c>
      <c r="M160" s="42">
        <f>L160+K160</f>
        <v>4242868.85</v>
      </c>
      <c r="N160" s="43">
        <f t="shared" si="14"/>
        <v>4242.9</v>
      </c>
      <c r="P160" s="31"/>
    </row>
    <row r="161" spans="1:16" s="47" customFormat="1" ht="24.75" customHeight="1">
      <c r="A161" s="38"/>
      <c r="B161" s="38"/>
      <c r="C161" s="38"/>
      <c r="D161" s="50" t="s">
        <v>383</v>
      </c>
      <c r="E161" s="50" t="s">
        <v>383</v>
      </c>
      <c r="F161" s="77"/>
      <c r="G161" s="26">
        <f t="shared" si="12"/>
        <v>0</v>
      </c>
      <c r="H161" s="77"/>
      <c r="I161" s="77"/>
      <c r="J161" s="26">
        <f t="shared" si="13"/>
        <v>0</v>
      </c>
      <c r="K161" s="59">
        <f>1721222.85+200000</f>
        <v>1921222.85</v>
      </c>
      <c r="L161" s="59"/>
      <c r="M161" s="60">
        <f>K161+L161</f>
        <v>1921222.85</v>
      </c>
      <c r="N161" s="35">
        <f t="shared" si="14"/>
        <v>1921.2</v>
      </c>
      <c r="P161" s="31"/>
    </row>
    <row r="162" spans="1:16" s="47" customFormat="1" ht="21" customHeight="1">
      <c r="A162" s="38"/>
      <c r="B162" s="38"/>
      <c r="C162" s="38"/>
      <c r="D162" s="39" t="s">
        <v>413</v>
      </c>
      <c r="E162" s="39"/>
      <c r="F162" s="39"/>
      <c r="G162" s="26">
        <f t="shared" si="12"/>
        <v>0</v>
      </c>
      <c r="H162" s="39"/>
      <c r="I162" s="39"/>
      <c r="J162" s="26">
        <f t="shared" si="13"/>
        <v>0</v>
      </c>
      <c r="K162" s="41">
        <v>1674292.46</v>
      </c>
      <c r="L162" s="41"/>
      <c r="M162" s="42">
        <f>L162+K162</f>
        <v>1674292.46</v>
      </c>
      <c r="N162" s="43">
        <f t="shared" si="14"/>
        <v>1674.3</v>
      </c>
      <c r="P162" s="31"/>
    </row>
    <row r="163" spans="1:16" s="47" customFormat="1" ht="48.75" customHeight="1">
      <c r="A163" s="38"/>
      <c r="B163" s="38"/>
      <c r="C163" s="38"/>
      <c r="D163" s="50" t="s">
        <v>386</v>
      </c>
      <c r="E163" s="50" t="s">
        <v>386</v>
      </c>
      <c r="F163" s="77"/>
      <c r="G163" s="26">
        <f t="shared" si="12"/>
        <v>0</v>
      </c>
      <c r="H163" s="77"/>
      <c r="I163" s="77"/>
      <c r="J163" s="26">
        <f t="shared" si="13"/>
        <v>0</v>
      </c>
      <c r="K163" s="59">
        <v>978500</v>
      </c>
      <c r="L163" s="59"/>
      <c r="M163" s="60">
        <f>K163+L163</f>
        <v>978500</v>
      </c>
      <c r="N163" s="35">
        <f t="shared" si="14"/>
        <v>978.5</v>
      </c>
      <c r="P163" s="31"/>
    </row>
    <row r="164" spans="1:16" s="47" customFormat="1" ht="22.5" customHeight="1">
      <c r="A164" s="38"/>
      <c r="B164" s="38"/>
      <c r="C164" s="38"/>
      <c r="D164" s="39" t="s">
        <v>413</v>
      </c>
      <c r="E164" s="39"/>
      <c r="F164" s="39"/>
      <c r="G164" s="26">
        <f t="shared" si="12"/>
        <v>0</v>
      </c>
      <c r="H164" s="39"/>
      <c r="I164" s="39"/>
      <c r="J164" s="26">
        <f t="shared" si="13"/>
        <v>0</v>
      </c>
      <c r="K164" s="41">
        <v>950000</v>
      </c>
      <c r="L164" s="41"/>
      <c r="M164" s="42">
        <f>L164+K164</f>
        <v>950000</v>
      </c>
      <c r="N164" s="43">
        <f t="shared" si="14"/>
        <v>950</v>
      </c>
      <c r="P164" s="31"/>
    </row>
    <row r="165" spans="1:16" s="47" customFormat="1" ht="33.75" customHeight="1">
      <c r="A165" s="38"/>
      <c r="B165" s="38"/>
      <c r="C165" s="38"/>
      <c r="D165" s="50" t="s">
        <v>384</v>
      </c>
      <c r="E165" s="50" t="s">
        <v>384</v>
      </c>
      <c r="F165" s="77"/>
      <c r="G165" s="26">
        <f t="shared" si="12"/>
        <v>0</v>
      </c>
      <c r="H165" s="77"/>
      <c r="I165" s="77"/>
      <c r="J165" s="26">
        <f t="shared" si="13"/>
        <v>0</v>
      </c>
      <c r="K165" s="59">
        <f>19014.22+621576.39</f>
        <v>640590.61</v>
      </c>
      <c r="L165" s="59"/>
      <c r="M165" s="60">
        <f>K165+L165</f>
        <v>640590.61</v>
      </c>
      <c r="N165" s="35">
        <f t="shared" si="14"/>
        <v>640.6</v>
      </c>
      <c r="P165" s="31"/>
    </row>
    <row r="166" spans="1:16" s="47" customFormat="1" ht="22.5" customHeight="1">
      <c r="A166" s="38"/>
      <c r="B166" s="38"/>
      <c r="C166" s="38"/>
      <c r="D166" s="39" t="s">
        <v>413</v>
      </c>
      <c r="E166" s="39"/>
      <c r="F166" s="39"/>
      <c r="G166" s="26">
        <f t="shared" si="12"/>
        <v>0</v>
      </c>
      <c r="H166" s="39"/>
      <c r="I166" s="39"/>
      <c r="J166" s="26">
        <f t="shared" si="13"/>
        <v>0</v>
      </c>
      <c r="K166" s="41">
        <v>621576.39</v>
      </c>
      <c r="L166" s="41"/>
      <c r="M166" s="42">
        <f>L166+K166</f>
        <v>621576.39</v>
      </c>
      <c r="N166" s="43">
        <f t="shared" si="14"/>
        <v>621.6</v>
      </c>
      <c r="P166" s="31"/>
    </row>
    <row r="167" spans="1:16" s="47" customFormat="1" ht="33.75" customHeight="1">
      <c r="A167" s="38"/>
      <c r="B167" s="38"/>
      <c r="C167" s="38"/>
      <c r="D167" s="50" t="s">
        <v>385</v>
      </c>
      <c r="E167" s="50" t="s">
        <v>385</v>
      </c>
      <c r="F167" s="77"/>
      <c r="G167" s="26">
        <f t="shared" si="12"/>
        <v>0</v>
      </c>
      <c r="H167" s="77"/>
      <c r="I167" s="77"/>
      <c r="J167" s="26">
        <f t="shared" si="13"/>
        <v>0</v>
      </c>
      <c r="K167" s="59">
        <v>305910</v>
      </c>
      <c r="L167" s="59"/>
      <c r="M167" s="60">
        <f>K167+L167</f>
        <v>305910</v>
      </c>
      <c r="N167" s="35">
        <f t="shared" si="14"/>
        <v>305.9</v>
      </c>
      <c r="P167" s="31"/>
    </row>
    <row r="168" spans="1:16" s="47" customFormat="1" ht="23.25" customHeight="1">
      <c r="A168" s="38"/>
      <c r="B168" s="38"/>
      <c r="C168" s="38"/>
      <c r="D168" s="39" t="s">
        <v>413</v>
      </c>
      <c r="E168" s="39"/>
      <c r="F168" s="39"/>
      <c r="G168" s="26">
        <f t="shared" si="12"/>
        <v>0</v>
      </c>
      <c r="H168" s="39"/>
      <c r="I168" s="39"/>
      <c r="J168" s="26">
        <f t="shared" si="13"/>
        <v>0</v>
      </c>
      <c r="K168" s="41">
        <v>297000</v>
      </c>
      <c r="L168" s="41"/>
      <c r="M168" s="42">
        <f>L168+K168</f>
        <v>297000</v>
      </c>
      <c r="N168" s="43">
        <f t="shared" si="14"/>
        <v>297</v>
      </c>
      <c r="P168" s="31"/>
    </row>
    <row r="169" spans="1:16" s="47" customFormat="1" ht="71.25" customHeight="1">
      <c r="A169" s="38"/>
      <c r="B169" s="38"/>
      <c r="C169" s="38"/>
      <c r="D169" s="50" t="s">
        <v>314</v>
      </c>
      <c r="E169" s="50" t="s">
        <v>314</v>
      </c>
      <c r="F169" s="77"/>
      <c r="G169" s="26">
        <f t="shared" si="12"/>
        <v>0</v>
      </c>
      <c r="H169" s="77"/>
      <c r="I169" s="77"/>
      <c r="J169" s="26">
        <f t="shared" si="13"/>
        <v>0</v>
      </c>
      <c r="K169" s="59">
        <f>2240000+5000000</f>
        <v>7240000</v>
      </c>
      <c r="L169" s="59"/>
      <c r="M169" s="60">
        <f>K169+L169</f>
        <v>7240000</v>
      </c>
      <c r="N169" s="35">
        <f t="shared" si="14"/>
        <v>7240</v>
      </c>
      <c r="P169" s="31"/>
    </row>
    <row r="170" spans="1:16" s="47" customFormat="1" ht="25.5" customHeight="1">
      <c r="A170" s="38"/>
      <c r="B170" s="38"/>
      <c r="C170" s="38"/>
      <c r="D170" s="39" t="s">
        <v>413</v>
      </c>
      <c r="E170" s="39"/>
      <c r="F170" s="39"/>
      <c r="G170" s="26">
        <f t="shared" si="12"/>
        <v>0</v>
      </c>
      <c r="H170" s="39"/>
      <c r="I170" s="39"/>
      <c r="J170" s="26">
        <f t="shared" si="13"/>
        <v>0</v>
      </c>
      <c r="K170" s="41">
        <v>700000</v>
      </c>
      <c r="L170" s="41"/>
      <c r="M170" s="42">
        <f>L170+K170</f>
        <v>700000</v>
      </c>
      <c r="N170" s="43">
        <f t="shared" si="14"/>
        <v>700</v>
      </c>
      <c r="P170" s="31"/>
    </row>
    <row r="171" spans="1:16" s="36" customFormat="1" ht="27.75" customHeight="1">
      <c r="A171" s="32" t="s">
        <v>108</v>
      </c>
      <c r="B171" s="64">
        <v>9770</v>
      </c>
      <c r="C171" s="32" t="s">
        <v>22</v>
      </c>
      <c r="D171" s="50" t="s">
        <v>200</v>
      </c>
      <c r="E171" s="50"/>
      <c r="F171" s="50"/>
      <c r="G171" s="26">
        <f t="shared" si="12"/>
        <v>0</v>
      </c>
      <c r="H171" s="50"/>
      <c r="I171" s="50"/>
      <c r="J171" s="26">
        <f t="shared" si="13"/>
        <v>0</v>
      </c>
      <c r="K171" s="9">
        <v>1220000</v>
      </c>
      <c r="L171" s="9"/>
      <c r="M171" s="34">
        <f>L171+K171</f>
        <v>1220000</v>
      </c>
      <c r="N171" s="35">
        <f t="shared" si="14"/>
        <v>1220</v>
      </c>
      <c r="P171" s="31"/>
    </row>
    <row r="172" spans="1:16" s="30" customFormat="1" ht="31.5" customHeight="1">
      <c r="A172" s="24" t="s">
        <v>54</v>
      </c>
      <c r="B172" s="69"/>
      <c r="C172" s="69"/>
      <c r="D172" s="3" t="s">
        <v>16</v>
      </c>
      <c r="E172" s="3"/>
      <c r="F172" s="3"/>
      <c r="G172" s="26">
        <f t="shared" si="12"/>
        <v>0</v>
      </c>
      <c r="H172" s="3"/>
      <c r="I172" s="3"/>
      <c r="J172" s="26">
        <f t="shared" si="13"/>
        <v>0</v>
      </c>
      <c r="K172" s="27">
        <f>K173</f>
        <v>40000</v>
      </c>
      <c r="L172" s="27">
        <f>L173</f>
        <v>0</v>
      </c>
      <c r="M172" s="28">
        <f>M173</f>
        <v>40000</v>
      </c>
      <c r="N172" s="29">
        <f>N173</f>
        <v>40</v>
      </c>
      <c r="P172" s="31"/>
    </row>
    <row r="173" spans="1:16" s="36" customFormat="1" ht="39.75" customHeight="1">
      <c r="A173" s="32" t="s">
        <v>0</v>
      </c>
      <c r="B173" s="32" t="s">
        <v>55</v>
      </c>
      <c r="C173" s="32" t="s">
        <v>23</v>
      </c>
      <c r="D173" s="33" t="s">
        <v>56</v>
      </c>
      <c r="E173" s="33"/>
      <c r="F173" s="33"/>
      <c r="G173" s="26">
        <f t="shared" si="12"/>
        <v>0</v>
      </c>
      <c r="H173" s="33"/>
      <c r="I173" s="33"/>
      <c r="J173" s="26">
        <f t="shared" si="13"/>
        <v>0</v>
      </c>
      <c r="K173" s="9">
        <v>40000</v>
      </c>
      <c r="L173" s="9"/>
      <c r="M173" s="34">
        <f>L173+K173</f>
        <v>40000</v>
      </c>
      <c r="N173" s="35">
        <f t="shared" si="14"/>
        <v>40</v>
      </c>
      <c r="P173" s="31"/>
    </row>
    <row r="174" spans="1:16" s="30" customFormat="1" ht="33.75" customHeight="1">
      <c r="A174" s="24" t="s">
        <v>10</v>
      </c>
      <c r="B174" s="24"/>
      <c r="C174" s="24"/>
      <c r="D174" s="3" t="s">
        <v>15</v>
      </c>
      <c r="E174" s="3"/>
      <c r="F174" s="3"/>
      <c r="G174" s="26">
        <f t="shared" si="12"/>
        <v>0</v>
      </c>
      <c r="H174" s="3"/>
      <c r="I174" s="3"/>
      <c r="J174" s="26">
        <f t="shared" si="13"/>
        <v>0</v>
      </c>
      <c r="K174" s="27">
        <f>K176+K313+K181+K198+K234+K299+K302+K177</f>
        <v>185667916</v>
      </c>
      <c r="L174" s="27">
        <f>L176+L313+L181+L198+L234+L299+L302+L177</f>
        <v>50000</v>
      </c>
      <c r="M174" s="28">
        <f>M176+M313+M181+M198+M234+M299+M302+M177</f>
        <v>185717916</v>
      </c>
      <c r="N174" s="29">
        <f>N176+N313+N181+N198+N234+N299+N302+N177</f>
        <v>185718</v>
      </c>
      <c r="P174" s="31"/>
    </row>
    <row r="175" spans="1:16" s="56" customFormat="1" ht="20.25">
      <c r="A175" s="52"/>
      <c r="B175" s="52"/>
      <c r="C175" s="52"/>
      <c r="D175" s="4" t="s">
        <v>413</v>
      </c>
      <c r="E175" s="4"/>
      <c r="F175" s="4"/>
      <c r="G175" s="26">
        <f t="shared" si="12"/>
        <v>0</v>
      </c>
      <c r="H175" s="4"/>
      <c r="I175" s="4"/>
      <c r="J175" s="26">
        <f t="shared" si="13"/>
        <v>0</v>
      </c>
      <c r="K175" s="53">
        <f>K308</f>
        <v>300091</v>
      </c>
      <c r="L175" s="53">
        <f>L308</f>
        <v>0</v>
      </c>
      <c r="M175" s="54">
        <f>M308</f>
        <v>300091</v>
      </c>
      <c r="N175" s="55">
        <f>N308</f>
        <v>300.1</v>
      </c>
      <c r="P175" s="31"/>
    </row>
    <row r="176" spans="1:16" s="36" customFormat="1" ht="31.5" customHeight="1">
      <c r="A176" s="32" t="s">
        <v>109</v>
      </c>
      <c r="B176" s="32" t="s">
        <v>64</v>
      </c>
      <c r="C176" s="32" t="s">
        <v>38</v>
      </c>
      <c r="D176" s="33" t="s">
        <v>65</v>
      </c>
      <c r="E176" s="33"/>
      <c r="F176" s="33"/>
      <c r="G176" s="26">
        <f t="shared" si="12"/>
        <v>0</v>
      </c>
      <c r="H176" s="33"/>
      <c r="I176" s="33"/>
      <c r="J176" s="26">
        <f t="shared" si="13"/>
        <v>0</v>
      </c>
      <c r="K176" s="9">
        <f>88015500+6969382</f>
        <v>94984882</v>
      </c>
      <c r="L176" s="9"/>
      <c r="M176" s="34">
        <f>L176+K176</f>
        <v>94984882</v>
      </c>
      <c r="N176" s="35">
        <f t="shared" si="14"/>
        <v>94984.9</v>
      </c>
      <c r="P176" s="31"/>
    </row>
    <row r="177" spans="1:16" s="36" customFormat="1" ht="37.5" customHeight="1">
      <c r="A177" s="32" t="s">
        <v>283</v>
      </c>
      <c r="B177" s="32" t="s">
        <v>288</v>
      </c>
      <c r="C177" s="32"/>
      <c r="D177" s="33" t="s">
        <v>453</v>
      </c>
      <c r="E177" s="33"/>
      <c r="F177" s="33"/>
      <c r="G177" s="26">
        <f t="shared" si="12"/>
        <v>0</v>
      </c>
      <c r="H177" s="33"/>
      <c r="I177" s="33"/>
      <c r="J177" s="26">
        <f t="shared" si="13"/>
        <v>0</v>
      </c>
      <c r="K177" s="9">
        <f>K178+K179</f>
        <v>700000</v>
      </c>
      <c r="L177" s="9">
        <f>L178+L179</f>
        <v>0</v>
      </c>
      <c r="M177" s="34">
        <f>M178+M179</f>
        <v>700000</v>
      </c>
      <c r="N177" s="37">
        <f>N178+N179</f>
        <v>700</v>
      </c>
      <c r="P177" s="31"/>
    </row>
    <row r="178" spans="1:16" s="47" customFormat="1" ht="32.25" customHeight="1">
      <c r="A178" s="38" t="s">
        <v>284</v>
      </c>
      <c r="B178" s="38" t="s">
        <v>287</v>
      </c>
      <c r="C178" s="38" t="s">
        <v>286</v>
      </c>
      <c r="D178" s="39" t="s">
        <v>285</v>
      </c>
      <c r="E178" s="39"/>
      <c r="F178" s="39"/>
      <c r="G178" s="26">
        <f t="shared" si="12"/>
        <v>0</v>
      </c>
      <c r="H178" s="39"/>
      <c r="I178" s="39"/>
      <c r="J178" s="26">
        <f t="shared" si="13"/>
        <v>0</v>
      </c>
      <c r="K178" s="41">
        <v>500000</v>
      </c>
      <c r="L178" s="41"/>
      <c r="M178" s="42">
        <f>L178+K178</f>
        <v>500000</v>
      </c>
      <c r="N178" s="43">
        <f t="shared" si="14"/>
        <v>500</v>
      </c>
      <c r="P178" s="31"/>
    </row>
    <row r="179" spans="1:16" s="47" customFormat="1" ht="65.25" customHeight="1">
      <c r="A179" s="38" t="s">
        <v>414</v>
      </c>
      <c r="B179" s="38" t="s">
        <v>415</v>
      </c>
      <c r="C179" s="38" t="s">
        <v>286</v>
      </c>
      <c r="D179" s="39" t="s">
        <v>464</v>
      </c>
      <c r="E179" s="39" t="s">
        <v>416</v>
      </c>
      <c r="F179" s="39"/>
      <c r="G179" s="26">
        <f t="shared" si="12"/>
        <v>0</v>
      </c>
      <c r="H179" s="39"/>
      <c r="I179" s="39"/>
      <c r="J179" s="26">
        <f t="shared" si="13"/>
        <v>0</v>
      </c>
      <c r="K179" s="41">
        <v>200000</v>
      </c>
      <c r="L179" s="41"/>
      <c r="M179" s="42">
        <f>L179+K179</f>
        <v>200000</v>
      </c>
      <c r="N179" s="43">
        <f t="shared" si="14"/>
        <v>200</v>
      </c>
      <c r="P179" s="31"/>
    </row>
    <row r="180" spans="1:16" s="36" customFormat="1" ht="34.5" customHeight="1">
      <c r="A180" s="32"/>
      <c r="B180" s="32"/>
      <c r="C180" s="32"/>
      <c r="D180" s="33" t="s">
        <v>416</v>
      </c>
      <c r="E180" s="33"/>
      <c r="F180" s="33"/>
      <c r="G180" s="26">
        <f t="shared" si="12"/>
        <v>0</v>
      </c>
      <c r="H180" s="33"/>
      <c r="I180" s="33"/>
      <c r="J180" s="26">
        <f t="shared" si="13"/>
        <v>0</v>
      </c>
      <c r="K180" s="9">
        <f>K179</f>
        <v>200000</v>
      </c>
      <c r="L180" s="9"/>
      <c r="M180" s="34">
        <f>M179</f>
        <v>200000</v>
      </c>
      <c r="N180" s="35">
        <f t="shared" si="14"/>
        <v>200</v>
      </c>
      <c r="P180" s="31"/>
    </row>
    <row r="181" spans="1:148" s="30" customFormat="1" ht="46.5" customHeight="1">
      <c r="A181" s="17">
        <v>1517310</v>
      </c>
      <c r="B181" s="32" t="s">
        <v>131</v>
      </c>
      <c r="C181" s="32" t="s">
        <v>49</v>
      </c>
      <c r="D181" s="3" t="s">
        <v>455</v>
      </c>
      <c r="E181" s="3"/>
      <c r="F181" s="75"/>
      <c r="G181" s="26">
        <f t="shared" si="12"/>
        <v>0</v>
      </c>
      <c r="H181" s="75"/>
      <c r="I181" s="75"/>
      <c r="J181" s="26">
        <f t="shared" si="13"/>
        <v>0</v>
      </c>
      <c r="K181" s="27">
        <f>K182+K187</f>
        <v>9527865</v>
      </c>
      <c r="L181" s="27">
        <f>L182+L187</f>
        <v>122500</v>
      </c>
      <c r="M181" s="28">
        <f>M182+M187</f>
        <v>9650365</v>
      </c>
      <c r="N181" s="29">
        <f>N182+N187</f>
        <v>9650.4</v>
      </c>
      <c r="O181" s="79"/>
      <c r="P181" s="31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</row>
    <row r="182" spans="1:148" s="36" customFormat="1" ht="27.75" customHeight="1">
      <c r="A182" s="80"/>
      <c r="B182" s="81"/>
      <c r="C182" s="81"/>
      <c r="D182" s="72" t="s">
        <v>138</v>
      </c>
      <c r="E182" s="72" t="s">
        <v>138</v>
      </c>
      <c r="F182" s="75"/>
      <c r="G182" s="26">
        <f t="shared" si="12"/>
        <v>0</v>
      </c>
      <c r="H182" s="75"/>
      <c r="I182" s="75"/>
      <c r="J182" s="26">
        <f t="shared" si="13"/>
        <v>0</v>
      </c>
      <c r="K182" s="27">
        <f>SUM(K183:K186)</f>
        <v>5420300</v>
      </c>
      <c r="L182" s="27">
        <f>SUM(L183:L186)</f>
        <v>122500</v>
      </c>
      <c r="M182" s="28">
        <f>SUM(M183:M186)</f>
        <v>5542800</v>
      </c>
      <c r="N182" s="29">
        <f>SUM(N183:N186)</f>
        <v>5542.8</v>
      </c>
      <c r="O182" s="65"/>
      <c r="P182" s="31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</row>
    <row r="183" spans="1:148" ht="28.5" customHeight="1">
      <c r="A183" s="80"/>
      <c r="B183" s="80"/>
      <c r="C183" s="80"/>
      <c r="D183" s="77" t="s">
        <v>139</v>
      </c>
      <c r="E183" s="77" t="s">
        <v>139</v>
      </c>
      <c r="F183" s="82">
        <v>15922519</v>
      </c>
      <c r="G183" s="26">
        <f t="shared" si="12"/>
        <v>15922.5</v>
      </c>
      <c r="H183" s="83">
        <v>100</v>
      </c>
      <c r="I183" s="82">
        <v>15922519</v>
      </c>
      <c r="J183" s="26">
        <f t="shared" si="13"/>
        <v>15922.5</v>
      </c>
      <c r="K183" s="9">
        <f>3000000+2000000</f>
        <v>5000000</v>
      </c>
      <c r="L183" s="9"/>
      <c r="M183" s="34">
        <f>L183+K183</f>
        <v>5000000</v>
      </c>
      <c r="N183" s="35">
        <f t="shared" si="14"/>
        <v>5000</v>
      </c>
      <c r="O183" s="84"/>
      <c r="P183" s="31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</row>
    <row r="184" spans="1:148" ht="28.5" customHeight="1">
      <c r="A184" s="81"/>
      <c r="B184" s="81"/>
      <c r="C184" s="81"/>
      <c r="D184" s="71" t="s">
        <v>140</v>
      </c>
      <c r="E184" s="71" t="s">
        <v>140</v>
      </c>
      <c r="F184" s="82">
        <v>2186292</v>
      </c>
      <c r="G184" s="26">
        <f t="shared" si="12"/>
        <v>2186.3</v>
      </c>
      <c r="H184" s="26">
        <v>25.6</v>
      </c>
      <c r="I184" s="82">
        <v>559802</v>
      </c>
      <c r="J184" s="26">
        <f t="shared" si="13"/>
        <v>559.8</v>
      </c>
      <c r="K184" s="9">
        <v>400000</v>
      </c>
      <c r="L184" s="9">
        <v>122500</v>
      </c>
      <c r="M184" s="34">
        <f>L184+K184</f>
        <v>522500</v>
      </c>
      <c r="N184" s="35">
        <f t="shared" si="14"/>
        <v>522.5</v>
      </c>
      <c r="O184" s="84"/>
      <c r="P184" s="31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</row>
    <row r="185" spans="1:148" ht="33.75" customHeight="1">
      <c r="A185" s="81"/>
      <c r="B185" s="81"/>
      <c r="C185" s="81"/>
      <c r="D185" s="71" t="s">
        <v>332</v>
      </c>
      <c r="E185" s="71" t="s">
        <v>332</v>
      </c>
      <c r="F185" s="82"/>
      <c r="G185" s="26">
        <f t="shared" si="12"/>
        <v>0</v>
      </c>
      <c r="H185" s="26"/>
      <c r="I185" s="82"/>
      <c r="J185" s="26">
        <f t="shared" si="13"/>
        <v>0</v>
      </c>
      <c r="K185" s="9">
        <f>50000-38200</f>
        <v>11800</v>
      </c>
      <c r="L185" s="9"/>
      <c r="M185" s="34">
        <f>L185+K185</f>
        <v>11800</v>
      </c>
      <c r="N185" s="35">
        <f t="shared" si="14"/>
        <v>11.8</v>
      </c>
      <c r="O185" s="84"/>
      <c r="P185" s="31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</row>
    <row r="186" spans="1:16" s="84" customFormat="1" ht="30.75" customHeight="1">
      <c r="A186" s="81"/>
      <c r="B186" s="81"/>
      <c r="C186" s="81"/>
      <c r="D186" s="71" t="s">
        <v>268</v>
      </c>
      <c r="E186" s="71" t="s">
        <v>268</v>
      </c>
      <c r="F186" s="82">
        <v>1681565</v>
      </c>
      <c r="G186" s="26">
        <f t="shared" si="12"/>
        <v>1681.6</v>
      </c>
      <c r="H186" s="26">
        <v>11.6</v>
      </c>
      <c r="I186" s="82">
        <v>194907</v>
      </c>
      <c r="J186" s="26">
        <f t="shared" si="13"/>
        <v>194.9</v>
      </c>
      <c r="K186" s="9">
        <v>8500</v>
      </c>
      <c r="L186" s="9"/>
      <c r="M186" s="34">
        <f>L186+K186</f>
        <v>8500</v>
      </c>
      <c r="N186" s="35">
        <f t="shared" si="14"/>
        <v>8.5</v>
      </c>
      <c r="P186" s="31"/>
    </row>
    <row r="187" spans="1:148" s="36" customFormat="1" ht="21.75" customHeight="1">
      <c r="A187" s="80"/>
      <c r="B187" s="81"/>
      <c r="C187" s="81"/>
      <c r="D187" s="3" t="s">
        <v>141</v>
      </c>
      <c r="E187" s="3" t="s">
        <v>141</v>
      </c>
      <c r="F187" s="82"/>
      <c r="G187" s="26">
        <f t="shared" si="12"/>
        <v>0</v>
      </c>
      <c r="H187" s="75"/>
      <c r="I187" s="82"/>
      <c r="J187" s="26">
        <f t="shared" si="13"/>
        <v>0</v>
      </c>
      <c r="K187" s="27">
        <f>SUM(K188:K197)</f>
        <v>4107565</v>
      </c>
      <c r="L187" s="27">
        <f>SUM(L188:L197)</f>
        <v>0</v>
      </c>
      <c r="M187" s="28">
        <f>SUM(M188:M197)</f>
        <v>4107565</v>
      </c>
      <c r="N187" s="29">
        <f>SUM(N188:N197)</f>
        <v>4107.599999999999</v>
      </c>
      <c r="O187" s="65"/>
      <c r="P187" s="31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</row>
    <row r="188" spans="1:16" s="84" customFormat="1" ht="24.75" customHeight="1">
      <c r="A188" s="81"/>
      <c r="B188" s="81"/>
      <c r="C188" s="81"/>
      <c r="D188" s="71" t="s">
        <v>142</v>
      </c>
      <c r="E188" s="71" t="s">
        <v>142</v>
      </c>
      <c r="F188" s="82">
        <v>16481572</v>
      </c>
      <c r="G188" s="26">
        <f t="shared" si="12"/>
        <v>16481.6</v>
      </c>
      <c r="H188" s="26">
        <v>81.3</v>
      </c>
      <c r="I188" s="82">
        <v>13394899</v>
      </c>
      <c r="J188" s="26">
        <f t="shared" si="13"/>
        <v>13394.9</v>
      </c>
      <c r="K188" s="9">
        <v>2000000</v>
      </c>
      <c r="L188" s="9"/>
      <c r="M188" s="34">
        <f aca="true" t="shared" si="15" ref="M188:M197">L188+K188</f>
        <v>2000000</v>
      </c>
      <c r="N188" s="35">
        <f t="shared" si="14"/>
        <v>2000</v>
      </c>
      <c r="P188" s="31"/>
    </row>
    <row r="189" spans="1:16" s="84" customFormat="1" ht="29.25" customHeight="1">
      <c r="A189" s="81"/>
      <c r="B189" s="81"/>
      <c r="C189" s="81"/>
      <c r="D189" s="50" t="s">
        <v>143</v>
      </c>
      <c r="E189" s="50" t="s">
        <v>143</v>
      </c>
      <c r="F189" s="82">
        <v>413827</v>
      </c>
      <c r="G189" s="26">
        <f t="shared" si="12"/>
        <v>413.8</v>
      </c>
      <c r="H189" s="26">
        <v>100</v>
      </c>
      <c r="I189" s="82">
        <v>413827</v>
      </c>
      <c r="J189" s="26">
        <f t="shared" si="13"/>
        <v>413.8</v>
      </c>
      <c r="K189" s="9">
        <f>492000-126900</f>
        <v>365100</v>
      </c>
      <c r="L189" s="9"/>
      <c r="M189" s="34">
        <f t="shared" si="15"/>
        <v>365100</v>
      </c>
      <c r="N189" s="35">
        <f t="shared" si="14"/>
        <v>365.1</v>
      </c>
      <c r="P189" s="31"/>
    </row>
    <row r="190" spans="1:16" s="84" customFormat="1" ht="29.25" customHeight="1">
      <c r="A190" s="81"/>
      <c r="B190" s="81"/>
      <c r="C190" s="81"/>
      <c r="D190" s="50" t="s">
        <v>144</v>
      </c>
      <c r="E190" s="50" t="s">
        <v>144</v>
      </c>
      <c r="F190" s="82">
        <v>1172514</v>
      </c>
      <c r="G190" s="26">
        <f t="shared" si="12"/>
        <v>1172.5</v>
      </c>
      <c r="H190" s="26">
        <v>100</v>
      </c>
      <c r="I190" s="82">
        <v>1172514</v>
      </c>
      <c r="J190" s="26">
        <f t="shared" si="13"/>
        <v>1172.5</v>
      </c>
      <c r="K190" s="9">
        <f>995000-10700</f>
        <v>984300</v>
      </c>
      <c r="L190" s="9"/>
      <c r="M190" s="34">
        <f t="shared" si="15"/>
        <v>984300</v>
      </c>
      <c r="N190" s="35">
        <f t="shared" si="14"/>
        <v>984.3</v>
      </c>
      <c r="P190" s="31"/>
    </row>
    <row r="191" spans="1:16" s="84" customFormat="1" ht="35.25" customHeight="1">
      <c r="A191" s="81"/>
      <c r="B191" s="81"/>
      <c r="C191" s="81"/>
      <c r="D191" s="50" t="s">
        <v>145</v>
      </c>
      <c r="E191" s="50" t="s">
        <v>145</v>
      </c>
      <c r="F191" s="82">
        <v>200281</v>
      </c>
      <c r="G191" s="26">
        <f t="shared" si="12"/>
        <v>200.3</v>
      </c>
      <c r="H191" s="26">
        <v>100</v>
      </c>
      <c r="I191" s="82">
        <v>200281</v>
      </c>
      <c r="J191" s="26">
        <f t="shared" si="13"/>
        <v>200.3</v>
      </c>
      <c r="K191" s="9">
        <f>233000-63800</f>
        <v>169200</v>
      </c>
      <c r="L191" s="9"/>
      <c r="M191" s="34">
        <f t="shared" si="15"/>
        <v>169200</v>
      </c>
      <c r="N191" s="35">
        <f t="shared" si="14"/>
        <v>169.2</v>
      </c>
      <c r="P191" s="31"/>
    </row>
    <row r="192" spans="1:16" s="84" customFormat="1" ht="27" customHeight="1">
      <c r="A192" s="81"/>
      <c r="B192" s="81"/>
      <c r="C192" s="81"/>
      <c r="D192" s="50" t="s">
        <v>146</v>
      </c>
      <c r="E192" s="50" t="s">
        <v>146</v>
      </c>
      <c r="F192" s="82">
        <v>512905</v>
      </c>
      <c r="G192" s="26">
        <f t="shared" si="12"/>
        <v>512.9</v>
      </c>
      <c r="H192" s="26">
        <v>100</v>
      </c>
      <c r="I192" s="82">
        <v>512905</v>
      </c>
      <c r="J192" s="26">
        <f t="shared" si="13"/>
        <v>512.9</v>
      </c>
      <c r="K192" s="9">
        <f>280000+266465</f>
        <v>546465</v>
      </c>
      <c r="L192" s="9"/>
      <c r="M192" s="34">
        <f t="shared" si="15"/>
        <v>546465</v>
      </c>
      <c r="N192" s="35">
        <f t="shared" si="14"/>
        <v>546.5</v>
      </c>
      <c r="P192" s="31"/>
    </row>
    <row r="193" spans="1:16" s="84" customFormat="1" ht="27" customHeight="1">
      <c r="A193" s="81"/>
      <c r="B193" s="81"/>
      <c r="C193" s="81"/>
      <c r="D193" s="50" t="s">
        <v>269</v>
      </c>
      <c r="E193" s="50" t="s">
        <v>269</v>
      </c>
      <c r="F193" s="82"/>
      <c r="G193" s="26">
        <f t="shared" si="12"/>
        <v>0</v>
      </c>
      <c r="H193" s="26"/>
      <c r="I193" s="82"/>
      <c r="J193" s="26">
        <f t="shared" si="13"/>
        <v>0</v>
      </c>
      <c r="K193" s="9">
        <v>8500</v>
      </c>
      <c r="L193" s="9"/>
      <c r="M193" s="34">
        <f t="shared" si="15"/>
        <v>8500</v>
      </c>
      <c r="N193" s="35">
        <f t="shared" si="14"/>
        <v>8.5</v>
      </c>
      <c r="P193" s="31"/>
    </row>
    <row r="194" spans="1:16" s="84" customFormat="1" ht="27" customHeight="1">
      <c r="A194" s="81"/>
      <c r="B194" s="81"/>
      <c r="C194" s="81"/>
      <c r="D194" s="50" t="s">
        <v>270</v>
      </c>
      <c r="E194" s="50" t="s">
        <v>270</v>
      </c>
      <c r="F194" s="82"/>
      <c r="G194" s="26">
        <f t="shared" si="12"/>
        <v>0</v>
      </c>
      <c r="H194" s="26"/>
      <c r="I194" s="82"/>
      <c r="J194" s="26">
        <f t="shared" si="13"/>
        <v>0</v>
      </c>
      <c r="K194" s="9">
        <v>8500</v>
      </c>
      <c r="L194" s="9"/>
      <c r="M194" s="34">
        <f t="shared" si="15"/>
        <v>8500</v>
      </c>
      <c r="N194" s="35">
        <f t="shared" si="14"/>
        <v>8.5</v>
      </c>
      <c r="P194" s="31"/>
    </row>
    <row r="195" spans="1:16" s="84" customFormat="1" ht="27" customHeight="1">
      <c r="A195" s="81"/>
      <c r="B195" s="81"/>
      <c r="C195" s="81"/>
      <c r="D195" s="50" t="s">
        <v>271</v>
      </c>
      <c r="E195" s="50" t="s">
        <v>271</v>
      </c>
      <c r="F195" s="82"/>
      <c r="G195" s="26">
        <f t="shared" si="12"/>
        <v>0</v>
      </c>
      <c r="H195" s="26"/>
      <c r="I195" s="82"/>
      <c r="J195" s="26">
        <f t="shared" si="13"/>
        <v>0</v>
      </c>
      <c r="K195" s="9">
        <v>8500</v>
      </c>
      <c r="L195" s="9"/>
      <c r="M195" s="34">
        <f t="shared" si="15"/>
        <v>8500</v>
      </c>
      <c r="N195" s="35">
        <f t="shared" si="14"/>
        <v>8.5</v>
      </c>
      <c r="P195" s="31"/>
    </row>
    <row r="196" spans="1:16" s="84" customFormat="1" ht="39" customHeight="1">
      <c r="A196" s="81"/>
      <c r="B196" s="81"/>
      <c r="C196" s="81"/>
      <c r="D196" s="50" t="s">
        <v>272</v>
      </c>
      <c r="E196" s="50" t="s">
        <v>272</v>
      </c>
      <c r="F196" s="82"/>
      <c r="G196" s="26">
        <f t="shared" si="12"/>
        <v>0</v>
      </c>
      <c r="H196" s="26"/>
      <c r="I196" s="82"/>
      <c r="J196" s="26">
        <f t="shared" si="13"/>
        <v>0</v>
      </c>
      <c r="K196" s="9">
        <v>8500</v>
      </c>
      <c r="L196" s="9"/>
      <c r="M196" s="34">
        <f t="shared" si="15"/>
        <v>8500</v>
      </c>
      <c r="N196" s="35">
        <f t="shared" si="14"/>
        <v>8.5</v>
      </c>
      <c r="P196" s="31"/>
    </row>
    <row r="197" spans="1:16" s="84" customFormat="1" ht="33" customHeight="1">
      <c r="A197" s="81"/>
      <c r="B197" s="81"/>
      <c r="C197" s="81"/>
      <c r="D197" s="50" t="s">
        <v>273</v>
      </c>
      <c r="E197" s="50" t="s">
        <v>273</v>
      </c>
      <c r="F197" s="82"/>
      <c r="G197" s="26">
        <f t="shared" si="12"/>
        <v>0</v>
      </c>
      <c r="H197" s="26"/>
      <c r="I197" s="82"/>
      <c r="J197" s="26">
        <f t="shared" si="13"/>
        <v>0</v>
      </c>
      <c r="K197" s="9">
        <v>8500</v>
      </c>
      <c r="L197" s="9"/>
      <c r="M197" s="34">
        <f t="shared" si="15"/>
        <v>8500</v>
      </c>
      <c r="N197" s="35">
        <f t="shared" si="14"/>
        <v>8.5</v>
      </c>
      <c r="P197" s="31"/>
    </row>
    <row r="198" spans="1:148" s="30" customFormat="1" ht="36.75" customHeight="1">
      <c r="A198" s="17">
        <v>1517320</v>
      </c>
      <c r="B198" s="32" t="s">
        <v>134</v>
      </c>
      <c r="C198" s="32"/>
      <c r="D198" s="3" t="s">
        <v>465</v>
      </c>
      <c r="E198" s="3"/>
      <c r="F198" s="82"/>
      <c r="G198" s="26">
        <f t="shared" si="12"/>
        <v>0</v>
      </c>
      <c r="H198" s="75"/>
      <c r="I198" s="82"/>
      <c r="J198" s="26">
        <f t="shared" si="13"/>
        <v>0</v>
      </c>
      <c r="K198" s="27">
        <f>K199+K220+K228</f>
        <v>17049932</v>
      </c>
      <c r="L198" s="27">
        <f>L199+L220+L228</f>
        <v>50000</v>
      </c>
      <c r="M198" s="28">
        <f>M199+M220+M228</f>
        <v>17099932</v>
      </c>
      <c r="N198" s="29">
        <f>N199+N220+N228</f>
        <v>17099.9</v>
      </c>
      <c r="O198" s="79"/>
      <c r="P198" s="31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</row>
    <row r="199" spans="1:148" s="89" customFormat="1" ht="34.5" customHeight="1">
      <c r="A199" s="85">
        <v>1517321</v>
      </c>
      <c r="B199" s="38" t="s">
        <v>135</v>
      </c>
      <c r="C199" s="38" t="s">
        <v>49</v>
      </c>
      <c r="D199" s="86" t="s">
        <v>466</v>
      </c>
      <c r="E199" s="87"/>
      <c r="F199" s="82"/>
      <c r="G199" s="26">
        <f t="shared" si="12"/>
        <v>0</v>
      </c>
      <c r="H199" s="53"/>
      <c r="I199" s="82"/>
      <c r="J199" s="26">
        <f t="shared" si="13"/>
        <v>0</v>
      </c>
      <c r="K199" s="53">
        <f>K200+K206</f>
        <v>7658932</v>
      </c>
      <c r="L199" s="53">
        <f>L200+L206</f>
        <v>0</v>
      </c>
      <c r="M199" s="54">
        <f>M200+M206</f>
        <v>7658932</v>
      </c>
      <c r="N199" s="55">
        <f>N200+N206</f>
        <v>7658.9</v>
      </c>
      <c r="O199" s="88"/>
      <c r="P199" s="31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</row>
    <row r="200" spans="1:148" s="36" customFormat="1" ht="27" customHeight="1">
      <c r="A200" s="80"/>
      <c r="B200" s="81"/>
      <c r="C200" s="81"/>
      <c r="D200" s="72" t="s">
        <v>138</v>
      </c>
      <c r="E200" s="72" t="s">
        <v>138</v>
      </c>
      <c r="F200" s="82"/>
      <c r="G200" s="26">
        <f t="shared" si="12"/>
        <v>0</v>
      </c>
      <c r="H200" s="75"/>
      <c r="I200" s="82"/>
      <c r="J200" s="26">
        <f t="shared" si="13"/>
        <v>0</v>
      </c>
      <c r="K200" s="27">
        <f>SUM(K201:K205)</f>
        <v>1888400</v>
      </c>
      <c r="L200" s="27">
        <f>SUM(L201:L205)</f>
        <v>0</v>
      </c>
      <c r="M200" s="28">
        <f>SUM(M201:M205)</f>
        <v>1888400</v>
      </c>
      <c r="N200" s="29">
        <f>SUM(N201:N205)</f>
        <v>1888.4</v>
      </c>
      <c r="O200" s="65"/>
      <c r="P200" s="31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</row>
    <row r="201" spans="1:148" ht="30" customHeight="1">
      <c r="A201" s="80"/>
      <c r="B201" s="80"/>
      <c r="C201" s="80"/>
      <c r="D201" s="71" t="s">
        <v>147</v>
      </c>
      <c r="E201" s="71" t="s">
        <v>147</v>
      </c>
      <c r="F201" s="82"/>
      <c r="G201" s="26">
        <f t="shared" si="12"/>
        <v>0</v>
      </c>
      <c r="H201" s="80"/>
      <c r="I201" s="82"/>
      <c r="J201" s="26">
        <f t="shared" si="13"/>
        <v>0</v>
      </c>
      <c r="K201" s="9">
        <v>863000</v>
      </c>
      <c r="L201" s="9"/>
      <c r="M201" s="34">
        <f>L201+K201</f>
        <v>863000</v>
      </c>
      <c r="N201" s="35">
        <f t="shared" si="14"/>
        <v>863</v>
      </c>
      <c r="O201" s="84"/>
      <c r="P201" s="31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</row>
    <row r="202" spans="1:16" s="84" customFormat="1" ht="32.25" customHeight="1">
      <c r="A202" s="81"/>
      <c r="B202" s="81"/>
      <c r="C202" s="81"/>
      <c r="D202" s="71" t="s">
        <v>148</v>
      </c>
      <c r="E202" s="71" t="s">
        <v>148</v>
      </c>
      <c r="F202" s="82">
        <v>249610</v>
      </c>
      <c r="G202" s="26">
        <f t="shared" si="12"/>
        <v>249.6</v>
      </c>
      <c r="H202" s="26">
        <v>100</v>
      </c>
      <c r="I202" s="82">
        <v>249610</v>
      </c>
      <c r="J202" s="26">
        <f t="shared" si="13"/>
        <v>249.6</v>
      </c>
      <c r="K202" s="9">
        <f>250000-3600</f>
        <v>246400</v>
      </c>
      <c r="L202" s="9"/>
      <c r="M202" s="34">
        <f>L202+K202</f>
        <v>246400</v>
      </c>
      <c r="N202" s="35">
        <f t="shared" si="14"/>
        <v>246.4</v>
      </c>
      <c r="P202" s="31"/>
    </row>
    <row r="203" spans="1:16" s="84" customFormat="1" ht="33.75" customHeight="1">
      <c r="A203" s="81"/>
      <c r="B203" s="81"/>
      <c r="C203" s="81"/>
      <c r="D203" s="71" t="s">
        <v>311</v>
      </c>
      <c r="E203" s="71" t="s">
        <v>311</v>
      </c>
      <c r="F203" s="82">
        <v>103322</v>
      </c>
      <c r="G203" s="26">
        <f t="shared" si="12"/>
        <v>103.3</v>
      </c>
      <c r="H203" s="26">
        <v>100</v>
      </c>
      <c r="I203" s="82">
        <v>103322</v>
      </c>
      <c r="J203" s="26">
        <f t="shared" si="13"/>
        <v>103.3</v>
      </c>
      <c r="K203" s="9">
        <v>100000</v>
      </c>
      <c r="L203" s="9"/>
      <c r="M203" s="34">
        <f>L203+K203</f>
        <v>100000</v>
      </c>
      <c r="N203" s="35">
        <f t="shared" si="14"/>
        <v>100</v>
      </c>
      <c r="P203" s="31"/>
    </row>
    <row r="204" spans="1:16" s="84" customFormat="1" ht="34.5" customHeight="1">
      <c r="A204" s="81"/>
      <c r="B204" s="81"/>
      <c r="C204" s="81"/>
      <c r="D204" s="71" t="s">
        <v>424</v>
      </c>
      <c r="E204" s="71" t="s">
        <v>424</v>
      </c>
      <c r="F204" s="82"/>
      <c r="G204" s="26">
        <f t="shared" si="12"/>
        <v>0</v>
      </c>
      <c r="H204" s="26"/>
      <c r="I204" s="82"/>
      <c r="J204" s="26">
        <f t="shared" si="13"/>
        <v>0</v>
      </c>
      <c r="K204" s="9">
        <v>288000</v>
      </c>
      <c r="L204" s="9"/>
      <c r="M204" s="34">
        <f>L204+K204</f>
        <v>288000</v>
      </c>
      <c r="N204" s="35">
        <f t="shared" si="14"/>
        <v>288</v>
      </c>
      <c r="P204" s="31"/>
    </row>
    <row r="205" spans="1:16" s="84" customFormat="1" ht="31.5" customHeight="1">
      <c r="A205" s="81"/>
      <c r="B205" s="81"/>
      <c r="C205" s="81"/>
      <c r="D205" s="71" t="s">
        <v>426</v>
      </c>
      <c r="E205" s="71" t="s">
        <v>426</v>
      </c>
      <c r="F205" s="82"/>
      <c r="G205" s="26">
        <f t="shared" si="12"/>
        <v>0</v>
      </c>
      <c r="H205" s="26"/>
      <c r="I205" s="82"/>
      <c r="J205" s="26">
        <f t="shared" si="13"/>
        <v>0</v>
      </c>
      <c r="K205" s="9">
        <v>391000</v>
      </c>
      <c r="L205" s="9"/>
      <c r="M205" s="34">
        <f>L205+K205</f>
        <v>391000</v>
      </c>
      <c r="N205" s="35">
        <f t="shared" si="14"/>
        <v>391</v>
      </c>
      <c r="P205" s="31"/>
    </row>
    <row r="206" spans="1:148" s="36" customFormat="1" ht="25.5" customHeight="1">
      <c r="A206" s="80"/>
      <c r="B206" s="81"/>
      <c r="C206" s="81"/>
      <c r="D206" s="3" t="s">
        <v>141</v>
      </c>
      <c r="E206" s="3" t="s">
        <v>141</v>
      </c>
      <c r="F206" s="82"/>
      <c r="G206" s="26">
        <f t="shared" si="12"/>
        <v>0</v>
      </c>
      <c r="H206" s="75"/>
      <c r="I206" s="82"/>
      <c r="J206" s="26">
        <f t="shared" si="13"/>
        <v>0</v>
      </c>
      <c r="K206" s="27">
        <f>SUM(K207:K219)</f>
        <v>5770532</v>
      </c>
      <c r="L206" s="27">
        <f>SUM(L207:L219)</f>
        <v>0</v>
      </c>
      <c r="M206" s="28">
        <f>SUM(M207:M219)</f>
        <v>5770532</v>
      </c>
      <c r="N206" s="29">
        <f>SUM(N207:N219)</f>
        <v>5770.5</v>
      </c>
      <c r="O206" s="65"/>
      <c r="P206" s="31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</row>
    <row r="207" spans="1:148" s="36" customFormat="1" ht="46.5" customHeight="1">
      <c r="A207" s="80"/>
      <c r="B207" s="81"/>
      <c r="C207" s="81"/>
      <c r="D207" s="50" t="s">
        <v>227</v>
      </c>
      <c r="E207" s="50" t="s">
        <v>227</v>
      </c>
      <c r="F207" s="82">
        <v>237104</v>
      </c>
      <c r="G207" s="26">
        <f aca="true" t="shared" si="16" ref="G207:G269">ROUND(F207/1000,1)</f>
        <v>237.1</v>
      </c>
      <c r="H207" s="90">
        <v>100</v>
      </c>
      <c r="I207" s="82">
        <v>237104</v>
      </c>
      <c r="J207" s="26">
        <f aca="true" t="shared" si="17" ref="J207:J269">ROUND(I207/1000,1)</f>
        <v>237.1</v>
      </c>
      <c r="K207" s="9">
        <v>221500</v>
      </c>
      <c r="L207" s="9"/>
      <c r="M207" s="34">
        <f aca="true" t="shared" si="18" ref="M207:M219">L207+K207</f>
        <v>221500</v>
      </c>
      <c r="N207" s="35">
        <f aca="true" t="shared" si="19" ref="N207:N269">ROUND(M207/1000,1)</f>
        <v>221.5</v>
      </c>
      <c r="O207" s="65"/>
      <c r="P207" s="31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</row>
    <row r="208" spans="1:148" s="36" customFormat="1" ht="24" customHeight="1">
      <c r="A208" s="80"/>
      <c r="B208" s="81"/>
      <c r="C208" s="81"/>
      <c r="D208" s="50" t="s">
        <v>274</v>
      </c>
      <c r="E208" s="50" t="s">
        <v>274</v>
      </c>
      <c r="F208" s="82"/>
      <c r="G208" s="26">
        <f t="shared" si="16"/>
        <v>0</v>
      </c>
      <c r="H208" s="75"/>
      <c r="I208" s="82"/>
      <c r="J208" s="26">
        <f t="shared" si="17"/>
        <v>0</v>
      </c>
      <c r="K208" s="9">
        <v>8500</v>
      </c>
      <c r="L208" s="9"/>
      <c r="M208" s="34">
        <f t="shared" si="18"/>
        <v>8500</v>
      </c>
      <c r="N208" s="35">
        <f t="shared" si="19"/>
        <v>8.5</v>
      </c>
      <c r="O208" s="65"/>
      <c r="P208" s="31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</row>
    <row r="209" spans="1:148" s="36" customFormat="1" ht="27.75" customHeight="1">
      <c r="A209" s="80"/>
      <c r="B209" s="81"/>
      <c r="C209" s="81"/>
      <c r="D209" s="71" t="s">
        <v>275</v>
      </c>
      <c r="E209" s="71" t="s">
        <v>275</v>
      </c>
      <c r="F209" s="82"/>
      <c r="G209" s="26">
        <f t="shared" si="16"/>
        <v>0</v>
      </c>
      <c r="H209" s="75"/>
      <c r="I209" s="82"/>
      <c r="J209" s="26">
        <f t="shared" si="17"/>
        <v>0</v>
      </c>
      <c r="K209" s="9">
        <v>8500</v>
      </c>
      <c r="L209" s="9"/>
      <c r="M209" s="34">
        <f t="shared" si="18"/>
        <v>8500</v>
      </c>
      <c r="N209" s="35">
        <f t="shared" si="19"/>
        <v>8.5</v>
      </c>
      <c r="O209" s="65"/>
      <c r="P209" s="31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</row>
    <row r="210" spans="1:148" s="36" customFormat="1" ht="31.5" customHeight="1">
      <c r="A210" s="80"/>
      <c r="B210" s="81"/>
      <c r="C210" s="81"/>
      <c r="D210" s="71" t="s">
        <v>371</v>
      </c>
      <c r="E210" s="71" t="s">
        <v>371</v>
      </c>
      <c r="F210" s="82">
        <v>2143744</v>
      </c>
      <c r="G210" s="26">
        <f t="shared" si="16"/>
        <v>2143.7</v>
      </c>
      <c r="H210" s="26">
        <v>97.27</v>
      </c>
      <c r="I210" s="82">
        <v>2085265</v>
      </c>
      <c r="J210" s="26">
        <f t="shared" si="17"/>
        <v>2085.3</v>
      </c>
      <c r="K210" s="9">
        <f>490000+500000</f>
        <v>990000</v>
      </c>
      <c r="L210" s="9"/>
      <c r="M210" s="34">
        <f t="shared" si="18"/>
        <v>990000</v>
      </c>
      <c r="N210" s="35">
        <f t="shared" si="19"/>
        <v>990</v>
      </c>
      <c r="O210" s="65"/>
      <c r="P210" s="31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</row>
    <row r="211" spans="1:16" s="84" customFormat="1" ht="29.25" customHeight="1">
      <c r="A211" s="81"/>
      <c r="B211" s="81"/>
      <c r="C211" s="81"/>
      <c r="D211" s="50" t="s">
        <v>149</v>
      </c>
      <c r="E211" s="50" t="s">
        <v>149</v>
      </c>
      <c r="F211" s="82">
        <v>5382485</v>
      </c>
      <c r="G211" s="26">
        <f t="shared" si="16"/>
        <v>5382.5</v>
      </c>
      <c r="H211" s="26">
        <v>50.7</v>
      </c>
      <c r="I211" s="82">
        <v>2732167</v>
      </c>
      <c r="J211" s="26">
        <f t="shared" si="17"/>
        <v>2732.2</v>
      </c>
      <c r="K211" s="9">
        <f>50000+603355</f>
        <v>653355</v>
      </c>
      <c r="L211" s="9"/>
      <c r="M211" s="34">
        <f t="shared" si="18"/>
        <v>653355</v>
      </c>
      <c r="N211" s="35">
        <f>ROUND(M211/1000,1)-0.1</f>
        <v>653.3</v>
      </c>
      <c r="P211" s="31"/>
    </row>
    <row r="212" spans="1:16" s="84" customFormat="1" ht="27.75" customHeight="1">
      <c r="A212" s="81"/>
      <c r="B212" s="81"/>
      <c r="C212" s="81"/>
      <c r="D212" s="50" t="s">
        <v>395</v>
      </c>
      <c r="E212" s="50" t="s">
        <v>395</v>
      </c>
      <c r="F212" s="82"/>
      <c r="G212" s="26">
        <f t="shared" si="16"/>
        <v>0</v>
      </c>
      <c r="H212" s="26"/>
      <c r="I212" s="82"/>
      <c r="J212" s="26">
        <f t="shared" si="17"/>
        <v>0</v>
      </c>
      <c r="K212" s="9">
        <v>200000</v>
      </c>
      <c r="L212" s="9"/>
      <c r="M212" s="34">
        <f t="shared" si="18"/>
        <v>200000</v>
      </c>
      <c r="N212" s="35">
        <f t="shared" si="19"/>
        <v>200</v>
      </c>
      <c r="P212" s="31"/>
    </row>
    <row r="213" spans="1:16" s="84" customFormat="1" ht="29.25" customHeight="1">
      <c r="A213" s="81"/>
      <c r="B213" s="81"/>
      <c r="C213" s="81"/>
      <c r="D213" s="50" t="s">
        <v>361</v>
      </c>
      <c r="E213" s="50" t="s">
        <v>361</v>
      </c>
      <c r="F213" s="82"/>
      <c r="G213" s="26">
        <f t="shared" si="16"/>
        <v>0</v>
      </c>
      <c r="H213" s="26"/>
      <c r="I213" s="82"/>
      <c r="J213" s="26">
        <f t="shared" si="17"/>
        <v>0</v>
      </c>
      <c r="K213" s="9">
        <v>30000</v>
      </c>
      <c r="L213" s="9"/>
      <c r="M213" s="34">
        <f t="shared" si="18"/>
        <v>30000</v>
      </c>
      <c r="N213" s="35">
        <f t="shared" si="19"/>
        <v>30</v>
      </c>
      <c r="P213" s="31"/>
    </row>
    <row r="214" spans="1:16" s="84" customFormat="1" ht="33" customHeight="1">
      <c r="A214" s="81"/>
      <c r="B214" s="81"/>
      <c r="C214" s="81"/>
      <c r="D214" s="71" t="s">
        <v>276</v>
      </c>
      <c r="E214" s="71" t="s">
        <v>276</v>
      </c>
      <c r="F214" s="82"/>
      <c r="G214" s="26">
        <f t="shared" si="16"/>
        <v>0</v>
      </c>
      <c r="H214" s="26"/>
      <c r="I214" s="82"/>
      <c r="J214" s="26">
        <f t="shared" si="17"/>
        <v>0</v>
      </c>
      <c r="K214" s="9">
        <v>8500</v>
      </c>
      <c r="L214" s="9"/>
      <c r="M214" s="34">
        <f t="shared" si="18"/>
        <v>8500</v>
      </c>
      <c r="N214" s="35">
        <f t="shared" si="19"/>
        <v>8.5</v>
      </c>
      <c r="P214" s="31"/>
    </row>
    <row r="215" spans="1:16" s="84" customFormat="1" ht="38.25" customHeight="1">
      <c r="A215" s="81"/>
      <c r="B215" s="81"/>
      <c r="C215" s="81"/>
      <c r="D215" s="50" t="s">
        <v>150</v>
      </c>
      <c r="E215" s="50" t="s">
        <v>150</v>
      </c>
      <c r="F215" s="82"/>
      <c r="G215" s="26">
        <f t="shared" si="16"/>
        <v>0</v>
      </c>
      <c r="H215" s="26"/>
      <c r="I215" s="82"/>
      <c r="J215" s="26">
        <f t="shared" si="17"/>
        <v>0</v>
      </c>
      <c r="K215" s="9">
        <f>500000-391000</f>
        <v>109000</v>
      </c>
      <c r="L215" s="9"/>
      <c r="M215" s="34">
        <f t="shared" si="18"/>
        <v>109000</v>
      </c>
      <c r="N215" s="35">
        <f t="shared" si="19"/>
        <v>109</v>
      </c>
      <c r="P215" s="31"/>
    </row>
    <row r="216" spans="1:16" s="84" customFormat="1" ht="43.5" customHeight="1">
      <c r="A216" s="81"/>
      <c r="B216" s="81"/>
      <c r="C216" s="81"/>
      <c r="D216" s="50" t="s">
        <v>151</v>
      </c>
      <c r="E216" s="50" t="s">
        <v>151</v>
      </c>
      <c r="F216" s="82">
        <v>1388402</v>
      </c>
      <c r="G216" s="26">
        <f t="shared" si="16"/>
        <v>1388.4</v>
      </c>
      <c r="H216" s="26">
        <v>97.1</v>
      </c>
      <c r="I216" s="82">
        <v>1348369</v>
      </c>
      <c r="J216" s="26">
        <f t="shared" si="17"/>
        <v>1348.4</v>
      </c>
      <c r="K216" s="9">
        <f>986000+400000-57000</f>
        <v>1329000</v>
      </c>
      <c r="L216" s="9"/>
      <c r="M216" s="34">
        <f t="shared" si="18"/>
        <v>1329000</v>
      </c>
      <c r="N216" s="35">
        <f t="shared" si="19"/>
        <v>1329</v>
      </c>
      <c r="P216" s="31"/>
    </row>
    <row r="217" spans="1:16" s="84" customFormat="1" ht="30.75" customHeight="1">
      <c r="A217" s="81"/>
      <c r="B217" s="81"/>
      <c r="C217" s="81"/>
      <c r="D217" s="50" t="s">
        <v>394</v>
      </c>
      <c r="E217" s="50" t="s">
        <v>394</v>
      </c>
      <c r="F217" s="82"/>
      <c r="G217" s="26">
        <f t="shared" si="16"/>
        <v>0</v>
      </c>
      <c r="H217" s="26"/>
      <c r="I217" s="82"/>
      <c r="J217" s="26">
        <f t="shared" si="17"/>
        <v>0</v>
      </c>
      <c r="K217" s="9">
        <v>70000</v>
      </c>
      <c r="L217" s="9"/>
      <c r="M217" s="34">
        <f t="shared" si="18"/>
        <v>70000</v>
      </c>
      <c r="N217" s="35">
        <f t="shared" si="19"/>
        <v>70</v>
      </c>
      <c r="P217" s="31"/>
    </row>
    <row r="218" spans="1:16" s="84" customFormat="1" ht="30.75" customHeight="1">
      <c r="A218" s="81"/>
      <c r="B218" s="81"/>
      <c r="C218" s="81"/>
      <c r="D218" s="50" t="s">
        <v>435</v>
      </c>
      <c r="E218" s="50" t="s">
        <v>435</v>
      </c>
      <c r="F218" s="82"/>
      <c r="G218" s="26">
        <f t="shared" si="16"/>
        <v>0</v>
      </c>
      <c r="H218" s="26"/>
      <c r="I218" s="82"/>
      <c r="J218" s="26">
        <f t="shared" si="17"/>
        <v>0</v>
      </c>
      <c r="K218" s="9">
        <v>700000</v>
      </c>
      <c r="L218" s="9"/>
      <c r="M218" s="34">
        <f>L218+K218</f>
        <v>700000</v>
      </c>
      <c r="N218" s="35">
        <f t="shared" si="19"/>
        <v>700</v>
      </c>
      <c r="P218" s="31"/>
    </row>
    <row r="219" spans="1:16" s="84" customFormat="1" ht="45" customHeight="1">
      <c r="A219" s="81"/>
      <c r="B219" s="81"/>
      <c r="C219" s="81"/>
      <c r="D219" s="50" t="s">
        <v>152</v>
      </c>
      <c r="E219" s="50" t="s">
        <v>152</v>
      </c>
      <c r="F219" s="82">
        <v>1479061</v>
      </c>
      <c r="G219" s="26">
        <f t="shared" si="16"/>
        <v>1479.1</v>
      </c>
      <c r="H219" s="26">
        <v>97.5</v>
      </c>
      <c r="I219" s="82">
        <v>1442177</v>
      </c>
      <c r="J219" s="26">
        <f t="shared" si="17"/>
        <v>1442.2</v>
      </c>
      <c r="K219" s="9">
        <f>1455000-12823</f>
        <v>1442177</v>
      </c>
      <c r="L219" s="9"/>
      <c r="M219" s="34">
        <f t="shared" si="18"/>
        <v>1442177</v>
      </c>
      <c r="N219" s="35">
        <f t="shared" si="19"/>
        <v>1442.2</v>
      </c>
      <c r="P219" s="31"/>
    </row>
    <row r="220" spans="1:16" s="91" customFormat="1" ht="36" customHeight="1">
      <c r="A220" s="85">
        <v>1517322</v>
      </c>
      <c r="B220" s="38" t="s">
        <v>136</v>
      </c>
      <c r="C220" s="38" t="s">
        <v>49</v>
      </c>
      <c r="D220" s="86" t="s">
        <v>467</v>
      </c>
      <c r="E220" s="87"/>
      <c r="F220" s="82"/>
      <c r="G220" s="26">
        <f t="shared" si="16"/>
        <v>0</v>
      </c>
      <c r="H220" s="68"/>
      <c r="I220" s="82"/>
      <c r="J220" s="26">
        <f t="shared" si="17"/>
        <v>0</v>
      </c>
      <c r="K220" s="53">
        <f>K221+K223</f>
        <v>4380000</v>
      </c>
      <c r="L220" s="53">
        <f>L221+L223</f>
        <v>0</v>
      </c>
      <c r="M220" s="54">
        <f>M221+M223</f>
        <v>4380000</v>
      </c>
      <c r="N220" s="55">
        <f>N221+N223</f>
        <v>4380</v>
      </c>
      <c r="P220" s="31"/>
    </row>
    <row r="221" spans="1:148" s="36" customFormat="1" ht="24" customHeight="1">
      <c r="A221" s="80"/>
      <c r="B221" s="81"/>
      <c r="C221" s="81"/>
      <c r="D221" s="72" t="s">
        <v>138</v>
      </c>
      <c r="E221" s="72" t="s">
        <v>138</v>
      </c>
      <c r="F221" s="82"/>
      <c r="G221" s="26">
        <f t="shared" si="16"/>
        <v>0</v>
      </c>
      <c r="H221" s="75"/>
      <c r="I221" s="82"/>
      <c r="J221" s="26">
        <f t="shared" si="17"/>
        <v>0</v>
      </c>
      <c r="K221" s="27">
        <f>K222</f>
        <v>20000</v>
      </c>
      <c r="L221" s="27">
        <f>L222</f>
        <v>0</v>
      </c>
      <c r="M221" s="28">
        <f>M222</f>
        <v>20000</v>
      </c>
      <c r="N221" s="29">
        <f>N222</f>
        <v>20</v>
      </c>
      <c r="O221" s="65"/>
      <c r="P221" s="31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</row>
    <row r="222" spans="1:16" s="84" customFormat="1" ht="24" customHeight="1">
      <c r="A222" s="17"/>
      <c r="B222" s="81"/>
      <c r="C222" s="81"/>
      <c r="D222" s="71" t="s">
        <v>234</v>
      </c>
      <c r="E222" s="71" t="s">
        <v>234</v>
      </c>
      <c r="F222" s="82"/>
      <c r="G222" s="26">
        <f t="shared" si="16"/>
        <v>0</v>
      </c>
      <c r="H222" s="26"/>
      <c r="I222" s="82"/>
      <c r="J222" s="26">
        <f t="shared" si="17"/>
        <v>0</v>
      </c>
      <c r="K222" s="9">
        <v>20000</v>
      </c>
      <c r="L222" s="9"/>
      <c r="M222" s="34">
        <f>L222+K222</f>
        <v>20000</v>
      </c>
      <c r="N222" s="35">
        <f t="shared" si="19"/>
        <v>20</v>
      </c>
      <c r="P222" s="31"/>
    </row>
    <row r="223" spans="1:148" s="36" customFormat="1" ht="28.5" customHeight="1">
      <c r="A223" s="80"/>
      <c r="B223" s="81"/>
      <c r="C223" s="81"/>
      <c r="D223" s="3" t="s">
        <v>141</v>
      </c>
      <c r="E223" s="3" t="s">
        <v>141</v>
      </c>
      <c r="F223" s="82"/>
      <c r="G223" s="26">
        <f t="shared" si="16"/>
        <v>0</v>
      </c>
      <c r="H223" s="75"/>
      <c r="I223" s="82"/>
      <c r="J223" s="26">
        <f t="shared" si="17"/>
        <v>0</v>
      </c>
      <c r="K223" s="27">
        <f>SUM(K224:K227)</f>
        <v>4360000</v>
      </c>
      <c r="L223" s="27">
        <f>SUM(L224:L227)</f>
        <v>0</v>
      </c>
      <c r="M223" s="28">
        <f>SUM(M224:M227)</f>
        <v>4360000</v>
      </c>
      <c r="N223" s="29">
        <f>SUM(N224:N227)</f>
        <v>4360</v>
      </c>
      <c r="O223" s="65"/>
      <c r="P223" s="31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</row>
    <row r="224" spans="1:16" s="84" customFormat="1" ht="27.75" customHeight="1">
      <c r="A224" s="17"/>
      <c r="B224" s="81"/>
      <c r="C224" s="81"/>
      <c r="D224" s="71" t="s">
        <v>173</v>
      </c>
      <c r="E224" s="71" t="s">
        <v>173</v>
      </c>
      <c r="F224" s="82">
        <v>16272770</v>
      </c>
      <c r="G224" s="26">
        <f t="shared" si="16"/>
        <v>16272.8</v>
      </c>
      <c r="H224" s="92">
        <v>98.66</v>
      </c>
      <c r="I224" s="82">
        <v>16054529</v>
      </c>
      <c r="J224" s="26">
        <f t="shared" si="17"/>
        <v>16054.5</v>
      </c>
      <c r="K224" s="9">
        <f>2000000+300000-700000</f>
        <v>1600000</v>
      </c>
      <c r="L224" s="9"/>
      <c r="M224" s="34">
        <f>L224+K224</f>
        <v>1600000</v>
      </c>
      <c r="N224" s="35">
        <f t="shared" si="19"/>
        <v>1600</v>
      </c>
      <c r="P224" s="31"/>
    </row>
    <row r="225" spans="1:16" s="84" customFormat="1" ht="34.5" customHeight="1">
      <c r="A225" s="17"/>
      <c r="B225" s="81"/>
      <c r="C225" s="81"/>
      <c r="D225" s="33" t="s">
        <v>153</v>
      </c>
      <c r="E225" s="33" t="s">
        <v>153</v>
      </c>
      <c r="F225" s="82"/>
      <c r="G225" s="26">
        <f t="shared" si="16"/>
        <v>0</v>
      </c>
      <c r="H225" s="93"/>
      <c r="I225" s="82"/>
      <c r="J225" s="26">
        <f t="shared" si="17"/>
        <v>0</v>
      </c>
      <c r="K225" s="9">
        <f>9000+100000</f>
        <v>109000</v>
      </c>
      <c r="L225" s="9"/>
      <c r="M225" s="34">
        <f>L225+K225</f>
        <v>109000</v>
      </c>
      <c r="N225" s="35">
        <f t="shared" si="19"/>
        <v>109</v>
      </c>
      <c r="P225" s="31"/>
    </row>
    <row r="226" spans="1:16" s="84" customFormat="1" ht="27" customHeight="1">
      <c r="A226" s="17"/>
      <c r="B226" s="81"/>
      <c r="C226" s="81"/>
      <c r="D226" s="33" t="s">
        <v>154</v>
      </c>
      <c r="E226" s="33" t="s">
        <v>154</v>
      </c>
      <c r="F226" s="82">
        <v>1591924</v>
      </c>
      <c r="G226" s="26">
        <f t="shared" si="16"/>
        <v>1591.9</v>
      </c>
      <c r="H226" s="92">
        <v>100</v>
      </c>
      <c r="I226" s="82">
        <v>1591924</v>
      </c>
      <c r="J226" s="26">
        <f t="shared" si="17"/>
        <v>1591.9</v>
      </c>
      <c r="K226" s="9">
        <f>1000000+350000-12000</f>
        <v>1338000</v>
      </c>
      <c r="L226" s="9"/>
      <c r="M226" s="34">
        <f>L226+K226</f>
        <v>1338000</v>
      </c>
      <c r="N226" s="35">
        <f t="shared" si="19"/>
        <v>1338</v>
      </c>
      <c r="P226" s="31"/>
    </row>
    <row r="227" spans="1:148" ht="42" customHeight="1">
      <c r="A227" s="17"/>
      <c r="B227" s="81"/>
      <c r="C227" s="81"/>
      <c r="D227" s="50" t="s">
        <v>174</v>
      </c>
      <c r="E227" s="50" t="s">
        <v>174</v>
      </c>
      <c r="F227" s="82">
        <v>1459371</v>
      </c>
      <c r="G227" s="26">
        <f t="shared" si="16"/>
        <v>1459.4</v>
      </c>
      <c r="H227" s="26">
        <v>100</v>
      </c>
      <c r="I227" s="82">
        <v>1459371</v>
      </c>
      <c r="J227" s="26">
        <f t="shared" si="17"/>
        <v>1459.4</v>
      </c>
      <c r="K227" s="9">
        <f>1000000+350000-37000</f>
        <v>1313000</v>
      </c>
      <c r="L227" s="9"/>
      <c r="M227" s="34">
        <f>L227+K227</f>
        <v>1313000</v>
      </c>
      <c r="N227" s="35">
        <f t="shared" si="19"/>
        <v>1313</v>
      </c>
      <c r="O227" s="84"/>
      <c r="P227" s="31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</row>
    <row r="228" spans="1:148" s="95" customFormat="1" ht="34.5" customHeight="1">
      <c r="A228" s="85">
        <v>1517325</v>
      </c>
      <c r="B228" s="38" t="s">
        <v>137</v>
      </c>
      <c r="C228" s="38" t="s">
        <v>49</v>
      </c>
      <c r="D228" s="86" t="s">
        <v>468</v>
      </c>
      <c r="E228" s="94"/>
      <c r="F228" s="82"/>
      <c r="G228" s="26">
        <f t="shared" si="16"/>
        <v>0</v>
      </c>
      <c r="H228" s="68"/>
      <c r="I228" s="82"/>
      <c r="J228" s="26">
        <f t="shared" si="17"/>
        <v>0</v>
      </c>
      <c r="K228" s="53">
        <f>K229</f>
        <v>5011000</v>
      </c>
      <c r="L228" s="53">
        <f>L229</f>
        <v>50000</v>
      </c>
      <c r="M228" s="54">
        <f>M229</f>
        <v>5061000</v>
      </c>
      <c r="N228" s="55">
        <f>N229</f>
        <v>5061</v>
      </c>
      <c r="O228" s="91"/>
      <c r="P228" s="3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</row>
    <row r="229" spans="1:148" s="36" customFormat="1" ht="22.5" customHeight="1">
      <c r="A229" s="80"/>
      <c r="B229" s="81"/>
      <c r="C229" s="81"/>
      <c r="D229" s="3" t="s">
        <v>141</v>
      </c>
      <c r="E229" s="3" t="s">
        <v>141</v>
      </c>
      <c r="F229" s="82"/>
      <c r="G229" s="26">
        <f t="shared" si="16"/>
        <v>0</v>
      </c>
      <c r="H229" s="75"/>
      <c r="I229" s="82"/>
      <c r="J229" s="26">
        <f t="shared" si="17"/>
        <v>0</v>
      </c>
      <c r="K229" s="27">
        <f>SUM(K230:K233)</f>
        <v>5011000</v>
      </c>
      <c r="L229" s="27">
        <f>SUM(L230:L233)</f>
        <v>50000</v>
      </c>
      <c r="M229" s="28">
        <f>SUM(M230:M233)</f>
        <v>5061000</v>
      </c>
      <c r="N229" s="29">
        <f>SUM(N230:N233)</f>
        <v>5061</v>
      </c>
      <c r="O229" s="65"/>
      <c r="P229" s="31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</row>
    <row r="230" spans="1:16" s="84" customFormat="1" ht="32.25" customHeight="1">
      <c r="A230" s="81"/>
      <c r="B230" s="81"/>
      <c r="C230" s="81"/>
      <c r="D230" s="71" t="s">
        <v>155</v>
      </c>
      <c r="E230" s="71" t="s">
        <v>155</v>
      </c>
      <c r="F230" s="82">
        <v>8134171</v>
      </c>
      <c r="G230" s="26">
        <f t="shared" si="16"/>
        <v>8134.2</v>
      </c>
      <c r="H230" s="26">
        <v>35.9</v>
      </c>
      <c r="I230" s="82">
        <v>2927689</v>
      </c>
      <c r="J230" s="26">
        <f t="shared" si="17"/>
        <v>2927.7</v>
      </c>
      <c r="K230" s="9">
        <f>2000000-125000-234000</f>
        <v>1641000</v>
      </c>
      <c r="L230" s="9"/>
      <c r="M230" s="34">
        <f>L230+K230</f>
        <v>1641000</v>
      </c>
      <c r="N230" s="35">
        <f t="shared" si="19"/>
        <v>1641</v>
      </c>
      <c r="P230" s="31"/>
    </row>
    <row r="231" spans="1:16" s="84" customFormat="1" ht="28.5" customHeight="1">
      <c r="A231" s="81"/>
      <c r="B231" s="81"/>
      <c r="C231" s="81"/>
      <c r="D231" s="71" t="s">
        <v>156</v>
      </c>
      <c r="E231" s="71" t="s">
        <v>156</v>
      </c>
      <c r="F231" s="82">
        <v>33898627</v>
      </c>
      <c r="G231" s="26">
        <f t="shared" si="16"/>
        <v>33898.6</v>
      </c>
      <c r="H231" s="26">
        <v>64.8</v>
      </c>
      <c r="I231" s="82">
        <v>21964382</v>
      </c>
      <c r="J231" s="26">
        <f t="shared" si="17"/>
        <v>21964.4</v>
      </c>
      <c r="K231" s="9">
        <v>35000</v>
      </c>
      <c r="L231" s="9"/>
      <c r="M231" s="34">
        <f>L231+K231</f>
        <v>35000</v>
      </c>
      <c r="N231" s="35">
        <f t="shared" si="19"/>
        <v>35</v>
      </c>
      <c r="P231" s="31"/>
    </row>
    <row r="232" spans="1:16" s="84" customFormat="1" ht="35.25" customHeight="1">
      <c r="A232" s="81"/>
      <c r="B232" s="81"/>
      <c r="C232" s="81"/>
      <c r="D232" s="71" t="s">
        <v>372</v>
      </c>
      <c r="E232" s="71" t="s">
        <v>372</v>
      </c>
      <c r="F232" s="82">
        <v>12421937</v>
      </c>
      <c r="G232" s="26">
        <f t="shared" si="16"/>
        <v>12421.9</v>
      </c>
      <c r="H232" s="26">
        <v>100</v>
      </c>
      <c r="I232" s="82">
        <v>12421937</v>
      </c>
      <c r="J232" s="26">
        <f t="shared" si="17"/>
        <v>12421.9</v>
      </c>
      <c r="K232" s="9">
        <v>50000</v>
      </c>
      <c r="L232" s="9">
        <v>50000</v>
      </c>
      <c r="M232" s="34">
        <f>L232+K232</f>
        <v>100000</v>
      </c>
      <c r="N232" s="35">
        <f t="shared" si="19"/>
        <v>100</v>
      </c>
      <c r="P232" s="31"/>
    </row>
    <row r="233" spans="1:16" s="84" customFormat="1" ht="36.75" customHeight="1">
      <c r="A233" s="81"/>
      <c r="B233" s="81"/>
      <c r="C233" s="81"/>
      <c r="D233" s="71" t="s">
        <v>175</v>
      </c>
      <c r="E233" s="71" t="s">
        <v>175</v>
      </c>
      <c r="F233" s="82">
        <v>3821803</v>
      </c>
      <c r="G233" s="26">
        <f t="shared" si="16"/>
        <v>3821.8</v>
      </c>
      <c r="H233" s="26">
        <v>97.6</v>
      </c>
      <c r="I233" s="82">
        <v>3729106</v>
      </c>
      <c r="J233" s="26">
        <f t="shared" si="17"/>
        <v>3729.1</v>
      </c>
      <c r="K233" s="9">
        <f>2500000+485000+300000</f>
        <v>3285000</v>
      </c>
      <c r="L233" s="9"/>
      <c r="M233" s="34">
        <f>L233+K233</f>
        <v>3285000</v>
      </c>
      <c r="N233" s="35">
        <f t="shared" si="19"/>
        <v>3285</v>
      </c>
      <c r="P233" s="31"/>
    </row>
    <row r="234" spans="1:148" ht="75" customHeight="1">
      <c r="A234" s="17">
        <v>1517330</v>
      </c>
      <c r="B234" s="32" t="s">
        <v>133</v>
      </c>
      <c r="C234" s="32" t="s">
        <v>49</v>
      </c>
      <c r="D234" s="25" t="s">
        <v>460</v>
      </c>
      <c r="E234" s="73"/>
      <c r="F234" s="82"/>
      <c r="G234" s="26">
        <f t="shared" si="16"/>
        <v>0</v>
      </c>
      <c r="H234" s="26"/>
      <c r="I234" s="82"/>
      <c r="J234" s="26">
        <f t="shared" si="17"/>
        <v>0</v>
      </c>
      <c r="K234" s="27">
        <f>K235+K276</f>
        <v>42195944</v>
      </c>
      <c r="L234" s="27">
        <f>L235+L276</f>
        <v>-122500</v>
      </c>
      <c r="M234" s="28">
        <f>M235+M276</f>
        <v>42073444</v>
      </c>
      <c r="N234" s="29">
        <f>N235+N276</f>
        <v>42073.5</v>
      </c>
      <c r="O234" s="84"/>
      <c r="P234" s="31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</row>
    <row r="235" spans="1:148" ht="24.75" customHeight="1">
      <c r="A235" s="96"/>
      <c r="B235" s="81"/>
      <c r="C235" s="81"/>
      <c r="D235" s="72" t="s">
        <v>138</v>
      </c>
      <c r="E235" s="72" t="s">
        <v>138</v>
      </c>
      <c r="F235" s="82"/>
      <c r="G235" s="26">
        <f t="shared" si="16"/>
        <v>0</v>
      </c>
      <c r="H235" s="97"/>
      <c r="I235" s="82"/>
      <c r="J235" s="26">
        <f t="shared" si="17"/>
        <v>0</v>
      </c>
      <c r="K235" s="27">
        <f>SUM(K236:K275)</f>
        <v>21528761</v>
      </c>
      <c r="L235" s="27">
        <f>SUM(L236:L275)</f>
        <v>-19346</v>
      </c>
      <c r="M235" s="28">
        <f>SUM(M236:M275)</f>
        <v>21509415</v>
      </c>
      <c r="N235" s="29">
        <f>SUM(N236:N275)</f>
        <v>21509.500000000004</v>
      </c>
      <c r="O235" s="84"/>
      <c r="P235" s="31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</row>
    <row r="236" spans="1:148" ht="29.25" customHeight="1">
      <c r="A236" s="96"/>
      <c r="B236" s="81"/>
      <c r="C236" s="81"/>
      <c r="D236" s="33" t="s">
        <v>331</v>
      </c>
      <c r="E236" s="33" t="s">
        <v>331</v>
      </c>
      <c r="F236" s="82"/>
      <c r="G236" s="26">
        <f t="shared" si="16"/>
        <v>0</v>
      </c>
      <c r="H236" s="97"/>
      <c r="I236" s="82"/>
      <c r="J236" s="26">
        <f t="shared" si="17"/>
        <v>0</v>
      </c>
      <c r="K236" s="9">
        <f>250000-200000</f>
        <v>50000</v>
      </c>
      <c r="L236" s="9"/>
      <c r="M236" s="34">
        <f aca="true" t="shared" si="20" ref="M236:M275">L236+K236</f>
        <v>50000</v>
      </c>
      <c r="N236" s="35">
        <f t="shared" si="19"/>
        <v>50</v>
      </c>
      <c r="O236" s="84"/>
      <c r="P236" s="31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</row>
    <row r="237" spans="1:148" ht="36" customHeight="1">
      <c r="A237" s="80"/>
      <c r="B237" s="80"/>
      <c r="C237" s="80"/>
      <c r="D237" s="71" t="s">
        <v>157</v>
      </c>
      <c r="E237" s="71" t="s">
        <v>157</v>
      </c>
      <c r="F237" s="82">
        <v>28556946</v>
      </c>
      <c r="G237" s="26">
        <f t="shared" si="16"/>
        <v>28556.9</v>
      </c>
      <c r="H237" s="83">
        <v>89.5</v>
      </c>
      <c r="I237" s="82">
        <v>25554164</v>
      </c>
      <c r="J237" s="26">
        <f t="shared" si="17"/>
        <v>25554.2</v>
      </c>
      <c r="K237" s="9">
        <v>3000000</v>
      </c>
      <c r="L237" s="9"/>
      <c r="M237" s="34">
        <f t="shared" si="20"/>
        <v>3000000</v>
      </c>
      <c r="N237" s="35">
        <f t="shared" si="19"/>
        <v>3000</v>
      </c>
      <c r="O237" s="84"/>
      <c r="P237" s="31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</row>
    <row r="238" spans="1:16" s="84" customFormat="1" ht="30" customHeight="1">
      <c r="A238" s="81"/>
      <c r="B238" s="81"/>
      <c r="C238" s="81"/>
      <c r="D238" s="50" t="s">
        <v>158</v>
      </c>
      <c r="E238" s="50" t="s">
        <v>158</v>
      </c>
      <c r="F238" s="82">
        <v>15275728</v>
      </c>
      <c r="G238" s="26">
        <f t="shared" si="16"/>
        <v>15275.7</v>
      </c>
      <c r="H238" s="26">
        <v>79.1</v>
      </c>
      <c r="I238" s="82">
        <v>12085200</v>
      </c>
      <c r="J238" s="26">
        <f t="shared" si="17"/>
        <v>12085.2</v>
      </c>
      <c r="K238" s="9">
        <v>11136000</v>
      </c>
      <c r="L238" s="9"/>
      <c r="M238" s="34">
        <f t="shared" si="20"/>
        <v>11136000</v>
      </c>
      <c r="N238" s="35">
        <f t="shared" si="19"/>
        <v>11136</v>
      </c>
      <c r="P238" s="31"/>
    </row>
    <row r="239" spans="1:16" s="84" customFormat="1" ht="34.5" customHeight="1">
      <c r="A239" s="81"/>
      <c r="B239" s="81"/>
      <c r="C239" s="81"/>
      <c r="D239" s="71" t="s">
        <v>346</v>
      </c>
      <c r="E239" s="71" t="s">
        <v>346</v>
      </c>
      <c r="F239" s="82">
        <v>151045</v>
      </c>
      <c r="G239" s="26">
        <f t="shared" si="16"/>
        <v>151</v>
      </c>
      <c r="H239" s="26">
        <v>100</v>
      </c>
      <c r="I239" s="82">
        <v>151045</v>
      </c>
      <c r="J239" s="26">
        <f t="shared" si="17"/>
        <v>151</v>
      </c>
      <c r="K239" s="9">
        <v>151400</v>
      </c>
      <c r="L239" s="9">
        <v>-1243</v>
      </c>
      <c r="M239" s="34">
        <f t="shared" si="20"/>
        <v>150157</v>
      </c>
      <c r="N239" s="35">
        <f t="shared" si="19"/>
        <v>150.2</v>
      </c>
      <c r="P239" s="31"/>
    </row>
    <row r="240" spans="1:16" s="84" customFormat="1" ht="34.5" customHeight="1">
      <c r="A240" s="81"/>
      <c r="B240" s="81"/>
      <c r="C240" s="81"/>
      <c r="D240" s="71" t="s">
        <v>350</v>
      </c>
      <c r="E240" s="71" t="s">
        <v>350</v>
      </c>
      <c r="F240" s="82">
        <v>160879</v>
      </c>
      <c r="G240" s="26">
        <f t="shared" si="16"/>
        <v>160.9</v>
      </c>
      <c r="H240" s="26">
        <v>100</v>
      </c>
      <c r="I240" s="82">
        <v>160879</v>
      </c>
      <c r="J240" s="26">
        <f t="shared" si="17"/>
        <v>160.9</v>
      </c>
      <c r="K240" s="9">
        <v>157000</v>
      </c>
      <c r="L240" s="9"/>
      <c r="M240" s="34">
        <f t="shared" si="20"/>
        <v>157000</v>
      </c>
      <c r="N240" s="35">
        <f t="shared" si="19"/>
        <v>157</v>
      </c>
      <c r="P240" s="31"/>
    </row>
    <row r="241" spans="1:16" s="84" customFormat="1" ht="34.5" customHeight="1">
      <c r="A241" s="81"/>
      <c r="B241" s="81"/>
      <c r="C241" s="81"/>
      <c r="D241" s="71" t="s">
        <v>356</v>
      </c>
      <c r="E241" s="71" t="s">
        <v>356</v>
      </c>
      <c r="F241" s="82">
        <v>97138</v>
      </c>
      <c r="G241" s="26">
        <f t="shared" si="16"/>
        <v>97.1</v>
      </c>
      <c r="H241" s="26">
        <v>100</v>
      </c>
      <c r="I241" s="82">
        <v>97138</v>
      </c>
      <c r="J241" s="26">
        <f t="shared" si="17"/>
        <v>97.1</v>
      </c>
      <c r="K241" s="9">
        <v>100000</v>
      </c>
      <c r="L241" s="9">
        <v>-2862</v>
      </c>
      <c r="M241" s="34">
        <f t="shared" si="20"/>
        <v>97138</v>
      </c>
      <c r="N241" s="35">
        <f t="shared" si="19"/>
        <v>97.1</v>
      </c>
      <c r="P241" s="31"/>
    </row>
    <row r="242" spans="1:16" s="84" customFormat="1" ht="30" customHeight="1">
      <c r="A242" s="81"/>
      <c r="B242" s="81"/>
      <c r="C242" s="81"/>
      <c r="D242" s="71" t="s">
        <v>373</v>
      </c>
      <c r="E242" s="71" t="s">
        <v>373</v>
      </c>
      <c r="F242" s="82">
        <v>53632</v>
      </c>
      <c r="G242" s="26">
        <f t="shared" si="16"/>
        <v>53.6</v>
      </c>
      <c r="H242" s="26">
        <v>100</v>
      </c>
      <c r="I242" s="82">
        <v>53632</v>
      </c>
      <c r="J242" s="26">
        <f t="shared" si="17"/>
        <v>53.6</v>
      </c>
      <c r="K242" s="9">
        <v>50000</v>
      </c>
      <c r="L242" s="9"/>
      <c r="M242" s="34">
        <f t="shared" si="20"/>
        <v>50000</v>
      </c>
      <c r="N242" s="35">
        <f t="shared" si="19"/>
        <v>50</v>
      </c>
      <c r="P242" s="31"/>
    </row>
    <row r="243" spans="1:16" s="84" customFormat="1" ht="30.75" customHeight="1">
      <c r="A243" s="81"/>
      <c r="B243" s="81"/>
      <c r="C243" s="81"/>
      <c r="D243" s="71" t="s">
        <v>351</v>
      </c>
      <c r="E243" s="71" t="s">
        <v>351</v>
      </c>
      <c r="F243" s="82">
        <v>99196</v>
      </c>
      <c r="G243" s="26">
        <f t="shared" si="16"/>
        <v>99.2</v>
      </c>
      <c r="H243" s="26">
        <v>100</v>
      </c>
      <c r="I243" s="82">
        <v>99196</v>
      </c>
      <c r="J243" s="26">
        <f t="shared" si="17"/>
        <v>99.2</v>
      </c>
      <c r="K243" s="9">
        <v>2400</v>
      </c>
      <c r="L243" s="9"/>
      <c r="M243" s="34">
        <f t="shared" si="20"/>
        <v>2400</v>
      </c>
      <c r="N243" s="35">
        <f t="shared" si="19"/>
        <v>2.4</v>
      </c>
      <c r="P243" s="31"/>
    </row>
    <row r="244" spans="1:16" s="84" customFormat="1" ht="32.25" customHeight="1">
      <c r="A244" s="81"/>
      <c r="B244" s="81"/>
      <c r="C244" s="81"/>
      <c r="D244" s="50" t="s">
        <v>405</v>
      </c>
      <c r="E244" s="50" t="s">
        <v>405</v>
      </c>
      <c r="F244" s="82">
        <v>46163</v>
      </c>
      <c r="G244" s="26">
        <f t="shared" si="16"/>
        <v>46.2</v>
      </c>
      <c r="H244" s="26">
        <v>100</v>
      </c>
      <c r="I244" s="82">
        <v>46163</v>
      </c>
      <c r="J244" s="26">
        <f t="shared" si="17"/>
        <v>46.2</v>
      </c>
      <c r="K244" s="9">
        <v>48000</v>
      </c>
      <c r="L244" s="9">
        <v>-1837</v>
      </c>
      <c r="M244" s="34">
        <f t="shared" si="20"/>
        <v>46163</v>
      </c>
      <c r="N244" s="35">
        <f t="shared" si="19"/>
        <v>46.2</v>
      </c>
      <c r="P244" s="31"/>
    </row>
    <row r="245" spans="1:16" s="84" customFormat="1" ht="28.5" customHeight="1">
      <c r="A245" s="81"/>
      <c r="B245" s="81"/>
      <c r="C245" s="81"/>
      <c r="D245" s="50" t="s">
        <v>391</v>
      </c>
      <c r="E245" s="50" t="s">
        <v>391</v>
      </c>
      <c r="F245" s="82">
        <v>107178</v>
      </c>
      <c r="G245" s="26">
        <f t="shared" si="16"/>
        <v>107.2</v>
      </c>
      <c r="H245" s="26">
        <v>100</v>
      </c>
      <c r="I245" s="82">
        <v>107178</v>
      </c>
      <c r="J245" s="26">
        <f t="shared" si="17"/>
        <v>107.2</v>
      </c>
      <c r="K245" s="9">
        <v>107000</v>
      </c>
      <c r="L245" s="9"/>
      <c r="M245" s="34">
        <f t="shared" si="20"/>
        <v>107000</v>
      </c>
      <c r="N245" s="35">
        <f t="shared" si="19"/>
        <v>107</v>
      </c>
      <c r="P245" s="31"/>
    </row>
    <row r="246" spans="1:16" s="84" customFormat="1" ht="27.75" customHeight="1">
      <c r="A246" s="81"/>
      <c r="B246" s="81"/>
      <c r="C246" s="81"/>
      <c r="D246" s="50" t="s">
        <v>225</v>
      </c>
      <c r="E246" s="50" t="s">
        <v>225</v>
      </c>
      <c r="F246" s="82">
        <v>96719</v>
      </c>
      <c r="G246" s="26">
        <f t="shared" si="16"/>
        <v>96.7</v>
      </c>
      <c r="H246" s="26">
        <v>100</v>
      </c>
      <c r="I246" s="82">
        <v>96719</v>
      </c>
      <c r="J246" s="26">
        <f t="shared" si="17"/>
        <v>96.7</v>
      </c>
      <c r="K246" s="9">
        <f>100000-5700-235</f>
        <v>94065</v>
      </c>
      <c r="L246" s="9"/>
      <c r="M246" s="34">
        <f t="shared" si="20"/>
        <v>94065</v>
      </c>
      <c r="N246" s="35">
        <f t="shared" si="19"/>
        <v>94.1</v>
      </c>
      <c r="P246" s="31"/>
    </row>
    <row r="247" spans="1:16" s="84" customFormat="1" ht="29.25" customHeight="1">
      <c r="A247" s="81"/>
      <c r="B247" s="81"/>
      <c r="C247" s="81"/>
      <c r="D247" s="50" t="s">
        <v>233</v>
      </c>
      <c r="E247" s="50" t="s">
        <v>233</v>
      </c>
      <c r="F247" s="82">
        <v>297594</v>
      </c>
      <c r="G247" s="26">
        <f t="shared" si="16"/>
        <v>297.6</v>
      </c>
      <c r="H247" s="26">
        <v>100</v>
      </c>
      <c r="I247" s="82">
        <v>297594</v>
      </c>
      <c r="J247" s="26">
        <f t="shared" si="17"/>
        <v>297.6</v>
      </c>
      <c r="K247" s="9">
        <f>300000-5700-108</f>
        <v>294192</v>
      </c>
      <c r="L247" s="9"/>
      <c r="M247" s="34">
        <f t="shared" si="20"/>
        <v>294192</v>
      </c>
      <c r="N247" s="35">
        <f t="shared" si="19"/>
        <v>294.2</v>
      </c>
      <c r="P247" s="31"/>
    </row>
    <row r="248" spans="1:16" s="84" customFormat="1" ht="32.25" customHeight="1">
      <c r="A248" s="81"/>
      <c r="B248" s="81"/>
      <c r="C248" s="81"/>
      <c r="D248" s="50" t="s">
        <v>298</v>
      </c>
      <c r="E248" s="50" t="s">
        <v>298</v>
      </c>
      <c r="F248" s="82">
        <v>71245</v>
      </c>
      <c r="G248" s="26">
        <f t="shared" si="16"/>
        <v>71.2</v>
      </c>
      <c r="H248" s="26">
        <v>100</v>
      </c>
      <c r="I248" s="82">
        <v>71245</v>
      </c>
      <c r="J248" s="26">
        <f t="shared" si="17"/>
        <v>71.2</v>
      </c>
      <c r="K248" s="9">
        <v>67450</v>
      </c>
      <c r="L248" s="9">
        <v>-125</v>
      </c>
      <c r="M248" s="34">
        <f t="shared" si="20"/>
        <v>67325</v>
      </c>
      <c r="N248" s="35">
        <f t="shared" si="19"/>
        <v>67.3</v>
      </c>
      <c r="P248" s="31"/>
    </row>
    <row r="249" spans="1:16" s="84" customFormat="1" ht="36.75" customHeight="1">
      <c r="A249" s="81"/>
      <c r="B249" s="81"/>
      <c r="C249" s="81"/>
      <c r="D249" s="50" t="s">
        <v>297</v>
      </c>
      <c r="E249" s="50" t="s">
        <v>297</v>
      </c>
      <c r="F249" s="82">
        <v>91410</v>
      </c>
      <c r="G249" s="26">
        <f t="shared" si="16"/>
        <v>91.4</v>
      </c>
      <c r="H249" s="26">
        <v>100</v>
      </c>
      <c r="I249" s="82">
        <v>91410</v>
      </c>
      <c r="J249" s="26">
        <f t="shared" si="17"/>
        <v>91.4</v>
      </c>
      <c r="K249" s="9">
        <v>87750</v>
      </c>
      <c r="L249" s="9"/>
      <c r="M249" s="34">
        <f t="shared" si="20"/>
        <v>87750</v>
      </c>
      <c r="N249" s="35">
        <f t="shared" si="19"/>
        <v>87.8</v>
      </c>
      <c r="P249" s="31"/>
    </row>
    <row r="250" spans="1:16" s="84" customFormat="1" ht="27.75" customHeight="1">
      <c r="A250" s="81"/>
      <c r="B250" s="81"/>
      <c r="C250" s="81"/>
      <c r="D250" s="50" t="s">
        <v>427</v>
      </c>
      <c r="E250" s="50" t="s">
        <v>427</v>
      </c>
      <c r="F250" s="82"/>
      <c r="G250" s="26">
        <f t="shared" si="16"/>
        <v>0</v>
      </c>
      <c r="H250" s="26"/>
      <c r="I250" s="82"/>
      <c r="J250" s="26">
        <f t="shared" si="17"/>
        <v>0</v>
      </c>
      <c r="K250" s="9">
        <v>100000</v>
      </c>
      <c r="L250" s="9"/>
      <c r="M250" s="34">
        <f>L250+K250</f>
        <v>100000</v>
      </c>
      <c r="N250" s="35">
        <f t="shared" si="19"/>
        <v>100</v>
      </c>
      <c r="P250" s="31"/>
    </row>
    <row r="251" spans="1:16" s="84" customFormat="1" ht="31.5" customHeight="1">
      <c r="A251" s="81"/>
      <c r="B251" s="81"/>
      <c r="C251" s="81"/>
      <c r="D251" s="50" t="s">
        <v>277</v>
      </c>
      <c r="E251" s="50" t="s">
        <v>277</v>
      </c>
      <c r="F251" s="82">
        <v>53633</v>
      </c>
      <c r="G251" s="26">
        <f t="shared" si="16"/>
        <v>53.6</v>
      </c>
      <c r="H251" s="26">
        <v>100</v>
      </c>
      <c r="I251" s="82">
        <v>53633</v>
      </c>
      <c r="J251" s="26">
        <f t="shared" si="17"/>
        <v>53.6</v>
      </c>
      <c r="K251" s="9">
        <v>50000</v>
      </c>
      <c r="L251" s="9"/>
      <c r="M251" s="34">
        <f t="shared" si="20"/>
        <v>50000</v>
      </c>
      <c r="N251" s="35">
        <f t="shared" si="19"/>
        <v>50</v>
      </c>
      <c r="P251" s="31"/>
    </row>
    <row r="252" spans="1:16" s="84" customFormat="1" ht="24" customHeight="1">
      <c r="A252" s="81"/>
      <c r="B252" s="81"/>
      <c r="C252" s="81"/>
      <c r="D252" s="50" t="s">
        <v>278</v>
      </c>
      <c r="E252" s="50" t="s">
        <v>278</v>
      </c>
      <c r="F252" s="82">
        <v>53633</v>
      </c>
      <c r="G252" s="26">
        <f t="shared" si="16"/>
        <v>53.6</v>
      </c>
      <c r="H252" s="26">
        <v>100</v>
      </c>
      <c r="I252" s="82">
        <v>53633</v>
      </c>
      <c r="J252" s="26">
        <f t="shared" si="17"/>
        <v>53.6</v>
      </c>
      <c r="K252" s="9">
        <v>50000</v>
      </c>
      <c r="L252" s="9"/>
      <c r="M252" s="34">
        <f t="shared" si="20"/>
        <v>50000</v>
      </c>
      <c r="N252" s="35">
        <f t="shared" si="19"/>
        <v>50</v>
      </c>
      <c r="P252" s="31"/>
    </row>
    <row r="253" spans="1:16" s="84" customFormat="1" ht="27.75" customHeight="1">
      <c r="A253" s="81"/>
      <c r="B253" s="81"/>
      <c r="C253" s="81"/>
      <c r="D253" s="50" t="s">
        <v>417</v>
      </c>
      <c r="E253" s="50" t="s">
        <v>417</v>
      </c>
      <c r="F253" s="82"/>
      <c r="G253" s="26">
        <f t="shared" si="16"/>
        <v>0</v>
      </c>
      <c r="H253" s="26"/>
      <c r="I253" s="82"/>
      <c r="J253" s="26">
        <f t="shared" si="17"/>
        <v>0</v>
      </c>
      <c r="K253" s="9">
        <v>50000</v>
      </c>
      <c r="L253" s="9"/>
      <c r="M253" s="34">
        <f>L253+K253</f>
        <v>50000</v>
      </c>
      <c r="N253" s="35">
        <f t="shared" si="19"/>
        <v>50</v>
      </c>
      <c r="P253" s="31"/>
    </row>
    <row r="254" spans="1:16" s="84" customFormat="1" ht="28.5" customHeight="1">
      <c r="A254" s="81"/>
      <c r="B254" s="81"/>
      <c r="C254" s="81"/>
      <c r="D254" s="50" t="s">
        <v>390</v>
      </c>
      <c r="E254" s="50" t="s">
        <v>390</v>
      </c>
      <c r="F254" s="82">
        <v>53633</v>
      </c>
      <c r="G254" s="26">
        <f t="shared" si="16"/>
        <v>53.6</v>
      </c>
      <c r="H254" s="26">
        <v>100</v>
      </c>
      <c r="I254" s="82">
        <v>53633</v>
      </c>
      <c r="J254" s="26">
        <f t="shared" si="17"/>
        <v>53.6</v>
      </c>
      <c r="K254" s="9">
        <v>50000</v>
      </c>
      <c r="L254" s="9"/>
      <c r="M254" s="34">
        <f t="shared" si="20"/>
        <v>50000</v>
      </c>
      <c r="N254" s="35">
        <f t="shared" si="19"/>
        <v>50</v>
      </c>
      <c r="P254" s="31"/>
    </row>
    <row r="255" spans="1:16" s="84" customFormat="1" ht="28.5" customHeight="1">
      <c r="A255" s="81"/>
      <c r="B255" s="81"/>
      <c r="C255" s="81"/>
      <c r="D255" s="50" t="s">
        <v>374</v>
      </c>
      <c r="E255" s="50" t="s">
        <v>374</v>
      </c>
      <c r="F255" s="82">
        <v>99196</v>
      </c>
      <c r="G255" s="26">
        <f t="shared" si="16"/>
        <v>99.2</v>
      </c>
      <c r="H255" s="26">
        <v>100</v>
      </c>
      <c r="I255" s="82">
        <v>99196</v>
      </c>
      <c r="J255" s="26">
        <f t="shared" si="17"/>
        <v>99.2</v>
      </c>
      <c r="K255" s="9">
        <v>100000</v>
      </c>
      <c r="L255" s="9">
        <v>-804</v>
      </c>
      <c r="M255" s="34">
        <f t="shared" si="20"/>
        <v>99196</v>
      </c>
      <c r="N255" s="35">
        <f t="shared" si="19"/>
        <v>99.2</v>
      </c>
      <c r="P255" s="31"/>
    </row>
    <row r="256" spans="1:16" s="84" customFormat="1" ht="28.5" customHeight="1">
      <c r="A256" s="81"/>
      <c r="B256" s="81"/>
      <c r="C256" s="81"/>
      <c r="D256" s="50" t="s">
        <v>375</v>
      </c>
      <c r="E256" s="50" t="s">
        <v>375</v>
      </c>
      <c r="F256" s="82">
        <v>53632</v>
      </c>
      <c r="G256" s="26">
        <f t="shared" si="16"/>
        <v>53.6</v>
      </c>
      <c r="H256" s="26">
        <v>100</v>
      </c>
      <c r="I256" s="82">
        <v>53632</v>
      </c>
      <c r="J256" s="26">
        <f t="shared" si="17"/>
        <v>53.6</v>
      </c>
      <c r="K256" s="9">
        <v>50000</v>
      </c>
      <c r="L256" s="9"/>
      <c r="M256" s="34">
        <f t="shared" si="20"/>
        <v>50000</v>
      </c>
      <c r="N256" s="35">
        <f t="shared" si="19"/>
        <v>50</v>
      </c>
      <c r="P256" s="31"/>
    </row>
    <row r="257" spans="1:16" s="84" customFormat="1" ht="24.75" customHeight="1">
      <c r="A257" s="81"/>
      <c r="B257" s="81"/>
      <c r="C257" s="81"/>
      <c r="D257" s="50" t="s">
        <v>338</v>
      </c>
      <c r="E257" s="50" t="s">
        <v>338</v>
      </c>
      <c r="F257" s="82">
        <v>53633</v>
      </c>
      <c r="G257" s="26">
        <f t="shared" si="16"/>
        <v>53.6</v>
      </c>
      <c r="H257" s="26">
        <v>100</v>
      </c>
      <c r="I257" s="82">
        <v>53633</v>
      </c>
      <c r="J257" s="26">
        <f t="shared" si="17"/>
        <v>53.6</v>
      </c>
      <c r="K257" s="9">
        <v>50000</v>
      </c>
      <c r="L257" s="9"/>
      <c r="M257" s="34">
        <f t="shared" si="20"/>
        <v>50000</v>
      </c>
      <c r="N257" s="35">
        <f t="shared" si="19"/>
        <v>50</v>
      </c>
      <c r="P257" s="31"/>
    </row>
    <row r="258" spans="1:16" s="84" customFormat="1" ht="27" customHeight="1">
      <c r="A258" s="81"/>
      <c r="B258" s="81"/>
      <c r="C258" s="81"/>
      <c r="D258" s="50" t="s">
        <v>392</v>
      </c>
      <c r="E258" s="50" t="s">
        <v>392</v>
      </c>
      <c r="F258" s="82"/>
      <c r="G258" s="26">
        <f t="shared" si="16"/>
        <v>0</v>
      </c>
      <c r="H258" s="26"/>
      <c r="I258" s="82"/>
      <c r="J258" s="26">
        <f t="shared" si="17"/>
        <v>0</v>
      </c>
      <c r="K258" s="9">
        <v>28500</v>
      </c>
      <c r="L258" s="9"/>
      <c r="M258" s="34">
        <f t="shared" si="20"/>
        <v>28500</v>
      </c>
      <c r="N258" s="35">
        <f t="shared" si="19"/>
        <v>28.5</v>
      </c>
      <c r="P258" s="31"/>
    </row>
    <row r="259" spans="1:16" s="84" customFormat="1" ht="29.25" customHeight="1">
      <c r="A259" s="81"/>
      <c r="B259" s="81"/>
      <c r="C259" s="81"/>
      <c r="D259" s="50" t="s">
        <v>337</v>
      </c>
      <c r="E259" s="50" t="s">
        <v>337</v>
      </c>
      <c r="F259" s="82">
        <v>152410</v>
      </c>
      <c r="G259" s="26">
        <f t="shared" si="16"/>
        <v>152.4</v>
      </c>
      <c r="H259" s="26">
        <v>100</v>
      </c>
      <c r="I259" s="82">
        <v>152410</v>
      </c>
      <c r="J259" s="26">
        <f t="shared" si="17"/>
        <v>152.4</v>
      </c>
      <c r="K259" s="9">
        <v>150000</v>
      </c>
      <c r="L259" s="9"/>
      <c r="M259" s="34">
        <f t="shared" si="20"/>
        <v>150000</v>
      </c>
      <c r="N259" s="35">
        <f t="shared" si="19"/>
        <v>150</v>
      </c>
      <c r="P259" s="31"/>
    </row>
    <row r="260" spans="1:16" s="84" customFormat="1" ht="36.75" customHeight="1">
      <c r="A260" s="81"/>
      <c r="B260" s="81"/>
      <c r="C260" s="81"/>
      <c r="D260" s="71" t="s">
        <v>376</v>
      </c>
      <c r="E260" s="71" t="s">
        <v>376</v>
      </c>
      <c r="F260" s="82">
        <v>53141</v>
      </c>
      <c r="G260" s="26">
        <f t="shared" si="16"/>
        <v>53.1</v>
      </c>
      <c r="H260" s="26">
        <v>100</v>
      </c>
      <c r="I260" s="82">
        <v>53141</v>
      </c>
      <c r="J260" s="26">
        <f t="shared" si="17"/>
        <v>53.1</v>
      </c>
      <c r="K260" s="9">
        <v>50000</v>
      </c>
      <c r="L260" s="9"/>
      <c r="M260" s="34">
        <f t="shared" si="20"/>
        <v>50000</v>
      </c>
      <c r="N260" s="35">
        <f t="shared" si="19"/>
        <v>50</v>
      </c>
      <c r="P260" s="31"/>
    </row>
    <row r="261" spans="1:16" s="84" customFormat="1" ht="20.25" customHeight="1">
      <c r="A261" s="81"/>
      <c r="B261" s="81"/>
      <c r="C261" s="81"/>
      <c r="D261" s="71" t="s">
        <v>469</v>
      </c>
      <c r="E261" s="71" t="s">
        <v>357</v>
      </c>
      <c r="F261" s="82">
        <v>167618</v>
      </c>
      <c r="G261" s="26">
        <f t="shared" si="16"/>
        <v>167.6</v>
      </c>
      <c r="H261" s="26">
        <v>100</v>
      </c>
      <c r="I261" s="82">
        <v>167618</v>
      </c>
      <c r="J261" s="26">
        <f t="shared" si="17"/>
        <v>167.6</v>
      </c>
      <c r="K261" s="9">
        <v>175000</v>
      </c>
      <c r="L261" s="9">
        <v>-7382</v>
      </c>
      <c r="M261" s="34">
        <f t="shared" si="20"/>
        <v>167618</v>
      </c>
      <c r="N261" s="35">
        <f t="shared" si="19"/>
        <v>167.6</v>
      </c>
      <c r="P261" s="31"/>
    </row>
    <row r="262" spans="1:16" s="84" customFormat="1" ht="32.25" customHeight="1">
      <c r="A262" s="81"/>
      <c r="B262" s="81"/>
      <c r="C262" s="81"/>
      <c r="D262" s="71" t="s">
        <v>470</v>
      </c>
      <c r="E262" s="71" t="s">
        <v>336</v>
      </c>
      <c r="F262" s="82">
        <v>118534</v>
      </c>
      <c r="G262" s="26">
        <f t="shared" si="16"/>
        <v>118.5</v>
      </c>
      <c r="H262" s="26">
        <v>100</v>
      </c>
      <c r="I262" s="82">
        <v>118534</v>
      </c>
      <c r="J262" s="26">
        <f t="shared" si="17"/>
        <v>118.5</v>
      </c>
      <c r="K262" s="9">
        <v>102645</v>
      </c>
      <c r="L262" s="9">
        <v>-697</v>
      </c>
      <c r="M262" s="34">
        <f t="shared" si="20"/>
        <v>101948</v>
      </c>
      <c r="N262" s="35">
        <f t="shared" si="19"/>
        <v>101.9</v>
      </c>
      <c r="P262" s="31"/>
    </row>
    <row r="263" spans="1:16" s="84" customFormat="1" ht="20.25" customHeight="1">
      <c r="A263" s="81"/>
      <c r="B263" s="81"/>
      <c r="C263" s="81"/>
      <c r="D263" s="71" t="s">
        <v>471</v>
      </c>
      <c r="E263" s="71" t="s">
        <v>279</v>
      </c>
      <c r="F263" s="82">
        <v>72553</v>
      </c>
      <c r="G263" s="26">
        <f t="shared" si="16"/>
        <v>72.6</v>
      </c>
      <c r="H263" s="26">
        <v>100</v>
      </c>
      <c r="I263" s="82">
        <v>72553</v>
      </c>
      <c r="J263" s="26">
        <f t="shared" si="17"/>
        <v>72.6</v>
      </c>
      <c r="K263" s="9">
        <f>61400-227</f>
        <v>61173</v>
      </c>
      <c r="L263" s="9"/>
      <c r="M263" s="34">
        <f t="shared" si="20"/>
        <v>61173</v>
      </c>
      <c r="N263" s="35">
        <f t="shared" si="19"/>
        <v>61.2</v>
      </c>
      <c r="P263" s="31"/>
    </row>
    <row r="264" spans="1:16" s="84" customFormat="1" ht="27" customHeight="1">
      <c r="A264" s="81"/>
      <c r="B264" s="81"/>
      <c r="C264" s="81"/>
      <c r="D264" s="71" t="s">
        <v>472</v>
      </c>
      <c r="E264" s="71" t="s">
        <v>280</v>
      </c>
      <c r="F264" s="82">
        <v>70604</v>
      </c>
      <c r="G264" s="26">
        <f t="shared" si="16"/>
        <v>70.6</v>
      </c>
      <c r="H264" s="26">
        <v>100</v>
      </c>
      <c r="I264" s="82">
        <v>70604</v>
      </c>
      <c r="J264" s="26">
        <f t="shared" si="17"/>
        <v>70.6</v>
      </c>
      <c r="K264" s="9">
        <f>71000-2800-85</f>
        <v>68115</v>
      </c>
      <c r="L264" s="9"/>
      <c r="M264" s="34">
        <f t="shared" si="20"/>
        <v>68115</v>
      </c>
      <c r="N264" s="35">
        <f t="shared" si="19"/>
        <v>68.1</v>
      </c>
      <c r="P264" s="31"/>
    </row>
    <row r="265" spans="1:16" s="84" customFormat="1" ht="27" customHeight="1">
      <c r="A265" s="81"/>
      <c r="B265" s="81"/>
      <c r="C265" s="81"/>
      <c r="D265" s="50" t="s">
        <v>393</v>
      </c>
      <c r="E265" s="50" t="s">
        <v>393</v>
      </c>
      <c r="F265" s="82">
        <v>53633</v>
      </c>
      <c r="G265" s="26">
        <f t="shared" si="16"/>
        <v>53.6</v>
      </c>
      <c r="H265" s="26">
        <v>100</v>
      </c>
      <c r="I265" s="82">
        <v>53633</v>
      </c>
      <c r="J265" s="26">
        <f t="shared" si="17"/>
        <v>53.6</v>
      </c>
      <c r="K265" s="9">
        <v>50000</v>
      </c>
      <c r="L265" s="9"/>
      <c r="M265" s="34">
        <f t="shared" si="20"/>
        <v>50000</v>
      </c>
      <c r="N265" s="35">
        <f t="shared" si="19"/>
        <v>50</v>
      </c>
      <c r="P265" s="31"/>
    </row>
    <row r="266" spans="1:16" s="84" customFormat="1" ht="25.5" customHeight="1">
      <c r="A266" s="81"/>
      <c r="B266" s="81"/>
      <c r="C266" s="81"/>
      <c r="D266" s="71" t="s">
        <v>299</v>
      </c>
      <c r="E266" s="71" t="s">
        <v>299</v>
      </c>
      <c r="F266" s="82">
        <v>155759</v>
      </c>
      <c r="G266" s="26">
        <f t="shared" si="16"/>
        <v>155.8</v>
      </c>
      <c r="H266" s="26">
        <v>100</v>
      </c>
      <c r="I266" s="82">
        <v>155759</v>
      </c>
      <c r="J266" s="26">
        <f t="shared" si="17"/>
        <v>155.8</v>
      </c>
      <c r="K266" s="9">
        <f>55000+100000-1600-470</f>
        <v>152930</v>
      </c>
      <c r="L266" s="9"/>
      <c r="M266" s="34">
        <f t="shared" si="20"/>
        <v>152930</v>
      </c>
      <c r="N266" s="35">
        <f t="shared" si="19"/>
        <v>152.9</v>
      </c>
      <c r="P266" s="31"/>
    </row>
    <row r="267" spans="1:16" s="84" customFormat="1" ht="30" customHeight="1">
      <c r="A267" s="81"/>
      <c r="B267" s="81"/>
      <c r="C267" s="81"/>
      <c r="D267" s="71" t="s">
        <v>363</v>
      </c>
      <c r="E267" s="71" t="s">
        <v>363</v>
      </c>
      <c r="F267" s="82">
        <v>70604</v>
      </c>
      <c r="G267" s="26">
        <f t="shared" si="16"/>
        <v>70.6</v>
      </c>
      <c r="H267" s="26">
        <v>100</v>
      </c>
      <c r="I267" s="82">
        <v>70604</v>
      </c>
      <c r="J267" s="26">
        <f t="shared" si="17"/>
        <v>70.6</v>
      </c>
      <c r="K267" s="9">
        <v>75000</v>
      </c>
      <c r="L267" s="9">
        <v>-4396</v>
      </c>
      <c r="M267" s="34">
        <f t="shared" si="20"/>
        <v>70604</v>
      </c>
      <c r="N267" s="35">
        <f t="shared" si="19"/>
        <v>70.6</v>
      </c>
      <c r="P267" s="31"/>
    </row>
    <row r="268" spans="1:16" s="84" customFormat="1" ht="30" customHeight="1">
      <c r="A268" s="81"/>
      <c r="B268" s="81"/>
      <c r="C268" s="81"/>
      <c r="D268" s="50" t="s">
        <v>217</v>
      </c>
      <c r="E268" s="50" t="s">
        <v>217</v>
      </c>
      <c r="F268" s="82">
        <v>1651333</v>
      </c>
      <c r="G268" s="26">
        <f t="shared" si="16"/>
        <v>1651.3</v>
      </c>
      <c r="H268" s="26">
        <v>100</v>
      </c>
      <c r="I268" s="82">
        <v>1651333</v>
      </c>
      <c r="J268" s="26">
        <f t="shared" si="17"/>
        <v>1651.3</v>
      </c>
      <c r="K268" s="9">
        <v>998774</v>
      </c>
      <c r="L268" s="9"/>
      <c r="M268" s="34">
        <f t="shared" si="20"/>
        <v>998774</v>
      </c>
      <c r="N268" s="35">
        <f t="shared" si="19"/>
        <v>998.8</v>
      </c>
      <c r="P268" s="31"/>
    </row>
    <row r="269" spans="1:16" s="84" customFormat="1" ht="27.75" customHeight="1">
      <c r="A269" s="81"/>
      <c r="B269" s="81"/>
      <c r="C269" s="81"/>
      <c r="D269" s="50" t="s">
        <v>218</v>
      </c>
      <c r="E269" s="50" t="s">
        <v>218</v>
      </c>
      <c r="F269" s="82">
        <v>471924</v>
      </c>
      <c r="G269" s="26">
        <f t="shared" si="16"/>
        <v>471.9</v>
      </c>
      <c r="H269" s="26">
        <v>100</v>
      </c>
      <c r="I269" s="82">
        <v>471924</v>
      </c>
      <c r="J269" s="26">
        <f t="shared" si="17"/>
        <v>471.9</v>
      </c>
      <c r="K269" s="9">
        <v>469180</v>
      </c>
      <c r="L269" s="9"/>
      <c r="M269" s="34">
        <f t="shared" si="20"/>
        <v>469180</v>
      </c>
      <c r="N269" s="35">
        <f t="shared" si="19"/>
        <v>469.2</v>
      </c>
      <c r="P269" s="31"/>
    </row>
    <row r="270" spans="1:16" s="84" customFormat="1" ht="31.5" customHeight="1">
      <c r="A270" s="81"/>
      <c r="B270" s="81"/>
      <c r="C270" s="81"/>
      <c r="D270" s="50" t="s">
        <v>219</v>
      </c>
      <c r="E270" s="50" t="s">
        <v>219</v>
      </c>
      <c r="F270" s="82">
        <v>536948</v>
      </c>
      <c r="G270" s="26">
        <f aca="true" t="shared" si="21" ref="G270:G333">ROUND(F270/1000,1)</f>
        <v>536.9</v>
      </c>
      <c r="H270" s="26">
        <v>100</v>
      </c>
      <c r="I270" s="82">
        <v>536948</v>
      </c>
      <c r="J270" s="26">
        <f aca="true" t="shared" si="22" ref="J270:J333">ROUND(I270/1000,1)</f>
        <v>536.9</v>
      </c>
      <c r="K270" s="9">
        <v>536948</v>
      </c>
      <c r="L270" s="9"/>
      <c r="M270" s="34">
        <f t="shared" si="20"/>
        <v>536948</v>
      </c>
      <c r="N270" s="35">
        <f aca="true" t="shared" si="23" ref="N270:N332">ROUND(M270/1000,1)</f>
        <v>536.9</v>
      </c>
      <c r="P270" s="31"/>
    </row>
    <row r="271" spans="1:16" s="84" customFormat="1" ht="33" customHeight="1">
      <c r="A271" s="81"/>
      <c r="B271" s="81"/>
      <c r="C271" s="81"/>
      <c r="D271" s="50" t="s">
        <v>220</v>
      </c>
      <c r="E271" s="50" t="s">
        <v>220</v>
      </c>
      <c r="F271" s="82">
        <v>282168</v>
      </c>
      <c r="G271" s="26">
        <f t="shared" si="21"/>
        <v>282.2</v>
      </c>
      <c r="H271" s="26">
        <v>100</v>
      </c>
      <c r="I271" s="82">
        <v>282168</v>
      </c>
      <c r="J271" s="26">
        <f t="shared" si="22"/>
        <v>282.2</v>
      </c>
      <c r="K271" s="9">
        <v>280160</v>
      </c>
      <c r="L271" s="9"/>
      <c r="M271" s="34">
        <f t="shared" si="20"/>
        <v>280160</v>
      </c>
      <c r="N271" s="35">
        <f t="shared" si="23"/>
        <v>280.2</v>
      </c>
      <c r="P271" s="31"/>
    </row>
    <row r="272" spans="1:16" s="84" customFormat="1" ht="27.75" customHeight="1">
      <c r="A272" s="81"/>
      <c r="B272" s="81"/>
      <c r="C272" s="81"/>
      <c r="D272" s="50" t="s">
        <v>221</v>
      </c>
      <c r="E272" s="50" t="s">
        <v>221</v>
      </c>
      <c r="F272" s="82">
        <v>1135462</v>
      </c>
      <c r="G272" s="26">
        <f t="shared" si="21"/>
        <v>1135.5</v>
      </c>
      <c r="H272" s="26">
        <v>98.2</v>
      </c>
      <c r="I272" s="82">
        <v>1115056</v>
      </c>
      <c r="J272" s="26">
        <f t="shared" si="22"/>
        <v>1115.1</v>
      </c>
      <c r="K272" s="9">
        <v>1009908</v>
      </c>
      <c r="L272" s="9"/>
      <c r="M272" s="34">
        <f t="shared" si="20"/>
        <v>1009908</v>
      </c>
      <c r="N272" s="35">
        <f t="shared" si="23"/>
        <v>1009.9</v>
      </c>
      <c r="P272" s="31"/>
    </row>
    <row r="273" spans="1:16" s="84" customFormat="1" ht="28.5" customHeight="1">
      <c r="A273" s="81"/>
      <c r="B273" s="81"/>
      <c r="C273" s="81"/>
      <c r="D273" s="50" t="s">
        <v>222</v>
      </c>
      <c r="E273" s="50" t="s">
        <v>222</v>
      </c>
      <c r="F273" s="82">
        <v>465082</v>
      </c>
      <c r="G273" s="26">
        <f t="shared" si="21"/>
        <v>465.1</v>
      </c>
      <c r="H273" s="26">
        <v>100</v>
      </c>
      <c r="I273" s="82">
        <v>465082</v>
      </c>
      <c r="J273" s="26">
        <f t="shared" si="22"/>
        <v>465.1</v>
      </c>
      <c r="K273" s="9">
        <v>482174</v>
      </c>
      <c r="L273" s="9"/>
      <c r="M273" s="34">
        <f t="shared" si="20"/>
        <v>482174</v>
      </c>
      <c r="N273" s="35">
        <f t="shared" si="23"/>
        <v>482.2</v>
      </c>
      <c r="P273" s="31"/>
    </row>
    <row r="274" spans="1:16" s="84" customFormat="1" ht="28.5" customHeight="1">
      <c r="A274" s="81"/>
      <c r="B274" s="81"/>
      <c r="C274" s="81"/>
      <c r="D274" s="50" t="s">
        <v>223</v>
      </c>
      <c r="E274" s="50" t="s">
        <v>223</v>
      </c>
      <c r="F274" s="82">
        <v>634164</v>
      </c>
      <c r="G274" s="26">
        <f t="shared" si="21"/>
        <v>634.2</v>
      </c>
      <c r="H274" s="26">
        <v>100</v>
      </c>
      <c r="I274" s="82">
        <v>634164</v>
      </c>
      <c r="J274" s="26">
        <f t="shared" si="22"/>
        <v>634.2</v>
      </c>
      <c r="K274" s="9">
        <v>425207</v>
      </c>
      <c r="L274" s="9"/>
      <c r="M274" s="34">
        <f t="shared" si="20"/>
        <v>425207</v>
      </c>
      <c r="N274" s="35">
        <f t="shared" si="23"/>
        <v>425.2</v>
      </c>
      <c r="P274" s="31"/>
    </row>
    <row r="275" spans="1:16" s="84" customFormat="1" ht="28.5" customHeight="1">
      <c r="A275" s="81"/>
      <c r="B275" s="81"/>
      <c r="C275" s="81"/>
      <c r="D275" s="50" t="s">
        <v>224</v>
      </c>
      <c r="E275" s="50" t="s">
        <v>224</v>
      </c>
      <c r="F275" s="82">
        <v>567790</v>
      </c>
      <c r="G275" s="26">
        <f t="shared" si="21"/>
        <v>567.8</v>
      </c>
      <c r="H275" s="26">
        <v>100</v>
      </c>
      <c r="I275" s="82">
        <v>567790</v>
      </c>
      <c r="J275" s="26">
        <f t="shared" si="22"/>
        <v>567.8</v>
      </c>
      <c r="K275" s="9">
        <v>567790</v>
      </c>
      <c r="L275" s="9"/>
      <c r="M275" s="34">
        <f t="shared" si="20"/>
        <v>567790</v>
      </c>
      <c r="N275" s="35">
        <f t="shared" si="23"/>
        <v>567.8</v>
      </c>
      <c r="P275" s="31"/>
    </row>
    <row r="276" spans="1:16" s="84" customFormat="1" ht="27" customHeight="1">
      <c r="A276" s="81"/>
      <c r="B276" s="81"/>
      <c r="C276" s="81"/>
      <c r="D276" s="3" t="s">
        <v>141</v>
      </c>
      <c r="E276" s="3" t="s">
        <v>141</v>
      </c>
      <c r="F276" s="82"/>
      <c r="G276" s="26">
        <f t="shared" si="21"/>
        <v>0</v>
      </c>
      <c r="H276" s="98"/>
      <c r="I276" s="82"/>
      <c r="J276" s="26">
        <f t="shared" si="22"/>
        <v>0</v>
      </c>
      <c r="K276" s="99">
        <f>SUM(K277:K298)</f>
        <v>20667183</v>
      </c>
      <c r="L276" s="99">
        <f>SUM(L277:L298)</f>
        <v>-103154</v>
      </c>
      <c r="M276" s="100">
        <f>SUM(M277:M298)</f>
        <v>20564029</v>
      </c>
      <c r="N276" s="101">
        <f>SUM(N277:N298)</f>
        <v>20564</v>
      </c>
      <c r="P276" s="31"/>
    </row>
    <row r="277" spans="1:16" s="84" customFormat="1" ht="51.75" customHeight="1">
      <c r="A277" s="81"/>
      <c r="B277" s="81"/>
      <c r="C277" s="81"/>
      <c r="D277" s="71" t="s">
        <v>294</v>
      </c>
      <c r="E277" s="71" t="s">
        <v>294</v>
      </c>
      <c r="F277" s="82"/>
      <c r="G277" s="26">
        <f t="shared" si="21"/>
        <v>0</v>
      </c>
      <c r="H277" s="98"/>
      <c r="I277" s="82"/>
      <c r="J277" s="26">
        <f t="shared" si="22"/>
        <v>0</v>
      </c>
      <c r="K277" s="102">
        <v>8500</v>
      </c>
      <c r="L277" s="102"/>
      <c r="M277" s="34">
        <f aca="true" t="shared" si="24" ref="M277:M298">L277+K277</f>
        <v>8500</v>
      </c>
      <c r="N277" s="35">
        <f t="shared" si="23"/>
        <v>8.5</v>
      </c>
      <c r="P277" s="31"/>
    </row>
    <row r="278" spans="1:16" s="84" customFormat="1" ht="32.25" customHeight="1">
      <c r="A278" s="81"/>
      <c r="B278" s="81"/>
      <c r="C278" s="81"/>
      <c r="D278" s="71" t="s">
        <v>303</v>
      </c>
      <c r="E278" s="71" t="s">
        <v>303</v>
      </c>
      <c r="F278" s="82">
        <v>295277</v>
      </c>
      <c r="G278" s="26">
        <f t="shared" si="21"/>
        <v>295.3</v>
      </c>
      <c r="H278" s="26">
        <v>96.3</v>
      </c>
      <c r="I278" s="82">
        <v>284370</v>
      </c>
      <c r="J278" s="26">
        <f t="shared" si="22"/>
        <v>284.4</v>
      </c>
      <c r="K278" s="102">
        <v>283000</v>
      </c>
      <c r="L278" s="102"/>
      <c r="M278" s="34">
        <f t="shared" si="24"/>
        <v>283000</v>
      </c>
      <c r="N278" s="35">
        <f t="shared" si="23"/>
        <v>283</v>
      </c>
      <c r="P278" s="31"/>
    </row>
    <row r="279" spans="1:16" s="84" customFormat="1" ht="24.75" customHeight="1">
      <c r="A279" s="81"/>
      <c r="B279" s="81"/>
      <c r="C279" s="81"/>
      <c r="D279" s="71" t="s">
        <v>159</v>
      </c>
      <c r="E279" s="71" t="s">
        <v>159</v>
      </c>
      <c r="F279" s="82">
        <v>2393868</v>
      </c>
      <c r="G279" s="26">
        <f t="shared" si="21"/>
        <v>2393.9</v>
      </c>
      <c r="H279" s="26">
        <v>96.7</v>
      </c>
      <c r="I279" s="82">
        <v>2315521</v>
      </c>
      <c r="J279" s="26">
        <f t="shared" si="22"/>
        <v>2315.5</v>
      </c>
      <c r="K279" s="9">
        <f>100000+1000</f>
        <v>101000</v>
      </c>
      <c r="L279" s="9"/>
      <c r="M279" s="34">
        <f t="shared" si="24"/>
        <v>101000</v>
      </c>
      <c r="N279" s="35">
        <f t="shared" si="23"/>
        <v>101</v>
      </c>
      <c r="P279" s="31"/>
    </row>
    <row r="280" spans="1:16" s="84" customFormat="1" ht="32.25" customHeight="1">
      <c r="A280" s="81"/>
      <c r="B280" s="81"/>
      <c r="C280" s="81"/>
      <c r="D280" s="50" t="s">
        <v>228</v>
      </c>
      <c r="E280" s="50" t="s">
        <v>228</v>
      </c>
      <c r="F280" s="82">
        <v>510218</v>
      </c>
      <c r="G280" s="26">
        <f t="shared" si="21"/>
        <v>510.2</v>
      </c>
      <c r="H280" s="26">
        <v>47.9</v>
      </c>
      <c r="I280" s="82">
        <v>244626</v>
      </c>
      <c r="J280" s="26">
        <f t="shared" si="22"/>
        <v>244.6</v>
      </c>
      <c r="K280" s="9">
        <f>240000-17400</f>
        <v>222600</v>
      </c>
      <c r="L280" s="9"/>
      <c r="M280" s="34">
        <f t="shared" si="24"/>
        <v>222600</v>
      </c>
      <c r="N280" s="35">
        <f t="shared" si="23"/>
        <v>222.6</v>
      </c>
      <c r="P280" s="31"/>
    </row>
    <row r="281" spans="1:16" s="84" customFormat="1" ht="22.5" customHeight="1">
      <c r="A281" s="81"/>
      <c r="B281" s="81"/>
      <c r="C281" s="81"/>
      <c r="D281" s="50" t="s">
        <v>335</v>
      </c>
      <c r="E281" s="50" t="s">
        <v>335</v>
      </c>
      <c r="F281" s="82"/>
      <c r="G281" s="26">
        <f t="shared" si="21"/>
        <v>0</v>
      </c>
      <c r="H281" s="26"/>
      <c r="I281" s="82"/>
      <c r="J281" s="26">
        <f t="shared" si="22"/>
        <v>0</v>
      </c>
      <c r="K281" s="9">
        <f>500000+300000</f>
        <v>800000</v>
      </c>
      <c r="L281" s="9"/>
      <c r="M281" s="34">
        <f t="shared" si="24"/>
        <v>800000</v>
      </c>
      <c r="N281" s="35">
        <f t="shared" si="23"/>
        <v>800</v>
      </c>
      <c r="P281" s="31"/>
    </row>
    <row r="282" spans="1:16" s="84" customFormat="1" ht="25.5" customHeight="1">
      <c r="A282" s="81"/>
      <c r="B282" s="81"/>
      <c r="C282" s="81"/>
      <c r="D282" s="50" t="s">
        <v>333</v>
      </c>
      <c r="E282" s="50" t="s">
        <v>333</v>
      </c>
      <c r="F282" s="82">
        <v>895663</v>
      </c>
      <c r="G282" s="26">
        <f t="shared" si="21"/>
        <v>895.7</v>
      </c>
      <c r="H282" s="26">
        <v>46</v>
      </c>
      <c r="I282" s="82">
        <v>411750</v>
      </c>
      <c r="J282" s="26">
        <f t="shared" si="22"/>
        <v>411.8</v>
      </c>
      <c r="K282" s="9">
        <f>291000-8936</f>
        <v>282064</v>
      </c>
      <c r="L282" s="9"/>
      <c r="M282" s="34">
        <f t="shared" si="24"/>
        <v>282064</v>
      </c>
      <c r="N282" s="35">
        <f t="shared" si="23"/>
        <v>282.1</v>
      </c>
      <c r="P282" s="31"/>
    </row>
    <row r="283" spans="1:16" s="84" customFormat="1" ht="23.25" customHeight="1">
      <c r="A283" s="81"/>
      <c r="B283" s="81"/>
      <c r="C283" s="81"/>
      <c r="D283" s="50" t="s">
        <v>334</v>
      </c>
      <c r="E283" s="50" t="s">
        <v>334</v>
      </c>
      <c r="F283" s="82"/>
      <c r="G283" s="26">
        <f t="shared" si="21"/>
        <v>0</v>
      </c>
      <c r="H283" s="26"/>
      <c r="I283" s="82"/>
      <c r="J283" s="26">
        <f t="shared" si="22"/>
        <v>0</v>
      </c>
      <c r="K283" s="9">
        <v>400000</v>
      </c>
      <c r="L283" s="9"/>
      <c r="M283" s="34">
        <f t="shared" si="24"/>
        <v>400000</v>
      </c>
      <c r="N283" s="35">
        <f t="shared" si="23"/>
        <v>400</v>
      </c>
      <c r="P283" s="31"/>
    </row>
    <row r="284" spans="1:148" ht="33" customHeight="1">
      <c r="A284" s="81"/>
      <c r="B284" s="81"/>
      <c r="C284" s="81"/>
      <c r="D284" s="50" t="s">
        <v>252</v>
      </c>
      <c r="E284" s="50" t="s">
        <v>252</v>
      </c>
      <c r="F284" s="82"/>
      <c r="G284" s="26">
        <f t="shared" si="21"/>
        <v>0</v>
      </c>
      <c r="H284" s="26"/>
      <c r="I284" s="82"/>
      <c r="J284" s="26">
        <f t="shared" si="22"/>
        <v>0</v>
      </c>
      <c r="K284" s="9">
        <v>100000</v>
      </c>
      <c r="L284" s="9"/>
      <c r="M284" s="34">
        <f t="shared" si="24"/>
        <v>100000</v>
      </c>
      <c r="N284" s="35">
        <f t="shared" si="23"/>
        <v>100</v>
      </c>
      <c r="O284" s="84"/>
      <c r="P284" s="31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</row>
    <row r="285" spans="1:148" ht="27" customHeight="1">
      <c r="A285" s="81"/>
      <c r="B285" s="81"/>
      <c r="C285" s="81"/>
      <c r="D285" s="50" t="s">
        <v>362</v>
      </c>
      <c r="E285" s="50" t="s">
        <v>362</v>
      </c>
      <c r="F285" s="82">
        <v>297296</v>
      </c>
      <c r="G285" s="26">
        <f t="shared" si="21"/>
        <v>297.3</v>
      </c>
      <c r="H285" s="26">
        <v>100</v>
      </c>
      <c r="I285" s="82">
        <v>297296</v>
      </c>
      <c r="J285" s="26">
        <f t="shared" si="22"/>
        <v>297.3</v>
      </c>
      <c r="K285" s="9">
        <v>291000</v>
      </c>
      <c r="L285" s="9"/>
      <c r="M285" s="34">
        <f t="shared" si="24"/>
        <v>291000</v>
      </c>
      <c r="N285" s="35">
        <f t="shared" si="23"/>
        <v>291</v>
      </c>
      <c r="O285" s="84"/>
      <c r="P285" s="31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</row>
    <row r="286" spans="1:16" s="84" customFormat="1" ht="33.75" customHeight="1">
      <c r="A286" s="81"/>
      <c r="B286" s="81"/>
      <c r="C286" s="81"/>
      <c r="D286" s="71" t="s">
        <v>176</v>
      </c>
      <c r="E286" s="71" t="s">
        <v>176</v>
      </c>
      <c r="F286" s="82">
        <v>7995986</v>
      </c>
      <c r="G286" s="26">
        <f t="shared" si="21"/>
        <v>7996</v>
      </c>
      <c r="H286" s="26">
        <v>72.8</v>
      </c>
      <c r="I286" s="82">
        <v>5825073</v>
      </c>
      <c r="J286" s="26">
        <f t="shared" si="22"/>
        <v>5825.1</v>
      </c>
      <c r="K286" s="9">
        <f>500000+2000000</f>
        <v>2500000</v>
      </c>
      <c r="L286" s="9"/>
      <c r="M286" s="34">
        <f t="shared" si="24"/>
        <v>2500000</v>
      </c>
      <c r="N286" s="35">
        <f t="shared" si="23"/>
        <v>2500</v>
      </c>
      <c r="P286" s="31"/>
    </row>
    <row r="287" spans="1:16" s="84" customFormat="1" ht="24.75" customHeight="1">
      <c r="A287" s="81"/>
      <c r="B287" s="81"/>
      <c r="C287" s="81"/>
      <c r="D287" s="50" t="s">
        <v>177</v>
      </c>
      <c r="E287" s="50" t="s">
        <v>177</v>
      </c>
      <c r="F287" s="82">
        <v>5617491</v>
      </c>
      <c r="G287" s="26">
        <f t="shared" si="21"/>
        <v>5617.5</v>
      </c>
      <c r="H287" s="26">
        <v>70.6</v>
      </c>
      <c r="I287" s="82">
        <v>3967874</v>
      </c>
      <c r="J287" s="26">
        <f t="shared" si="22"/>
        <v>3967.9</v>
      </c>
      <c r="K287" s="9">
        <v>3000000</v>
      </c>
      <c r="L287" s="9"/>
      <c r="M287" s="34">
        <f t="shared" si="24"/>
        <v>3000000</v>
      </c>
      <c r="N287" s="35">
        <f t="shared" si="23"/>
        <v>3000</v>
      </c>
      <c r="P287" s="31"/>
    </row>
    <row r="288" spans="1:16" s="84" customFormat="1" ht="30.75" customHeight="1">
      <c r="A288" s="81"/>
      <c r="B288" s="81"/>
      <c r="C288" s="81"/>
      <c r="D288" s="50" t="s">
        <v>160</v>
      </c>
      <c r="E288" s="50" t="s">
        <v>160</v>
      </c>
      <c r="F288" s="82">
        <v>9995386</v>
      </c>
      <c r="G288" s="26">
        <f t="shared" si="21"/>
        <v>9995.4</v>
      </c>
      <c r="H288" s="26">
        <v>20.8</v>
      </c>
      <c r="I288" s="82">
        <v>2081885</v>
      </c>
      <c r="J288" s="26">
        <f t="shared" si="22"/>
        <v>2081.9</v>
      </c>
      <c r="K288" s="9">
        <f>500000-450000-3981</f>
        <v>46019</v>
      </c>
      <c r="L288" s="9"/>
      <c r="M288" s="34">
        <f t="shared" si="24"/>
        <v>46019</v>
      </c>
      <c r="N288" s="35">
        <f t="shared" si="23"/>
        <v>46</v>
      </c>
      <c r="P288" s="31"/>
    </row>
    <row r="289" spans="1:16" s="84" customFormat="1" ht="30.75" customHeight="1">
      <c r="A289" s="81"/>
      <c r="B289" s="81"/>
      <c r="C289" s="81"/>
      <c r="D289" s="50" t="s">
        <v>339</v>
      </c>
      <c r="E289" s="50" t="s">
        <v>339</v>
      </c>
      <c r="F289" s="82"/>
      <c r="G289" s="26">
        <f t="shared" si="21"/>
        <v>0</v>
      </c>
      <c r="H289" s="26"/>
      <c r="I289" s="82"/>
      <c r="J289" s="26">
        <f t="shared" si="22"/>
        <v>0</v>
      </c>
      <c r="K289" s="9">
        <v>100000</v>
      </c>
      <c r="L289" s="9"/>
      <c r="M289" s="34">
        <f t="shared" si="24"/>
        <v>100000</v>
      </c>
      <c r="N289" s="35">
        <f t="shared" si="23"/>
        <v>100</v>
      </c>
      <c r="P289" s="31"/>
    </row>
    <row r="290" spans="1:16" s="84" customFormat="1" ht="26.25" customHeight="1">
      <c r="A290" s="81"/>
      <c r="B290" s="81"/>
      <c r="C290" s="81"/>
      <c r="D290" s="50" t="s">
        <v>161</v>
      </c>
      <c r="E290" s="50" t="s">
        <v>161</v>
      </c>
      <c r="F290" s="82">
        <v>31834622</v>
      </c>
      <c r="G290" s="26">
        <f t="shared" si="21"/>
        <v>31834.6</v>
      </c>
      <c r="H290" s="26">
        <v>49.9</v>
      </c>
      <c r="I290" s="82">
        <v>15899749</v>
      </c>
      <c r="J290" s="26">
        <f t="shared" si="22"/>
        <v>15899.7</v>
      </c>
      <c r="K290" s="9">
        <v>7000000</v>
      </c>
      <c r="L290" s="9"/>
      <c r="M290" s="34">
        <f t="shared" si="24"/>
        <v>7000000</v>
      </c>
      <c r="N290" s="35">
        <f t="shared" si="23"/>
        <v>7000</v>
      </c>
      <c r="P290" s="31"/>
    </row>
    <row r="291" spans="1:16" s="84" customFormat="1" ht="24" customHeight="1">
      <c r="A291" s="81"/>
      <c r="B291" s="81"/>
      <c r="C291" s="81"/>
      <c r="D291" s="71" t="s">
        <v>162</v>
      </c>
      <c r="E291" s="71" t="s">
        <v>162</v>
      </c>
      <c r="F291" s="82">
        <v>14670250</v>
      </c>
      <c r="G291" s="26">
        <f t="shared" si="21"/>
        <v>14670.3</v>
      </c>
      <c r="H291" s="26">
        <v>48.7</v>
      </c>
      <c r="I291" s="82">
        <v>7146429</v>
      </c>
      <c r="J291" s="26">
        <f t="shared" si="22"/>
        <v>7146.4</v>
      </c>
      <c r="K291" s="9">
        <v>250000</v>
      </c>
      <c r="L291" s="9">
        <v>-103154</v>
      </c>
      <c r="M291" s="34">
        <f t="shared" si="24"/>
        <v>146846</v>
      </c>
      <c r="N291" s="35">
        <f t="shared" si="23"/>
        <v>146.8</v>
      </c>
      <c r="P291" s="31"/>
    </row>
    <row r="292" spans="1:16" s="84" customFormat="1" ht="33" customHeight="1">
      <c r="A292" s="81"/>
      <c r="B292" s="81"/>
      <c r="C292" s="81"/>
      <c r="D292" s="50" t="s">
        <v>315</v>
      </c>
      <c r="E292" s="50" t="s">
        <v>315</v>
      </c>
      <c r="F292" s="82">
        <v>1581853</v>
      </c>
      <c r="G292" s="26">
        <f t="shared" si="21"/>
        <v>1581.9</v>
      </c>
      <c r="H292" s="26">
        <v>46.8</v>
      </c>
      <c r="I292" s="82">
        <v>739746</v>
      </c>
      <c r="J292" s="26">
        <f t="shared" si="22"/>
        <v>739.7</v>
      </c>
      <c r="K292" s="9">
        <v>500000</v>
      </c>
      <c r="L292" s="9"/>
      <c r="M292" s="34">
        <f t="shared" si="24"/>
        <v>500000</v>
      </c>
      <c r="N292" s="35">
        <f t="shared" si="23"/>
        <v>500</v>
      </c>
      <c r="P292" s="31"/>
    </row>
    <row r="293" spans="1:16" s="84" customFormat="1" ht="26.25" customHeight="1">
      <c r="A293" s="81"/>
      <c r="B293" s="81"/>
      <c r="C293" s="81"/>
      <c r="D293" s="50" t="s">
        <v>316</v>
      </c>
      <c r="E293" s="50" t="s">
        <v>316</v>
      </c>
      <c r="F293" s="82">
        <v>859327</v>
      </c>
      <c r="G293" s="26">
        <f t="shared" si="21"/>
        <v>859.3</v>
      </c>
      <c r="H293" s="26">
        <v>99.2</v>
      </c>
      <c r="I293" s="82">
        <v>852592</v>
      </c>
      <c r="J293" s="26">
        <f t="shared" si="22"/>
        <v>852.6</v>
      </c>
      <c r="K293" s="9">
        <v>500000</v>
      </c>
      <c r="L293" s="9"/>
      <c r="M293" s="34">
        <f t="shared" si="24"/>
        <v>500000</v>
      </c>
      <c r="N293" s="35">
        <f t="shared" si="23"/>
        <v>500</v>
      </c>
      <c r="P293" s="31"/>
    </row>
    <row r="294" spans="1:16" s="84" customFormat="1" ht="36" customHeight="1">
      <c r="A294" s="81"/>
      <c r="B294" s="81"/>
      <c r="C294" s="81"/>
      <c r="D294" s="50" t="s">
        <v>163</v>
      </c>
      <c r="E294" s="50" t="s">
        <v>163</v>
      </c>
      <c r="F294" s="82">
        <v>1527220</v>
      </c>
      <c r="G294" s="26">
        <f t="shared" si="21"/>
        <v>1527.2</v>
      </c>
      <c r="H294" s="26">
        <v>100</v>
      </c>
      <c r="I294" s="82">
        <v>1527220</v>
      </c>
      <c r="J294" s="26">
        <f t="shared" si="22"/>
        <v>1527.2</v>
      </c>
      <c r="K294" s="9">
        <f>1500000-200000</f>
        <v>1300000</v>
      </c>
      <c r="L294" s="9"/>
      <c r="M294" s="34">
        <f t="shared" si="24"/>
        <v>1300000</v>
      </c>
      <c r="N294" s="35">
        <f t="shared" si="23"/>
        <v>1300</v>
      </c>
      <c r="P294" s="31"/>
    </row>
    <row r="295" spans="1:16" s="84" customFormat="1" ht="29.25" customHeight="1">
      <c r="A295" s="81"/>
      <c r="B295" s="81"/>
      <c r="C295" s="81"/>
      <c r="D295" s="50" t="s">
        <v>425</v>
      </c>
      <c r="E295" s="50" t="s">
        <v>425</v>
      </c>
      <c r="F295" s="82"/>
      <c r="G295" s="26">
        <f t="shared" si="21"/>
        <v>0</v>
      </c>
      <c r="H295" s="26"/>
      <c r="I295" s="82"/>
      <c r="J295" s="26">
        <f t="shared" si="22"/>
        <v>0</v>
      </c>
      <c r="K295" s="9">
        <v>100000</v>
      </c>
      <c r="L295" s="9"/>
      <c r="M295" s="34">
        <f>L295+K295</f>
        <v>100000</v>
      </c>
      <c r="N295" s="35">
        <f t="shared" si="23"/>
        <v>100</v>
      </c>
      <c r="P295" s="31"/>
    </row>
    <row r="296" spans="1:16" s="84" customFormat="1" ht="48.75" customHeight="1">
      <c r="A296" s="81"/>
      <c r="B296" s="81"/>
      <c r="C296" s="81"/>
      <c r="D296" s="50" t="s">
        <v>164</v>
      </c>
      <c r="E296" s="50" t="s">
        <v>164</v>
      </c>
      <c r="F296" s="82">
        <v>2552113</v>
      </c>
      <c r="G296" s="26">
        <f t="shared" si="21"/>
        <v>2552.1</v>
      </c>
      <c r="H296" s="26">
        <v>98.8</v>
      </c>
      <c r="I296" s="82">
        <v>2521600</v>
      </c>
      <c r="J296" s="26">
        <f t="shared" si="22"/>
        <v>2521.6</v>
      </c>
      <c r="K296" s="9">
        <f>200000-150000</f>
        <v>50000</v>
      </c>
      <c r="L296" s="9"/>
      <c r="M296" s="34">
        <f t="shared" si="24"/>
        <v>50000</v>
      </c>
      <c r="N296" s="35">
        <f t="shared" si="23"/>
        <v>50</v>
      </c>
      <c r="P296" s="31"/>
    </row>
    <row r="297" spans="1:16" s="84" customFormat="1" ht="44.25" customHeight="1">
      <c r="A297" s="81"/>
      <c r="B297" s="81"/>
      <c r="C297" s="81"/>
      <c r="D297" s="50" t="s">
        <v>165</v>
      </c>
      <c r="E297" s="50" t="s">
        <v>165</v>
      </c>
      <c r="F297" s="82">
        <v>1435545</v>
      </c>
      <c r="G297" s="26">
        <f t="shared" si="21"/>
        <v>1435.5</v>
      </c>
      <c r="H297" s="26">
        <v>100</v>
      </c>
      <c r="I297" s="82">
        <v>1435545</v>
      </c>
      <c r="J297" s="26">
        <f t="shared" si="22"/>
        <v>1435.5</v>
      </c>
      <c r="K297" s="9">
        <f>1500000-200000</f>
        <v>1300000</v>
      </c>
      <c r="L297" s="9"/>
      <c r="M297" s="34">
        <f t="shared" si="24"/>
        <v>1300000</v>
      </c>
      <c r="N297" s="35">
        <f t="shared" si="23"/>
        <v>1300</v>
      </c>
      <c r="P297" s="31"/>
    </row>
    <row r="298" spans="1:148" ht="33.75" customHeight="1">
      <c r="A298" s="81"/>
      <c r="B298" s="81"/>
      <c r="C298" s="81"/>
      <c r="D298" s="50" t="s">
        <v>166</v>
      </c>
      <c r="E298" s="50" t="s">
        <v>166</v>
      </c>
      <c r="F298" s="82">
        <v>1543577</v>
      </c>
      <c r="G298" s="26">
        <f t="shared" si="21"/>
        <v>1543.6</v>
      </c>
      <c r="H298" s="26">
        <v>98.2</v>
      </c>
      <c r="I298" s="82">
        <v>1516441</v>
      </c>
      <c r="J298" s="26">
        <f t="shared" si="22"/>
        <v>1516.4</v>
      </c>
      <c r="K298" s="9">
        <f>1500000+33000</f>
        <v>1533000</v>
      </c>
      <c r="L298" s="9"/>
      <c r="M298" s="34">
        <f t="shared" si="24"/>
        <v>1533000</v>
      </c>
      <c r="N298" s="35">
        <f t="shared" si="23"/>
        <v>1533</v>
      </c>
      <c r="O298" s="84"/>
      <c r="P298" s="31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</row>
    <row r="299" spans="1:148" s="18" customFormat="1" ht="36.75" customHeight="1">
      <c r="A299" s="24" t="s">
        <v>226</v>
      </c>
      <c r="B299" s="24" t="s">
        <v>66</v>
      </c>
      <c r="C299" s="24" t="s">
        <v>49</v>
      </c>
      <c r="D299" s="25" t="s">
        <v>463</v>
      </c>
      <c r="E299" s="25"/>
      <c r="F299" s="103"/>
      <c r="G299" s="26">
        <f t="shared" si="21"/>
        <v>0</v>
      </c>
      <c r="H299" s="104"/>
      <c r="I299" s="103"/>
      <c r="J299" s="26">
        <f t="shared" si="22"/>
        <v>0</v>
      </c>
      <c r="K299" s="27">
        <v>2200000</v>
      </c>
      <c r="L299" s="27"/>
      <c r="M299" s="28">
        <f>M300+M301</f>
        <v>2200000</v>
      </c>
      <c r="N299" s="29">
        <f>N300+N301</f>
        <v>2200</v>
      </c>
      <c r="O299" s="105"/>
      <c r="P299" s="31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/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/>
      <c r="EM299" s="105"/>
      <c r="EN299" s="105"/>
      <c r="EO299" s="105"/>
      <c r="EP299" s="105"/>
      <c r="EQ299" s="105"/>
      <c r="ER299" s="105"/>
    </row>
    <row r="300" spans="1:148" ht="36" customHeight="1">
      <c r="A300" s="32"/>
      <c r="B300" s="32"/>
      <c r="C300" s="32"/>
      <c r="D300" s="57" t="s">
        <v>370</v>
      </c>
      <c r="E300" s="50" t="s">
        <v>370</v>
      </c>
      <c r="F300" s="82">
        <v>1801547</v>
      </c>
      <c r="G300" s="26">
        <f t="shared" si="21"/>
        <v>1801.5</v>
      </c>
      <c r="H300" s="26">
        <v>99.6</v>
      </c>
      <c r="I300" s="82">
        <v>1795015</v>
      </c>
      <c r="J300" s="26">
        <f t="shared" si="22"/>
        <v>1795</v>
      </c>
      <c r="K300" s="9">
        <f>500000+1200000</f>
        <v>1700000</v>
      </c>
      <c r="L300" s="9"/>
      <c r="M300" s="42">
        <f>L300+K300</f>
        <v>1700000</v>
      </c>
      <c r="N300" s="43">
        <f t="shared" si="23"/>
        <v>1700</v>
      </c>
      <c r="O300" s="84"/>
      <c r="P300" s="31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  <c r="ED300" s="84"/>
      <c r="EE300" s="84"/>
      <c r="EF300" s="84"/>
      <c r="EG300" s="84"/>
      <c r="EH300" s="84"/>
      <c r="EI300" s="84"/>
      <c r="EJ300" s="84"/>
      <c r="EK300" s="84"/>
      <c r="EL300" s="84"/>
      <c r="EM300" s="84"/>
      <c r="EN300" s="84"/>
      <c r="EO300" s="84"/>
      <c r="EP300" s="84"/>
      <c r="EQ300" s="84"/>
      <c r="ER300" s="84"/>
    </row>
    <row r="301" spans="1:148" ht="39.75" customHeight="1">
      <c r="A301" s="32"/>
      <c r="B301" s="32"/>
      <c r="C301" s="32"/>
      <c r="D301" s="57" t="s">
        <v>235</v>
      </c>
      <c r="E301" s="50" t="s">
        <v>235</v>
      </c>
      <c r="F301" s="82">
        <v>1579560</v>
      </c>
      <c r="G301" s="26">
        <f t="shared" si="21"/>
        <v>1579.6</v>
      </c>
      <c r="H301" s="26">
        <v>38.3</v>
      </c>
      <c r="I301" s="82">
        <v>605818</v>
      </c>
      <c r="J301" s="26">
        <f t="shared" si="22"/>
        <v>605.8</v>
      </c>
      <c r="K301" s="9">
        <v>500000</v>
      </c>
      <c r="L301" s="9"/>
      <c r="M301" s="42">
        <f>L301+K301</f>
        <v>500000</v>
      </c>
      <c r="N301" s="43">
        <f t="shared" si="23"/>
        <v>500</v>
      </c>
      <c r="O301" s="84"/>
      <c r="P301" s="31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  <c r="ED301" s="84"/>
      <c r="EE301" s="84"/>
      <c r="EF301" s="84"/>
      <c r="EG301" s="84"/>
      <c r="EH301" s="84"/>
      <c r="EI301" s="84"/>
      <c r="EJ301" s="84"/>
      <c r="EK301" s="84"/>
      <c r="EL301" s="84"/>
      <c r="EM301" s="84"/>
      <c r="EN301" s="84"/>
      <c r="EO301" s="84"/>
      <c r="EP301" s="84"/>
      <c r="EQ301" s="84"/>
      <c r="ER301" s="84"/>
    </row>
    <row r="302" spans="1:16" s="30" customFormat="1" ht="30.75" customHeight="1">
      <c r="A302" s="24" t="s">
        <v>259</v>
      </c>
      <c r="B302" s="24" t="s">
        <v>256</v>
      </c>
      <c r="C302" s="24"/>
      <c r="D302" s="3" t="s">
        <v>445</v>
      </c>
      <c r="E302" s="3"/>
      <c r="F302" s="103"/>
      <c r="G302" s="104">
        <f t="shared" si="21"/>
        <v>0</v>
      </c>
      <c r="H302" s="3"/>
      <c r="I302" s="103"/>
      <c r="J302" s="104">
        <f t="shared" si="22"/>
        <v>0</v>
      </c>
      <c r="K302" s="75">
        <f>SUM(K307)+K303</f>
        <v>1103138</v>
      </c>
      <c r="L302" s="75">
        <f>SUM(L307)+L303</f>
        <v>0</v>
      </c>
      <c r="M302" s="76">
        <f>SUM(M307)+M303</f>
        <v>1103138</v>
      </c>
      <c r="N302" s="29">
        <f>SUM(N307)+N303</f>
        <v>1103.1</v>
      </c>
      <c r="P302" s="31"/>
    </row>
    <row r="303" spans="1:16" s="47" customFormat="1" ht="58.5" customHeight="1">
      <c r="A303" s="38" t="s">
        <v>418</v>
      </c>
      <c r="B303" s="38" t="s">
        <v>266</v>
      </c>
      <c r="C303" s="38" t="s">
        <v>44</v>
      </c>
      <c r="D303" s="39" t="s">
        <v>267</v>
      </c>
      <c r="E303" s="39"/>
      <c r="F303" s="82"/>
      <c r="G303" s="26">
        <f t="shared" si="21"/>
        <v>0</v>
      </c>
      <c r="H303" s="39"/>
      <c r="I303" s="82"/>
      <c r="J303" s="26">
        <f t="shared" si="22"/>
        <v>0</v>
      </c>
      <c r="K303" s="62">
        <f>K304+K305+K306</f>
        <v>504600</v>
      </c>
      <c r="L303" s="62">
        <f>L304+L305+L306</f>
        <v>0</v>
      </c>
      <c r="M303" s="63">
        <f>M304+M305+M306</f>
        <v>504600</v>
      </c>
      <c r="N303" s="78">
        <f>N304+N305+N306</f>
        <v>504.59999999999997</v>
      </c>
      <c r="P303" s="31"/>
    </row>
    <row r="304" spans="1:16" s="36" customFormat="1" ht="37.5" customHeight="1">
      <c r="A304" s="32"/>
      <c r="B304" s="32"/>
      <c r="C304" s="32"/>
      <c r="D304" s="33" t="s">
        <v>419</v>
      </c>
      <c r="E304" s="33" t="s">
        <v>419</v>
      </c>
      <c r="F304" s="82">
        <v>1405464</v>
      </c>
      <c r="G304" s="26">
        <f t="shared" si="21"/>
        <v>1405.5</v>
      </c>
      <c r="H304" s="26">
        <v>100</v>
      </c>
      <c r="I304" s="82">
        <v>1405464</v>
      </c>
      <c r="J304" s="26">
        <f t="shared" si="22"/>
        <v>1405.5</v>
      </c>
      <c r="K304" s="59">
        <v>169890</v>
      </c>
      <c r="L304" s="106"/>
      <c r="M304" s="107">
        <f>L304+K304</f>
        <v>169890</v>
      </c>
      <c r="N304" s="35">
        <f t="shared" si="23"/>
        <v>169.9</v>
      </c>
      <c r="P304" s="31"/>
    </row>
    <row r="305" spans="1:16" s="36" customFormat="1" ht="40.5" customHeight="1">
      <c r="A305" s="32"/>
      <c r="B305" s="32"/>
      <c r="C305" s="32"/>
      <c r="D305" s="33" t="s">
        <v>420</v>
      </c>
      <c r="E305" s="33" t="s">
        <v>420</v>
      </c>
      <c r="F305" s="82">
        <v>1567405</v>
      </c>
      <c r="G305" s="26">
        <f t="shared" si="21"/>
        <v>1567.4</v>
      </c>
      <c r="H305" s="26">
        <v>100</v>
      </c>
      <c r="I305" s="82">
        <v>1567405</v>
      </c>
      <c r="J305" s="26">
        <f t="shared" si="22"/>
        <v>1567.4</v>
      </c>
      <c r="K305" s="59">
        <v>162526</v>
      </c>
      <c r="L305" s="106"/>
      <c r="M305" s="107">
        <f>L305+K305</f>
        <v>162526</v>
      </c>
      <c r="N305" s="35">
        <f t="shared" si="23"/>
        <v>162.5</v>
      </c>
      <c r="P305" s="31"/>
    </row>
    <row r="306" spans="1:16" s="36" customFormat="1" ht="50.25" customHeight="1">
      <c r="A306" s="32"/>
      <c r="B306" s="32"/>
      <c r="C306" s="32"/>
      <c r="D306" s="33" t="s">
        <v>421</v>
      </c>
      <c r="E306" s="33" t="s">
        <v>421</v>
      </c>
      <c r="F306" s="82">
        <v>1572186</v>
      </c>
      <c r="G306" s="26">
        <f t="shared" si="21"/>
        <v>1572.2</v>
      </c>
      <c r="H306" s="26">
        <v>100</v>
      </c>
      <c r="I306" s="82">
        <v>1572186</v>
      </c>
      <c r="J306" s="26">
        <f t="shared" si="22"/>
        <v>1572.2</v>
      </c>
      <c r="K306" s="59">
        <v>172184</v>
      </c>
      <c r="L306" s="106"/>
      <c r="M306" s="107">
        <f>L306+K306</f>
        <v>172184</v>
      </c>
      <c r="N306" s="35">
        <f t="shared" si="23"/>
        <v>172.2</v>
      </c>
      <c r="P306" s="31"/>
    </row>
    <row r="307" spans="1:16" s="47" customFormat="1" ht="46.5" customHeight="1">
      <c r="A307" s="38" t="s">
        <v>260</v>
      </c>
      <c r="B307" s="38" t="s">
        <v>263</v>
      </c>
      <c r="C307" s="38" t="s">
        <v>44</v>
      </c>
      <c r="D307" s="39" t="s">
        <v>254</v>
      </c>
      <c r="E307" s="39"/>
      <c r="F307" s="82"/>
      <c r="G307" s="26">
        <f t="shared" si="21"/>
        <v>0</v>
      </c>
      <c r="H307" s="39"/>
      <c r="I307" s="82"/>
      <c r="J307" s="26">
        <f t="shared" si="22"/>
        <v>0</v>
      </c>
      <c r="K307" s="62">
        <f>K309+K311</f>
        <v>598538</v>
      </c>
      <c r="L307" s="62">
        <f>L309+L311</f>
        <v>0</v>
      </c>
      <c r="M307" s="63">
        <f>M309+M311</f>
        <v>598538</v>
      </c>
      <c r="N307" s="78">
        <f>N309+N311</f>
        <v>598.5</v>
      </c>
      <c r="P307" s="31"/>
    </row>
    <row r="308" spans="1:16" s="47" customFormat="1" ht="32.25" customHeight="1">
      <c r="A308" s="38"/>
      <c r="B308" s="38"/>
      <c r="C308" s="38"/>
      <c r="D308" s="39" t="s">
        <v>413</v>
      </c>
      <c r="E308" s="39"/>
      <c r="F308" s="82"/>
      <c r="G308" s="26">
        <f t="shared" si="21"/>
        <v>0</v>
      </c>
      <c r="H308" s="39"/>
      <c r="I308" s="82"/>
      <c r="J308" s="26">
        <f t="shared" si="22"/>
        <v>0</v>
      </c>
      <c r="K308" s="41">
        <f>K310+K312</f>
        <v>300091</v>
      </c>
      <c r="L308" s="41">
        <f>L310+L312</f>
        <v>0</v>
      </c>
      <c r="M308" s="42">
        <f>L308+K308</f>
        <v>300091</v>
      </c>
      <c r="N308" s="43">
        <f t="shared" si="23"/>
        <v>300.1</v>
      </c>
      <c r="P308" s="31"/>
    </row>
    <row r="309" spans="1:16" s="36" customFormat="1" ht="45.75" customHeight="1">
      <c r="A309" s="32"/>
      <c r="B309" s="32"/>
      <c r="C309" s="32"/>
      <c r="D309" s="33" t="s">
        <v>387</v>
      </c>
      <c r="E309" s="33" t="s">
        <v>387</v>
      </c>
      <c r="F309" s="82"/>
      <c r="G309" s="26">
        <f t="shared" si="21"/>
        <v>0</v>
      </c>
      <c r="H309" s="33"/>
      <c r="I309" s="82"/>
      <c r="J309" s="26">
        <f t="shared" si="22"/>
        <v>0</v>
      </c>
      <c r="K309" s="59">
        <f>289447+91</f>
        <v>289538</v>
      </c>
      <c r="L309" s="106"/>
      <c r="M309" s="107">
        <f>L309+K309</f>
        <v>289538</v>
      </c>
      <c r="N309" s="35">
        <f t="shared" si="23"/>
        <v>289.5</v>
      </c>
      <c r="P309" s="31"/>
    </row>
    <row r="310" spans="1:16" s="47" customFormat="1" ht="27.75" customHeight="1">
      <c r="A310" s="38"/>
      <c r="B310" s="38"/>
      <c r="C310" s="38"/>
      <c r="D310" s="39" t="s">
        <v>413</v>
      </c>
      <c r="E310" s="39"/>
      <c r="F310" s="82"/>
      <c r="G310" s="26">
        <f t="shared" si="21"/>
        <v>0</v>
      </c>
      <c r="H310" s="39"/>
      <c r="I310" s="82"/>
      <c r="J310" s="26">
        <f t="shared" si="22"/>
        <v>0</v>
      </c>
      <c r="K310" s="41">
        <v>91</v>
      </c>
      <c r="L310" s="41"/>
      <c r="M310" s="42">
        <f>L310+K310</f>
        <v>91</v>
      </c>
      <c r="N310" s="43">
        <f t="shared" si="23"/>
        <v>0.1</v>
      </c>
      <c r="P310" s="31"/>
    </row>
    <row r="311" spans="1:16" s="36" customFormat="1" ht="48.75" customHeight="1">
      <c r="A311" s="32"/>
      <c r="B311" s="32"/>
      <c r="C311" s="32"/>
      <c r="D311" s="33" t="s">
        <v>388</v>
      </c>
      <c r="E311" s="33" t="s">
        <v>388</v>
      </c>
      <c r="F311" s="82"/>
      <c r="G311" s="26">
        <f t="shared" si="21"/>
        <v>0</v>
      </c>
      <c r="H311" s="33"/>
      <c r="I311" s="82"/>
      <c r="J311" s="26">
        <f t="shared" si="22"/>
        <v>0</v>
      </c>
      <c r="K311" s="59">
        <v>309000</v>
      </c>
      <c r="L311" s="106"/>
      <c r="M311" s="107">
        <f>L311+K311</f>
        <v>309000</v>
      </c>
      <c r="N311" s="35">
        <f t="shared" si="23"/>
        <v>309</v>
      </c>
      <c r="P311" s="31"/>
    </row>
    <row r="312" spans="1:16" s="47" customFormat="1" ht="27.75" customHeight="1">
      <c r="A312" s="38"/>
      <c r="B312" s="38"/>
      <c r="C312" s="38"/>
      <c r="D312" s="39" t="s">
        <v>413</v>
      </c>
      <c r="E312" s="39"/>
      <c r="F312" s="82"/>
      <c r="G312" s="26">
        <f t="shared" si="21"/>
        <v>0</v>
      </c>
      <c r="H312" s="39"/>
      <c r="I312" s="82"/>
      <c r="J312" s="26">
        <f t="shared" si="22"/>
        <v>0</v>
      </c>
      <c r="K312" s="41">
        <v>300000</v>
      </c>
      <c r="L312" s="41"/>
      <c r="M312" s="42">
        <f>L312+K312</f>
        <v>300000</v>
      </c>
      <c r="N312" s="43">
        <f t="shared" si="23"/>
        <v>300</v>
      </c>
      <c r="P312" s="31"/>
    </row>
    <row r="313" spans="1:16" s="30" customFormat="1" ht="42" customHeight="1">
      <c r="A313" s="24" t="s">
        <v>72</v>
      </c>
      <c r="B313" s="24" t="s">
        <v>1</v>
      </c>
      <c r="C313" s="24" t="s">
        <v>45</v>
      </c>
      <c r="D313" s="3" t="s">
        <v>473</v>
      </c>
      <c r="E313" s="3"/>
      <c r="F313" s="103"/>
      <c r="G313" s="26">
        <f t="shared" si="21"/>
        <v>0</v>
      </c>
      <c r="H313" s="3"/>
      <c r="I313" s="103"/>
      <c r="J313" s="26">
        <f t="shared" si="22"/>
        <v>0</v>
      </c>
      <c r="K313" s="27">
        <f>K314+K315+K316+K317+K318+K319+K320</f>
        <v>17906155</v>
      </c>
      <c r="L313" s="27">
        <f>L314+L315+L316+L317+L318+L319+L320</f>
        <v>0</v>
      </c>
      <c r="M313" s="28">
        <f>M314+M315+M316+M317+M318+M319+M320</f>
        <v>17906155</v>
      </c>
      <c r="N313" s="29">
        <f>N314+N315+N316+N317+N318+N319+N320</f>
        <v>17906.199999999997</v>
      </c>
      <c r="P313" s="31"/>
    </row>
    <row r="314" spans="1:16" s="36" customFormat="1" ht="32.25" customHeight="1">
      <c r="A314" s="32"/>
      <c r="B314" s="32"/>
      <c r="C314" s="32"/>
      <c r="D314" s="33" t="s">
        <v>474</v>
      </c>
      <c r="E314" s="33" t="s">
        <v>433</v>
      </c>
      <c r="F314" s="82">
        <v>9999558</v>
      </c>
      <c r="G314" s="26">
        <f t="shared" si="21"/>
        <v>9999.6</v>
      </c>
      <c r="H314" s="90">
        <v>85</v>
      </c>
      <c r="I314" s="82">
        <v>8499624</v>
      </c>
      <c r="J314" s="26">
        <f t="shared" si="22"/>
        <v>8499.6</v>
      </c>
      <c r="K314" s="59">
        <v>1702000</v>
      </c>
      <c r="L314" s="59"/>
      <c r="M314" s="60">
        <v>1702000</v>
      </c>
      <c r="N314" s="35">
        <f t="shared" si="23"/>
        <v>1702</v>
      </c>
      <c r="P314" s="31"/>
    </row>
    <row r="315" spans="1:16" s="36" customFormat="1" ht="33.75" customHeight="1">
      <c r="A315" s="32"/>
      <c r="B315" s="32"/>
      <c r="C315" s="32"/>
      <c r="D315" s="33" t="s">
        <v>475</v>
      </c>
      <c r="E315" s="33" t="s">
        <v>428</v>
      </c>
      <c r="F315" s="82">
        <v>16378459</v>
      </c>
      <c r="G315" s="26">
        <f t="shared" si="21"/>
        <v>16378.5</v>
      </c>
      <c r="H315" s="90">
        <v>100</v>
      </c>
      <c r="I315" s="82">
        <v>16378459</v>
      </c>
      <c r="J315" s="26">
        <f t="shared" si="22"/>
        <v>16378.5</v>
      </c>
      <c r="K315" s="59">
        <v>6500000</v>
      </c>
      <c r="L315" s="59"/>
      <c r="M315" s="60">
        <v>6500000</v>
      </c>
      <c r="N315" s="35">
        <f t="shared" si="23"/>
        <v>6500</v>
      </c>
      <c r="P315" s="31"/>
    </row>
    <row r="316" spans="1:16" s="36" customFormat="1" ht="33" customHeight="1">
      <c r="A316" s="32"/>
      <c r="B316" s="32"/>
      <c r="C316" s="32"/>
      <c r="D316" s="33" t="s">
        <v>476</v>
      </c>
      <c r="E316" s="33" t="s">
        <v>429</v>
      </c>
      <c r="F316" s="82">
        <v>6817326</v>
      </c>
      <c r="G316" s="26">
        <f t="shared" si="21"/>
        <v>6817.3</v>
      </c>
      <c r="H316" s="90">
        <v>100</v>
      </c>
      <c r="I316" s="82">
        <v>6817326</v>
      </c>
      <c r="J316" s="26">
        <f t="shared" si="22"/>
        <v>6817.3</v>
      </c>
      <c r="K316" s="59">
        <v>2045000</v>
      </c>
      <c r="L316" s="59"/>
      <c r="M316" s="60">
        <v>2045000</v>
      </c>
      <c r="N316" s="35">
        <f t="shared" si="23"/>
        <v>2045</v>
      </c>
      <c r="P316" s="31"/>
    </row>
    <row r="317" spans="1:16" s="36" customFormat="1" ht="39" customHeight="1">
      <c r="A317" s="32"/>
      <c r="B317" s="32"/>
      <c r="C317" s="32"/>
      <c r="D317" s="33" t="s">
        <v>430</v>
      </c>
      <c r="E317" s="33" t="s">
        <v>430</v>
      </c>
      <c r="F317" s="82"/>
      <c r="G317" s="26">
        <f t="shared" si="21"/>
        <v>0</v>
      </c>
      <c r="H317" s="59"/>
      <c r="I317" s="82"/>
      <c r="J317" s="26">
        <f t="shared" si="22"/>
        <v>0</v>
      </c>
      <c r="K317" s="59">
        <v>65000</v>
      </c>
      <c r="L317" s="59"/>
      <c r="M317" s="60">
        <v>65000</v>
      </c>
      <c r="N317" s="35">
        <f t="shared" si="23"/>
        <v>65</v>
      </c>
      <c r="P317" s="31"/>
    </row>
    <row r="318" spans="1:16" s="36" customFormat="1" ht="38.25" customHeight="1">
      <c r="A318" s="32"/>
      <c r="B318" s="32"/>
      <c r="C318" s="32"/>
      <c r="D318" s="33" t="s">
        <v>431</v>
      </c>
      <c r="E318" s="33" t="s">
        <v>431</v>
      </c>
      <c r="F318" s="82"/>
      <c r="G318" s="26">
        <f t="shared" si="21"/>
        <v>0</v>
      </c>
      <c r="H318" s="59"/>
      <c r="I318" s="82"/>
      <c r="J318" s="26">
        <f t="shared" si="22"/>
        <v>0</v>
      </c>
      <c r="K318" s="59">
        <v>318400</v>
      </c>
      <c r="L318" s="59"/>
      <c r="M318" s="60">
        <v>318400</v>
      </c>
      <c r="N318" s="35">
        <f t="shared" si="23"/>
        <v>318.4</v>
      </c>
      <c r="P318" s="31"/>
    </row>
    <row r="319" spans="1:16" s="36" customFormat="1" ht="38.25" customHeight="1">
      <c r="A319" s="32"/>
      <c r="B319" s="32"/>
      <c r="C319" s="32"/>
      <c r="D319" s="33" t="s">
        <v>432</v>
      </c>
      <c r="E319" s="33" t="s">
        <v>432</v>
      </c>
      <c r="F319" s="82"/>
      <c r="G319" s="26">
        <f t="shared" si="21"/>
        <v>0</v>
      </c>
      <c r="H319" s="59"/>
      <c r="I319" s="82"/>
      <c r="J319" s="26">
        <f t="shared" si="22"/>
        <v>0</v>
      </c>
      <c r="K319" s="59">
        <v>145755</v>
      </c>
      <c r="L319" s="59"/>
      <c r="M319" s="60">
        <v>145755</v>
      </c>
      <c r="N319" s="35">
        <f t="shared" si="23"/>
        <v>145.8</v>
      </c>
      <c r="P319" s="31"/>
    </row>
    <row r="320" spans="1:16" s="36" customFormat="1" ht="36.75" customHeight="1">
      <c r="A320" s="32"/>
      <c r="B320" s="32"/>
      <c r="C320" s="32"/>
      <c r="D320" s="33" t="s">
        <v>434</v>
      </c>
      <c r="E320" s="33" t="s">
        <v>434</v>
      </c>
      <c r="F320" s="59"/>
      <c r="G320" s="26">
        <f t="shared" si="21"/>
        <v>0</v>
      </c>
      <c r="H320" s="59"/>
      <c r="I320" s="82"/>
      <c r="J320" s="26">
        <f t="shared" si="22"/>
        <v>0</v>
      </c>
      <c r="K320" s="59">
        <v>7130000</v>
      </c>
      <c r="L320" s="59"/>
      <c r="M320" s="60">
        <v>7130000</v>
      </c>
      <c r="N320" s="35">
        <f t="shared" si="23"/>
        <v>7130</v>
      </c>
      <c r="P320" s="31"/>
    </row>
    <row r="321" spans="1:16" s="36" customFormat="1" ht="36.75" customHeight="1">
      <c r="A321" s="24" t="s">
        <v>305</v>
      </c>
      <c r="B321" s="69"/>
      <c r="C321" s="69"/>
      <c r="D321" s="3" t="s">
        <v>304</v>
      </c>
      <c r="E321" s="3"/>
      <c r="F321" s="3"/>
      <c r="G321" s="26">
        <f t="shared" si="21"/>
        <v>0</v>
      </c>
      <c r="H321" s="3"/>
      <c r="I321" s="82"/>
      <c r="J321" s="26">
        <f t="shared" si="22"/>
        <v>0</v>
      </c>
      <c r="K321" s="27">
        <f>K322</f>
        <v>140000</v>
      </c>
      <c r="L321" s="27">
        <f>L322</f>
        <v>0</v>
      </c>
      <c r="M321" s="28">
        <f>M322</f>
        <v>140000</v>
      </c>
      <c r="N321" s="29">
        <f>N322</f>
        <v>140</v>
      </c>
      <c r="P321" s="31"/>
    </row>
    <row r="322" spans="1:16" s="36" customFormat="1" ht="39.75" customHeight="1">
      <c r="A322" s="32" t="s">
        <v>306</v>
      </c>
      <c r="B322" s="32" t="s">
        <v>307</v>
      </c>
      <c r="C322" s="32" t="s">
        <v>49</v>
      </c>
      <c r="D322" s="33" t="s">
        <v>308</v>
      </c>
      <c r="E322" s="33"/>
      <c r="F322" s="33"/>
      <c r="G322" s="26">
        <f t="shared" si="21"/>
        <v>0</v>
      </c>
      <c r="H322" s="33"/>
      <c r="I322" s="82"/>
      <c r="J322" s="26">
        <f t="shared" si="22"/>
        <v>0</v>
      </c>
      <c r="K322" s="9">
        <v>140000</v>
      </c>
      <c r="L322" s="9"/>
      <c r="M322" s="34">
        <f>L322+K322</f>
        <v>140000</v>
      </c>
      <c r="N322" s="35">
        <f t="shared" si="23"/>
        <v>140</v>
      </c>
      <c r="P322" s="31"/>
    </row>
    <row r="323" spans="1:16" s="30" customFormat="1" ht="46.5" customHeight="1">
      <c r="A323" s="24" t="s">
        <v>110</v>
      </c>
      <c r="B323" s="69"/>
      <c r="C323" s="69"/>
      <c r="D323" s="3" t="s">
        <v>21</v>
      </c>
      <c r="E323" s="3"/>
      <c r="F323" s="3"/>
      <c r="G323" s="26">
        <f t="shared" si="21"/>
        <v>0</v>
      </c>
      <c r="H323" s="3"/>
      <c r="I323" s="82"/>
      <c r="J323" s="26">
        <f t="shared" si="22"/>
        <v>0</v>
      </c>
      <c r="K323" s="27">
        <f>K324</f>
        <v>40000</v>
      </c>
      <c r="L323" s="27">
        <f>L324</f>
        <v>0</v>
      </c>
      <c r="M323" s="28">
        <f>M324</f>
        <v>40000</v>
      </c>
      <c r="N323" s="29">
        <f>N324</f>
        <v>40</v>
      </c>
      <c r="P323" s="31"/>
    </row>
    <row r="324" spans="1:16" s="47" customFormat="1" ht="51" customHeight="1">
      <c r="A324" s="32" t="s">
        <v>111</v>
      </c>
      <c r="B324" s="32" t="s">
        <v>55</v>
      </c>
      <c r="C324" s="32" t="s">
        <v>23</v>
      </c>
      <c r="D324" s="33" t="s">
        <v>56</v>
      </c>
      <c r="E324" s="33"/>
      <c r="F324" s="33"/>
      <c r="G324" s="26">
        <f t="shared" si="21"/>
        <v>0</v>
      </c>
      <c r="H324" s="33"/>
      <c r="I324" s="82"/>
      <c r="J324" s="26">
        <f t="shared" si="22"/>
        <v>0</v>
      </c>
      <c r="K324" s="9">
        <v>40000</v>
      </c>
      <c r="L324" s="9"/>
      <c r="M324" s="34">
        <f>L324+K324</f>
        <v>40000</v>
      </c>
      <c r="N324" s="35">
        <f t="shared" si="23"/>
        <v>40</v>
      </c>
      <c r="P324" s="31"/>
    </row>
    <row r="325" spans="1:16" s="30" customFormat="1" ht="48.75" customHeight="1">
      <c r="A325" s="24" t="s">
        <v>112</v>
      </c>
      <c r="B325" s="24"/>
      <c r="C325" s="24"/>
      <c r="D325" s="3" t="s">
        <v>19</v>
      </c>
      <c r="E325" s="3"/>
      <c r="F325" s="3"/>
      <c r="G325" s="26">
        <f t="shared" si="21"/>
        <v>0</v>
      </c>
      <c r="H325" s="3"/>
      <c r="I325" s="82"/>
      <c r="J325" s="26">
        <f t="shared" si="22"/>
        <v>0</v>
      </c>
      <c r="K325" s="27">
        <f>K326+K327+K328+K329</f>
        <v>273500</v>
      </c>
      <c r="L325" s="27">
        <f>L326+L327+L328+L329</f>
        <v>0</v>
      </c>
      <c r="M325" s="28">
        <f>M326+M327+M328+M329</f>
        <v>273500</v>
      </c>
      <c r="N325" s="29">
        <f>N326+N327+N328+N329</f>
        <v>273.5</v>
      </c>
      <c r="P325" s="31"/>
    </row>
    <row r="326" spans="1:16" s="30" customFormat="1" ht="46.5" customHeight="1">
      <c r="A326" s="32" t="s">
        <v>113</v>
      </c>
      <c r="B326" s="32" t="s">
        <v>55</v>
      </c>
      <c r="C326" s="32" t="s">
        <v>23</v>
      </c>
      <c r="D326" s="33" t="s">
        <v>56</v>
      </c>
      <c r="E326" s="33"/>
      <c r="F326" s="33"/>
      <c r="G326" s="26">
        <f t="shared" si="21"/>
        <v>0</v>
      </c>
      <c r="H326" s="33"/>
      <c r="I326" s="82"/>
      <c r="J326" s="26">
        <f t="shared" si="22"/>
        <v>0</v>
      </c>
      <c r="K326" s="9">
        <f>150000-130500</f>
        <v>19500</v>
      </c>
      <c r="L326" s="9"/>
      <c r="M326" s="34">
        <f>L326+K326</f>
        <v>19500</v>
      </c>
      <c r="N326" s="35">
        <f t="shared" si="23"/>
        <v>19.5</v>
      </c>
      <c r="P326" s="31"/>
    </row>
    <row r="327" spans="1:16" s="36" customFormat="1" ht="39" customHeight="1">
      <c r="A327" s="48" t="s">
        <v>124</v>
      </c>
      <c r="B327" s="48" t="s">
        <v>125</v>
      </c>
      <c r="C327" s="48" t="s">
        <v>44</v>
      </c>
      <c r="D327" s="33" t="s">
        <v>128</v>
      </c>
      <c r="E327" s="33"/>
      <c r="F327" s="33"/>
      <c r="G327" s="26">
        <f t="shared" si="21"/>
        <v>0</v>
      </c>
      <c r="H327" s="33"/>
      <c r="I327" s="82"/>
      <c r="J327" s="26">
        <f t="shared" si="22"/>
        <v>0</v>
      </c>
      <c r="K327" s="9">
        <f>25000+25000</f>
        <v>50000</v>
      </c>
      <c r="L327" s="9"/>
      <c r="M327" s="34">
        <f>L327+K327</f>
        <v>50000</v>
      </c>
      <c r="N327" s="35">
        <f t="shared" si="23"/>
        <v>50</v>
      </c>
      <c r="P327" s="31"/>
    </row>
    <row r="328" spans="1:16" s="36" customFormat="1" ht="60" customHeight="1">
      <c r="A328" s="48" t="s">
        <v>126</v>
      </c>
      <c r="B328" s="48" t="s">
        <v>127</v>
      </c>
      <c r="C328" s="48" t="s">
        <v>44</v>
      </c>
      <c r="D328" s="33" t="s">
        <v>129</v>
      </c>
      <c r="E328" s="33"/>
      <c r="F328" s="33"/>
      <c r="G328" s="26">
        <f t="shared" si="21"/>
        <v>0</v>
      </c>
      <c r="H328" s="33"/>
      <c r="I328" s="82"/>
      <c r="J328" s="26">
        <f t="shared" si="22"/>
        <v>0</v>
      </c>
      <c r="K328" s="9">
        <v>25000</v>
      </c>
      <c r="L328" s="9"/>
      <c r="M328" s="34">
        <f>L328+K328</f>
        <v>25000</v>
      </c>
      <c r="N328" s="35">
        <f t="shared" si="23"/>
        <v>25</v>
      </c>
      <c r="P328" s="31"/>
    </row>
    <row r="329" spans="1:16" s="36" customFormat="1" ht="49.5" customHeight="1">
      <c r="A329" s="48" t="s">
        <v>250</v>
      </c>
      <c r="B329" s="48" t="s">
        <v>251</v>
      </c>
      <c r="C329" s="48" t="s">
        <v>22</v>
      </c>
      <c r="D329" s="50" t="s">
        <v>261</v>
      </c>
      <c r="E329" s="33"/>
      <c r="F329" s="33"/>
      <c r="G329" s="26">
        <f t="shared" si="21"/>
        <v>0</v>
      </c>
      <c r="H329" s="33"/>
      <c r="I329" s="82"/>
      <c r="J329" s="26">
        <f t="shared" si="22"/>
        <v>0</v>
      </c>
      <c r="K329" s="9">
        <v>179000</v>
      </c>
      <c r="L329" s="9"/>
      <c r="M329" s="34">
        <f>L329+K329</f>
        <v>179000</v>
      </c>
      <c r="N329" s="35">
        <f t="shared" si="23"/>
        <v>179</v>
      </c>
      <c r="P329" s="31"/>
    </row>
    <row r="330" spans="1:16" s="30" customFormat="1" ht="42" customHeight="1">
      <c r="A330" s="24" t="s">
        <v>114</v>
      </c>
      <c r="B330" s="24"/>
      <c r="C330" s="24"/>
      <c r="D330" s="3" t="s">
        <v>20</v>
      </c>
      <c r="E330" s="3"/>
      <c r="F330" s="3"/>
      <c r="G330" s="26">
        <f t="shared" si="21"/>
        <v>0</v>
      </c>
      <c r="H330" s="3"/>
      <c r="I330" s="3"/>
      <c r="J330" s="26">
        <f t="shared" si="22"/>
        <v>0</v>
      </c>
      <c r="K330" s="27">
        <f>K331+K332</f>
        <v>613800</v>
      </c>
      <c r="L330" s="27">
        <f>L331+L332</f>
        <v>0</v>
      </c>
      <c r="M330" s="28">
        <f>M331+M332</f>
        <v>613800</v>
      </c>
      <c r="N330" s="29">
        <f>N331+N332</f>
        <v>613.8</v>
      </c>
      <c r="P330" s="31"/>
    </row>
    <row r="331" spans="1:16" s="36" customFormat="1" ht="51" customHeight="1">
      <c r="A331" s="32" t="s">
        <v>115</v>
      </c>
      <c r="B331" s="32" t="s">
        <v>55</v>
      </c>
      <c r="C331" s="32" t="s">
        <v>23</v>
      </c>
      <c r="D331" s="33" t="s">
        <v>56</v>
      </c>
      <c r="E331" s="33"/>
      <c r="F331" s="33"/>
      <c r="G331" s="26">
        <f t="shared" si="21"/>
        <v>0</v>
      </c>
      <c r="H331" s="33"/>
      <c r="I331" s="33"/>
      <c r="J331" s="26">
        <f t="shared" si="22"/>
        <v>0</v>
      </c>
      <c r="K331" s="9">
        <f>184000-123000</f>
        <v>61000</v>
      </c>
      <c r="L331" s="9"/>
      <c r="M331" s="34">
        <f>L331+K331</f>
        <v>61000</v>
      </c>
      <c r="N331" s="35">
        <f t="shared" si="23"/>
        <v>61</v>
      </c>
      <c r="P331" s="31"/>
    </row>
    <row r="332" spans="1:16" s="36" customFormat="1" ht="27" customHeight="1">
      <c r="A332" s="32" t="s">
        <v>201</v>
      </c>
      <c r="B332" s="32" t="s">
        <v>202</v>
      </c>
      <c r="C332" s="32" t="s">
        <v>22</v>
      </c>
      <c r="D332" s="33" t="s">
        <v>203</v>
      </c>
      <c r="E332" s="33"/>
      <c r="F332" s="33"/>
      <c r="G332" s="26">
        <f t="shared" si="21"/>
        <v>0</v>
      </c>
      <c r="H332" s="33"/>
      <c r="I332" s="33"/>
      <c r="J332" s="26">
        <f t="shared" si="22"/>
        <v>0</v>
      </c>
      <c r="K332" s="9">
        <f>514800+38000</f>
        <v>552800</v>
      </c>
      <c r="L332" s="9"/>
      <c r="M332" s="34">
        <f>K332+L332</f>
        <v>552800</v>
      </c>
      <c r="N332" s="35">
        <f t="shared" si="23"/>
        <v>552.8</v>
      </c>
      <c r="P332" s="31"/>
    </row>
    <row r="333" spans="1:16" s="30" customFormat="1" ht="33" customHeight="1">
      <c r="A333" s="24"/>
      <c r="B333" s="69"/>
      <c r="C333" s="69"/>
      <c r="D333" s="3" t="s">
        <v>477</v>
      </c>
      <c r="E333" s="3"/>
      <c r="F333" s="3"/>
      <c r="G333" s="26">
        <f t="shared" si="21"/>
        <v>0</v>
      </c>
      <c r="H333" s="3"/>
      <c r="I333" s="3"/>
      <c r="J333" s="26">
        <f t="shared" si="22"/>
        <v>0</v>
      </c>
      <c r="K333" s="27">
        <f>K14+K37+K58+K71+K88+K93+K104+K172+K174+K321+K323+K325+K330</f>
        <v>515951986.24</v>
      </c>
      <c r="L333" s="27">
        <f>L14+L37+L58+L71+L88+L93+L104+L172+L174+L321+L323+L325+L330</f>
        <v>-39000</v>
      </c>
      <c r="M333" s="27">
        <f>M14+M37+M58+M71+M88+M93+M104+M172+M174+M321+M323+M325+M330</f>
        <v>515912986.24</v>
      </c>
      <c r="N333" s="108">
        <f>N14+N37+N58+N71+N88+N93+N104+N172+N174+N321+N323+N325+N330</f>
        <v>515912.99999999994</v>
      </c>
      <c r="P333" s="31"/>
    </row>
    <row r="334" spans="1:16" s="30" customFormat="1" ht="21" customHeight="1">
      <c r="A334" s="24"/>
      <c r="B334" s="24"/>
      <c r="C334" s="24"/>
      <c r="D334" s="4" t="s">
        <v>413</v>
      </c>
      <c r="E334" s="3"/>
      <c r="F334" s="3"/>
      <c r="G334" s="26">
        <f>ROUND(F334/1000,1)</f>
        <v>0</v>
      </c>
      <c r="H334" s="3"/>
      <c r="I334" s="3"/>
      <c r="J334" s="26">
        <f>ROUND(I334/1000,1)</f>
        <v>0</v>
      </c>
      <c r="K334" s="27">
        <f>K38+K59+K72+K94++K105+K175+K89</f>
        <v>41161369.970000006</v>
      </c>
      <c r="L334" s="27">
        <f>L38+L59+L72+L94++L105+L175+L89</f>
        <v>0</v>
      </c>
      <c r="M334" s="54">
        <f>M38+M59+M72+M94++M105+M175+M89</f>
        <v>41161369.970000006</v>
      </c>
      <c r="N334" s="55">
        <f>N38+N59+N72+N94++N105+N175+N89</f>
        <v>41161.4</v>
      </c>
      <c r="P334" s="31"/>
    </row>
    <row r="335" spans="1:16" ht="27.75" customHeight="1">
      <c r="A335" s="109"/>
      <c r="B335" s="110"/>
      <c r="C335" s="110"/>
      <c r="D335" s="5" t="s">
        <v>478</v>
      </c>
      <c r="E335" s="111"/>
      <c r="F335" s="111"/>
      <c r="G335" s="26">
        <f>ROUND(F335/1000,1)</f>
        <v>0</v>
      </c>
      <c r="H335" s="111"/>
      <c r="I335" s="111"/>
      <c r="J335" s="26">
        <f>ROUND(I335/1000,1)</f>
        <v>0</v>
      </c>
      <c r="K335" s="112"/>
      <c r="L335" s="113"/>
      <c r="M335" s="114"/>
      <c r="N335" s="7">
        <v>6884.1</v>
      </c>
      <c r="P335" s="31"/>
    </row>
    <row r="336" spans="1:16" ht="27.75" customHeight="1">
      <c r="A336" s="109"/>
      <c r="B336" s="110"/>
      <c r="C336" s="110"/>
      <c r="D336" s="5" t="s">
        <v>479</v>
      </c>
      <c r="E336" s="111"/>
      <c r="F336" s="111"/>
      <c r="G336" s="26">
        <f>ROUND(F336/1000,1)</f>
        <v>0</v>
      </c>
      <c r="H336" s="111"/>
      <c r="I336" s="111"/>
      <c r="J336" s="26">
        <f>ROUND(I336/1000,1)</f>
        <v>0</v>
      </c>
      <c r="K336" s="112"/>
      <c r="L336" s="113"/>
      <c r="M336" s="114"/>
      <c r="N336" s="7">
        <f>N337</f>
        <v>73.4</v>
      </c>
      <c r="P336" s="31"/>
    </row>
    <row r="337" spans="1:16" ht="27.75" customHeight="1">
      <c r="A337" s="109"/>
      <c r="B337" s="110"/>
      <c r="C337" s="110"/>
      <c r="D337" s="6" t="s">
        <v>142</v>
      </c>
      <c r="E337" s="111"/>
      <c r="F337" s="111"/>
      <c r="G337" s="26">
        <f>ROUND(F337/1000,1)</f>
        <v>0</v>
      </c>
      <c r="H337" s="111"/>
      <c r="I337" s="111"/>
      <c r="J337" s="26">
        <f>ROUND(I337/1000,1)</f>
        <v>0</v>
      </c>
      <c r="K337" s="112"/>
      <c r="L337" s="113"/>
      <c r="M337" s="114"/>
      <c r="N337" s="8">
        <v>73.4</v>
      </c>
      <c r="P337" s="31"/>
    </row>
    <row r="338" spans="1:16" ht="27.75" customHeight="1">
      <c r="A338" s="125"/>
      <c r="B338" s="126"/>
      <c r="C338" s="126"/>
      <c r="D338" s="127"/>
      <c r="E338" s="128"/>
      <c r="F338" s="128"/>
      <c r="G338" s="129"/>
      <c r="H338" s="128"/>
      <c r="I338" s="128"/>
      <c r="J338" s="129"/>
      <c r="L338" s="84"/>
      <c r="M338" s="130"/>
      <c r="N338" s="131"/>
      <c r="P338" s="31"/>
    </row>
    <row r="339" spans="1:16" ht="27.75" customHeight="1">
      <c r="A339" s="125"/>
      <c r="B339" s="126"/>
      <c r="C339" s="126"/>
      <c r="D339" s="127"/>
      <c r="E339" s="128"/>
      <c r="F339" s="128"/>
      <c r="G339" s="129"/>
      <c r="H339" s="128"/>
      <c r="I339" s="128"/>
      <c r="J339" s="129"/>
      <c r="L339" s="84"/>
      <c r="M339" s="130"/>
      <c r="N339" s="131"/>
      <c r="P339" s="31"/>
    </row>
    <row r="340" ht="27.75" customHeight="1"/>
    <row r="341" spans="2:14" ht="54">
      <c r="B341" s="13"/>
      <c r="C341" s="13"/>
      <c r="D341" s="117" t="s">
        <v>485</v>
      </c>
      <c r="F341" s="2"/>
      <c r="G341" s="2"/>
      <c r="H341" s="2"/>
      <c r="I341" s="2"/>
      <c r="J341" s="2"/>
      <c r="K341" s="2"/>
      <c r="L341" s="118"/>
      <c r="M341" s="118"/>
      <c r="N341" s="119" t="s">
        <v>436</v>
      </c>
    </row>
    <row r="342" spans="1:13" ht="27.75" customHeight="1">
      <c r="A342" s="132"/>
      <c r="B342" s="132"/>
      <c r="C342" s="132"/>
      <c r="D342" s="132"/>
      <c r="E342" s="132"/>
      <c r="L342" s="133"/>
      <c r="M342" s="133"/>
    </row>
    <row r="343" spans="1:13" ht="20.25">
      <c r="A343" s="132"/>
      <c r="B343" s="132"/>
      <c r="C343" s="132"/>
      <c r="D343" s="132"/>
      <c r="E343" s="132"/>
      <c r="F343" s="2"/>
      <c r="G343" s="2"/>
      <c r="H343" s="2"/>
      <c r="I343" s="144"/>
      <c r="J343" s="144"/>
      <c r="K343" s="144"/>
      <c r="L343" s="133"/>
      <c r="M343" s="133"/>
    </row>
    <row r="344" spans="1:11" ht="6" customHeight="1">
      <c r="A344" s="12"/>
      <c r="K344" s="121"/>
    </row>
    <row r="345" spans="1:11" ht="20.25">
      <c r="A345" s="122"/>
      <c r="B345" s="84"/>
      <c r="C345" s="65"/>
      <c r="D345" s="123"/>
      <c r="E345" s="2"/>
      <c r="F345" s="2"/>
      <c r="G345" s="2"/>
      <c r="H345" s="2"/>
      <c r="I345" s="124"/>
      <c r="J345" s="124"/>
      <c r="K345" s="120"/>
    </row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</sheetData>
  <sheetProtection/>
  <mergeCells count="27">
    <mergeCell ref="I10:I12"/>
    <mergeCell ref="B10:B12"/>
    <mergeCell ref="C10:C12"/>
    <mergeCell ref="L10:L12"/>
    <mergeCell ref="L343:M343"/>
    <mergeCell ref="A343:E343"/>
    <mergeCell ref="A10:A12"/>
    <mergeCell ref="H10:H12"/>
    <mergeCell ref="I343:K343"/>
    <mergeCell ref="D10:D12"/>
    <mergeCell ref="D7:N7"/>
    <mergeCell ref="D8:N8"/>
    <mergeCell ref="H1:N1"/>
    <mergeCell ref="H2:N2"/>
    <mergeCell ref="H3:N3"/>
    <mergeCell ref="I4:M4"/>
    <mergeCell ref="I5:M5"/>
    <mergeCell ref="A342:E342"/>
    <mergeCell ref="L342:M342"/>
    <mergeCell ref="G10:G12"/>
    <mergeCell ref="J10:J12"/>
    <mergeCell ref="N10:N12"/>
    <mergeCell ref="O10:O12"/>
    <mergeCell ref="E10:E12"/>
    <mergeCell ref="M10:M12"/>
    <mergeCell ref="F10:F12"/>
    <mergeCell ref="K10:K12"/>
  </mergeCells>
  <printOptions horizontalCentered="1"/>
  <pageMargins left="0.1968503937007874" right="0.1968503937007874" top="1.1811023622047245" bottom="0.3937007874015748" header="0.1968503937007874" footer="0.1968503937007874"/>
  <pageSetup firstPageNumber="6" useFirstPageNumber="1" fitToHeight="26" fitToWidth="1" horizontalDpi="600" verticalDpi="600" orientation="landscape" paperSize="9" scale="55" r:id="rId1"/>
  <headerFooter alignWithMargins="0">
    <oddFooter>&amp;R&amp;20&amp;P</oddFooter>
  </headerFooter>
  <rowBreaks count="1" manualBreakCount="1"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2018-10-10T12:21:52Z</cp:lastPrinted>
  <dcterms:created xsi:type="dcterms:W3CDTF">2014-01-17T10:52:16Z</dcterms:created>
  <dcterms:modified xsi:type="dcterms:W3CDTF">2018-10-19T05:48:58Z</dcterms:modified>
  <cp:category/>
  <cp:version/>
  <cp:contentType/>
  <cp:contentStatus/>
</cp:coreProperties>
</file>