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activeTab="0"/>
  </bookViews>
  <sheets>
    <sheet name="дод. 5" sheetId="1" r:id="rId1"/>
  </sheets>
  <definedNames>
    <definedName name="_xlfn.AGGREGATE" hidden="1">#NAME?</definedName>
    <definedName name="_xlnm.Print_Titles" localSheetId="0">'дод. 5'!$14:$14</definedName>
    <definedName name="_xlnm.Print_Area" localSheetId="0">'дод. 5'!$A$1:$J$253</definedName>
  </definedNames>
  <calcPr fullCalcOnLoad="1"/>
</workbook>
</file>

<file path=xl/sharedStrings.xml><?xml version="1.0" encoding="utf-8"?>
<sst xmlns="http://schemas.openxmlformats.org/spreadsheetml/2006/main" count="880" uniqueCount="516">
  <si>
    <t>Загальний фонд</t>
  </si>
  <si>
    <t>Спеціальний фонд</t>
  </si>
  <si>
    <t>0111</t>
  </si>
  <si>
    <t xml:space="preserve">Всього </t>
  </si>
  <si>
    <t>Разом загальний та спеціальний фонди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</si>
  <si>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</si>
  <si>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</si>
  <si>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</si>
  <si>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</si>
  <si>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</si>
  <si>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</si>
  <si>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</si>
  <si>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</si>
  <si>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</si>
  <si>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</si>
  <si>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</si>
  <si>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</si>
  <si>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</si>
  <si>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</si>
  <si>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</si>
  <si>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</si>
  <si>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</si>
  <si>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0733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</si>
  <si>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</si>
  <si>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</si>
  <si>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</si>
  <si>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</si>
  <si>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</si>
  <si>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</si>
  <si>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</si>
  <si>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</si>
  <si>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</si>
  <si>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грн.</t>
  </si>
  <si>
    <t>0830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</si>
  <si>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</si>
  <si>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</si>
  <si>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</si>
  <si>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</si>
  <si>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</si>
  <si>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 xml:space="preserve">Міська комплексна програма «Правопорядок» на період 2016-2018 роки 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</si>
  <si>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</si>
  <si>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</si>
  <si>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</si>
  <si>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</si>
  <si>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</si>
  <si>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</si>
  <si>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</si>
  <si>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</si>
  <si>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</si>
  <si>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Комплексна міська програма «Освіта м. Суми на 2016-2018 роки» (Підпрограма 10 «Матеріально-технічне забезпечення закладів»)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</si>
  <si>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</si>
  <si>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</si>
  <si>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</si>
  <si>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 xml:space="preserve">Міська програма «Відкритий інформаційний простір м.Суми» на 2016-2018 роки </t>
  </si>
  <si>
    <t>Код програмної класифікації видатків та кредитування місцевих бюджетів</t>
  </si>
  <si>
    <t>Код ТПКВКМБ /
ТКВКБМС</t>
  </si>
  <si>
    <t>1010</t>
  </si>
  <si>
    <t>2010</t>
  </si>
  <si>
    <t>3140</t>
  </si>
  <si>
    <t>3031</t>
  </si>
  <si>
    <t>3033</t>
  </si>
  <si>
    <t>3104</t>
  </si>
  <si>
    <t>3190</t>
  </si>
  <si>
    <t>3130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</si>
  <si>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</si>
  <si>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</si>
  <si>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</si>
  <si>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</si>
  <si>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</si>
  <si>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</si>
  <si>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</si>
  <si>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Пільгове медичне обслуговування осіб, які постраждали внаслідок Чорнобильської катастрофи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</si>
  <si>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</si>
  <si>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</si>
  <si>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</si>
  <si>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</si>
  <si>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</si>
  <si>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Заклади і заходи з питань дітей та їх соціального захисту</t>
  </si>
  <si>
    <t>3110</t>
  </si>
  <si>
    <t>3112</t>
  </si>
  <si>
    <t>4030</t>
  </si>
  <si>
    <t>6010</t>
  </si>
  <si>
    <t>6020</t>
  </si>
  <si>
    <t>7410</t>
  </si>
  <si>
    <t>3030</t>
  </si>
  <si>
    <t>Здійснення соціальної роботи з вразливими категоріями населення</t>
  </si>
  <si>
    <t>Проведення спортивної роботи в регіоні</t>
  </si>
  <si>
    <t>5010</t>
  </si>
  <si>
    <t>5011</t>
  </si>
  <si>
    <t>5012</t>
  </si>
  <si>
    <t>5060</t>
  </si>
  <si>
    <t>3035</t>
  </si>
  <si>
    <t>3200</t>
  </si>
  <si>
    <t>Соціальний захист ветеранів війни та праці</t>
  </si>
  <si>
    <t>Цільова Програма підтримки малого та середнього підприємництва в м.Суми на 2017-2019 роки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</si>
  <si>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</si>
  <si>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</si>
  <si>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Код ФКВКБ</t>
  </si>
  <si>
    <t>Комплексна міська програма «Освіта м. Суми на 2016-2018 роки» (Підпрограма 9 «Забезпечення безпечних та комфортних умов для дітей та учнів навчальних закладів»)</t>
  </si>
  <si>
    <t>0443</t>
  </si>
  <si>
    <t>Реалізація державної політики у молодіжній сфері</t>
  </si>
  <si>
    <t>Інші заходи з розвитку фізичної культури та спорту</t>
  </si>
  <si>
    <t>5062</t>
  </si>
  <si>
    <t>5030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</si>
  <si>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</si>
  <si>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</si>
  <si>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</si>
  <si>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</si>
  <si>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</si>
  <si>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Розвиток дитячо-юнацького та резервного спорту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</si>
  <si>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</si>
  <si>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</si>
  <si>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</si>
  <si>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Комплексна міська програма «Освіта м. Суми на 2016-2018 роки» (Підпрограма 6 «Сучасні інформаційні технології»)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</si>
  <si>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</si>
  <si>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</si>
  <si>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</si>
  <si>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Комплексна програма охорони навколишнього природного середовища м.Суми на 2016-2018 роки</t>
  </si>
  <si>
    <t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на 2016-2018 роки</t>
  </si>
  <si>
    <t>Міська цільова Програма   захисту  населення   і території м. Суми від надзвичайних ситуацій техногенного та природного характеру на 2014-2018 роки</t>
  </si>
  <si>
    <t>Перелік міських цільових програм, які фінансуватимуться за рахунок коштів
міського бюджету у 2018 році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</si>
  <si>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</si>
  <si>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</si>
  <si>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</si>
  <si>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</si>
  <si>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</si>
  <si>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</si>
  <si>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</si>
  <si>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</si>
  <si>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</si>
  <si>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4080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</si>
  <si>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</si>
  <si>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</si>
  <si>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</si>
  <si>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</si>
  <si>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7690</t>
  </si>
  <si>
    <t>Інша економічна діяльність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</si>
  <si>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</si>
  <si>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</si>
  <si>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</si>
  <si>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</si>
  <si>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</si>
  <si>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</si>
  <si>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2110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</si>
  <si>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</si>
  <si>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</si>
  <si>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</si>
  <si>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</si>
  <si>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</si>
  <si>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1160</t>
  </si>
  <si>
    <t>Інші програми, заклади та заходи у сфері освіти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</si>
  <si>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</si>
  <si>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</si>
  <si>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</si>
  <si>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</si>
  <si>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Забезпечення надання послуг з перевезення пасажирів автомобільним транспортом</t>
  </si>
  <si>
    <t>7420</t>
  </si>
  <si>
    <t>Забезпечення надання послуг з перевезення пасажирів електротранспортом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</si>
  <si>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</si>
  <si>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</si>
  <si>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</si>
  <si>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</si>
  <si>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7413</t>
  </si>
  <si>
    <t>Інші заходи у сфері автотранспорту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</si>
  <si>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</si>
  <si>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</si>
  <si>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</si>
  <si>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</si>
  <si>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</si>
  <si>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</si>
  <si>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</si>
  <si>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</si>
  <si>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</si>
  <si>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</si>
  <si>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</si>
  <si>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</si>
  <si>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</si>
  <si>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</si>
  <si>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</si>
  <si>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</si>
  <si>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8860</t>
  </si>
  <si>
    <t>8862</t>
  </si>
  <si>
    <t>Бюджетні позички  суб'єктам господарювання  та їх повернення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</si>
  <si>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</si>
  <si>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</si>
  <si>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</si>
  <si>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</si>
  <si>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6080</t>
  </si>
  <si>
    <t xml:space="preserve">Реалізація державних та місцевих житлових програм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</si>
  <si>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</si>
  <si>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</si>
  <si>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</si>
  <si>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</si>
  <si>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</si>
  <si>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</si>
  <si>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</si>
  <si>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</si>
  <si>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</si>
  <si>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</si>
  <si>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</si>
  <si>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</si>
  <si>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</si>
  <si>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</si>
  <si>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</si>
  <si>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</si>
  <si>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</si>
  <si>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</si>
  <si>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</si>
  <si>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</si>
  <si>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</si>
  <si>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</si>
  <si>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</si>
  <si>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</si>
  <si>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</si>
  <si>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</si>
  <si>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</si>
  <si>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</si>
  <si>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</si>
  <si>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</si>
  <si>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</si>
  <si>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0217413</t>
  </si>
  <si>
    <t>0217420</t>
  </si>
  <si>
    <t>0217422</t>
  </si>
  <si>
    <t>0217426</t>
  </si>
  <si>
    <t>0217610</t>
  </si>
  <si>
    <t>0217670</t>
  </si>
  <si>
    <t>0217690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</si>
  <si>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</si>
  <si>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</si>
  <si>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</si>
  <si>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</si>
  <si>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</si>
  <si>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</si>
  <si>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</si>
  <si>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</si>
  <si>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0611160</t>
  </si>
  <si>
    <t>0613140</t>
  </si>
  <si>
    <t>0615030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</si>
  <si>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</si>
  <si>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</si>
  <si>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</si>
  <si>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</si>
  <si>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</si>
  <si>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</si>
  <si>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</si>
  <si>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</si>
  <si>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</si>
  <si>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</si>
  <si>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</si>
  <si>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</si>
  <si>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</si>
  <si>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0813030</t>
  </si>
  <si>
    <t>0813031</t>
  </si>
  <si>
    <t>0813032</t>
  </si>
  <si>
    <t>0813033</t>
  </si>
  <si>
    <t>0813035</t>
  </si>
  <si>
    <t>0813036</t>
  </si>
  <si>
    <t>0813050</t>
  </si>
  <si>
    <t>0813100</t>
  </si>
  <si>
    <t>0813104</t>
  </si>
  <si>
    <t>0813180</t>
  </si>
  <si>
    <t>0813190</t>
  </si>
  <si>
    <t>0813200</t>
  </si>
  <si>
    <t>0817640</t>
  </si>
  <si>
    <t>0819770</t>
  </si>
  <si>
    <t>09 Служба у справах дітей Сумської міської ради</t>
  </si>
  <si>
    <t>0913110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</si>
  <si>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</si>
  <si>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</si>
  <si>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</si>
  <si>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</si>
  <si>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</si>
  <si>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</si>
  <si>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</si>
  <si>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</si>
  <si>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</si>
  <si>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</si>
  <si>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</si>
  <si>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</si>
  <si>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</si>
  <si>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</si>
  <si>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</si>
  <si>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</si>
  <si>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</si>
  <si>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</si>
  <si>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</si>
  <si>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1218860</t>
  </si>
  <si>
    <t>1218862</t>
  </si>
  <si>
    <t>1217690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</si>
  <si>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</si>
  <si>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</si>
  <si>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</si>
  <si>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</si>
  <si>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</si>
  <si>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</si>
  <si>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1516080</t>
  </si>
  <si>
    <t>1516084</t>
  </si>
  <si>
    <t>1517640</t>
  </si>
  <si>
    <t>16 Управління архітектури та містобудування Сумської міської ради</t>
  </si>
  <si>
    <t>1610160</t>
  </si>
  <si>
    <t>1617690</t>
  </si>
  <si>
    <t>14 Управління «Інспекція з благоустрою міста Суми»  Сумської міської ради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</si>
  <si>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</si>
  <si>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</si>
  <si>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</si>
  <si>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</si>
  <si>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</si>
  <si>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</si>
  <si>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</si>
  <si>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</si>
  <si>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</si>
  <si>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</si>
  <si>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</si>
  <si>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</si>
  <si>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</si>
  <si>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</si>
  <si>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3110160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</si>
  <si>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</si>
  <si>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</si>
  <si>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</si>
  <si>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</si>
  <si>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</si>
  <si>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</si>
  <si>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</si>
  <si>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</si>
  <si>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</si>
  <si>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</si>
  <si>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</si>
  <si>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</si>
  <si>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</si>
  <si>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</si>
  <si>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</si>
  <si>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</si>
  <si>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</si>
  <si>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</si>
  <si>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</si>
  <si>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</si>
  <si>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>1416090</t>
  </si>
  <si>
    <t>Програма контролю за додержанням Правил благоустрою міста Суми на 2017-2019 роки</t>
  </si>
  <si>
    <t xml:space="preserve">Програма молодіжного житлового кредитування м.Суми на 2018 - 2020 роки 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</si>
  <si>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</si>
  <si>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</si>
  <si>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</si>
  <si>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</si>
  <si>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</si>
  <si>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</si>
  <si>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</si>
  <si>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</si>
  <si>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</si>
  <si>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</si>
  <si>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</si>
  <si>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</si>
  <si>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</si>
  <si>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</si>
  <si>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</si>
  <si>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</si>
  <si>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</si>
  <si>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3117690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</si>
  <si>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</si>
  <si>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</si>
  <si>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</si>
  <si>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</si>
  <si>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</si>
  <si>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</si>
  <si>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 xml:space="preserve">Програма організації діяльності голів квартальних комітетів кварталів приватного сектора міста Суми та фінансове забезпечення їх роботи на 2016-2018 роки  </t>
  </si>
  <si>
    <t>Комплексна міська програма «Освіта м. Суми на 2016-2018 роки» (Підпрограма 11 «Компенсаційні виплати  на пільговий проїзд електротранспортом окремим категоріям громадян»)</t>
  </si>
  <si>
    <t>3710160</t>
  </si>
  <si>
    <t>0218420</t>
  </si>
  <si>
    <t>8420</t>
  </si>
  <si>
    <t>Інші заходи у сфері засобів масової інформації</t>
  </si>
  <si>
    <t>Програма економічного і соціального розвитку м. Суми на 2018 рік та основних напрямів розвитку на 2019-2020 роки</t>
  </si>
  <si>
    <t>Інші заклади та заходи в галузі культури і мистецтва</t>
  </si>
  <si>
    <t>3240</t>
  </si>
  <si>
    <t>0213240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</si>
  <si>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</si>
  <si>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</si>
  <si>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</si>
  <si>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</si>
  <si>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</si>
  <si>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</si>
  <si>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</si>
  <si>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</si>
  <si>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</si>
  <si>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1014080</t>
  </si>
  <si>
    <t>1014082</t>
  </si>
  <si>
    <t>1217691</t>
  </si>
  <si>
    <t>7691</t>
  </si>
  <si>
    <t>1617691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</si>
  <si>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</si>
  <si>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</si>
  <si>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</si>
  <si>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</si>
  <si>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</si>
  <si>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</si>
  <si>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</si>
  <si>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</si>
  <si>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</si>
  <si>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</si>
  <si>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</si>
  <si>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</si>
  <si>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</si>
  <si>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</si>
  <si>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</si>
  <si>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 xml:space="preserve">Компенсаційні виплати на пільговий проїзд електротранспортом окремим категоріям громадян
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</si>
  <si>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</si>
  <si>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</si>
  <si>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</si>
  <si>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</si>
  <si>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</si>
  <si>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</si>
  <si>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</si>
  <si>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</si>
  <si>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Первинна медична допомога населенню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</si>
  <si>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</si>
  <si>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</si>
  <si>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</si>
  <si>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</si>
  <si>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Програма зайнятості населення м. Суми на 2018 рік</t>
  </si>
  <si>
    <t>0726</t>
  </si>
  <si>
    <t>3191</t>
  </si>
  <si>
    <t>2150</t>
  </si>
  <si>
    <t>Інші програми, заклади та заходи у сфері охорони здоров’я</t>
  </si>
  <si>
    <t>2152</t>
  </si>
  <si>
    <t>0763</t>
  </si>
  <si>
    <t>Інші програми та заходи у сфері охорони здоров’я</t>
  </si>
  <si>
    <t>0712150</t>
  </si>
  <si>
    <t>0712152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</si>
  <si>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2016-2020 роки»)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</si>
  <si>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</si>
  <si>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</si>
  <si>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</si>
  <si>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</si>
  <si>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</si>
  <si>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</si>
  <si>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</si>
  <si>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</si>
  <si>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</si>
  <si>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</si>
  <si>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</si>
  <si>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</si>
  <si>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</si>
  <si>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0617360</t>
  </si>
  <si>
    <t>0617363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</si>
  <si>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</si>
  <si>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</si>
  <si>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</si>
  <si>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</si>
  <si>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0717360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</si>
  <si>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</si>
  <si>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</si>
  <si>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</si>
  <si>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</si>
  <si>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1217360</t>
  </si>
  <si>
    <t>1217363</t>
  </si>
  <si>
    <t>3119800</t>
  </si>
  <si>
    <t>1517442</t>
  </si>
  <si>
    <t>7440</t>
  </si>
  <si>
    <t>7442</t>
  </si>
  <si>
    <t>Утримання та розвиток транспортної інфраструктури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</si>
  <si>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</si>
  <si>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</si>
  <si>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</si>
  <si>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</si>
  <si>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</si>
  <si>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</si>
  <si>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</si>
  <si>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1517360</t>
  </si>
  <si>
    <t>1517363</t>
  </si>
  <si>
    <t>1518820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</si>
  <si>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</si>
  <si>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</si>
  <si>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</si>
  <si>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</si>
  <si>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</si>
  <si>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</si>
  <si>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Міська цільова «Програма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2018 рік»</t>
  </si>
  <si>
    <t>1217130</t>
  </si>
  <si>
    <t>Здійснення  заходів із землеустрою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</si>
  <si>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</si>
  <si>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</si>
  <si>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</si>
  <si>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</si>
  <si>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2017-2020 роки»)</t>
  </si>
  <si>
    <t>1014081</t>
  </si>
  <si>
    <t>Міська цільова комплексна Програма розвитку культури  міста Суми на 2016 - 2018 роки (Підпрограма V «Розвиток туристичної галузі»)</t>
  </si>
  <si>
    <t>Міська цільова комплексна Програма розвитку культури  міста Суми на 2016 - 2018 роки (Підпрограма VI «Збереження культурної спадщини міста»)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</si>
  <si>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</si>
  <si>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</si>
  <si>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</si>
  <si>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</si>
  <si>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</si>
  <si>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</si>
  <si>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</si>
  <si>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</si>
  <si>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</si>
  <si>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</si>
  <si>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</si>
  <si>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1017360</t>
  </si>
  <si>
    <t>1017363</t>
  </si>
  <si>
    <t>Міська комплексна Програма «Охорона здоров’я на 2017-2020 роки» (Підпрограма  VІIІ «Розвиток та підтримка комунальних некомерційних підприємств, що надають первинну медико-санітарну допомогу»)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</si>
  <si>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</si>
  <si>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</si>
  <si>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</si>
  <si>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</si>
  <si>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 xml:space="preserve">                Додаток № 7</t>
  </si>
  <si>
    <t>до  рішення Сумської  міської  ради</t>
  </si>
  <si>
    <t>«Про   внесення   змін   та  доповнень</t>
  </si>
  <si>
    <t>до міського бюджету на 2018 рік»</t>
  </si>
  <si>
    <t>від 29 серпень  2018 року № 3779-МР</t>
  </si>
  <si>
    <t>0718340</t>
  </si>
  <si>
    <t>Програма регулювання містобудівної діяльності та розвитку інформаційної системи містобудівного кадастру на 2018 – 2020 роки</t>
  </si>
  <si>
    <t xml:space="preserve">                Додаток 5</t>
  </si>
  <si>
    <t>Директор департаменту фінансів, економіки та інвестицій Сумської міської ради</t>
  </si>
  <si>
    <t>С.А. Липова</t>
  </si>
  <si>
    <t>до рішення виконавчого комітету</t>
  </si>
  <si>
    <t>від 09.10.2018 № 521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</si>
</sst>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35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35"/>
      <color indexed="10"/>
      <name val="Times New Roman"/>
      <family val="1"/>
    </font>
    <font>
      <sz val="35"/>
      <color indexed="10"/>
      <name val="Times New Roman"/>
      <family val="1"/>
    </font>
    <font>
      <sz val="42"/>
      <name val="Times New Roman"/>
      <family val="1"/>
    </font>
    <font>
      <sz val="36"/>
      <name val="Times New Roman"/>
      <family val="1"/>
    </font>
    <font>
      <i/>
      <sz val="36"/>
      <name val="Times New Roman"/>
      <family val="1"/>
    </font>
    <font>
      <sz val="48"/>
      <color indexed="10"/>
      <name val="Times New Roman"/>
      <family val="1"/>
    </font>
    <font>
      <sz val="13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5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1" fillId="0" borderId="7" applyNumberFormat="0" applyFill="0" applyAlignment="0" applyProtection="0"/>
    <xf numFmtId="0" fontId="11" fillId="0" borderId="8" applyNumberFormat="0" applyFill="0" applyAlignment="0" applyProtection="0"/>
    <xf numFmtId="0" fontId="62" fillId="47" borderId="9" applyNumberFormat="0" applyAlignment="0" applyProtection="0"/>
    <xf numFmtId="0" fontId="9" fillId="48" borderId="10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4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5" fillId="3" borderId="0" applyNumberFormat="0" applyBorder="0" applyAlignment="0" applyProtection="0"/>
    <xf numFmtId="0" fontId="66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7" fillId="50" borderId="14" applyNumberFormat="0" applyAlignment="0" applyProtection="0"/>
    <xf numFmtId="0" fontId="17" fillId="0" borderId="15" applyNumberFormat="0" applyFill="0" applyAlignment="0" applyProtection="0"/>
    <xf numFmtId="0" fontId="68" fillId="54" borderId="0" applyNumberFormat="0" applyBorder="0" applyAlignment="0" applyProtection="0"/>
    <xf numFmtId="0" fontId="19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7" fillId="0" borderId="16" xfId="95" applyNumberFormat="1" applyFont="1" applyFill="1" applyBorder="1" applyAlignment="1">
      <alignment vertical="center"/>
      <protection/>
    </xf>
    <xf numFmtId="0" fontId="28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/>
      <protection/>
    </xf>
    <xf numFmtId="0" fontId="27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left" vertical="center" wrapText="1"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0" fillId="0" borderId="16" xfId="0" applyNumberFormat="1" applyFont="1" applyFill="1" applyBorder="1" applyAlignment="1" applyProtection="1">
      <alignment/>
      <protection/>
    </xf>
    <xf numFmtId="0" fontId="36" fillId="0" borderId="16" xfId="0" applyFont="1" applyFill="1" applyBorder="1" applyAlignment="1">
      <alignment horizontal="left" vertical="center" wrapText="1"/>
    </xf>
    <xf numFmtId="0" fontId="37" fillId="0" borderId="0" xfId="0" applyNumberFormat="1" applyFont="1" applyFill="1" applyAlignment="1" applyProtection="1">
      <alignment/>
      <protection/>
    </xf>
    <xf numFmtId="49" fontId="36" fillId="0" borderId="16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4" fontId="36" fillId="0" borderId="16" xfId="0" applyNumberFormat="1" applyFont="1" applyFill="1" applyBorder="1" applyAlignment="1">
      <alignment vertical="center" wrapText="1"/>
    </xf>
    <xf numFmtId="4" fontId="36" fillId="0" borderId="16" xfId="95" applyNumberFormat="1" applyFont="1" applyFill="1" applyBorder="1" applyAlignment="1">
      <alignment vertical="center"/>
      <protection/>
    </xf>
    <xf numFmtId="49" fontId="36" fillId="0" borderId="16" xfId="0" applyNumberFormat="1" applyFont="1" applyFill="1" applyBorder="1" applyAlignment="1">
      <alignment horizontal="center" vertical="center"/>
    </xf>
    <xf numFmtId="4" fontId="36" fillId="0" borderId="16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49" fontId="32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200" fontId="32" fillId="0" borderId="16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 applyProtection="1">
      <alignment vertical="center" textRotation="180"/>
      <protection locked="0"/>
    </xf>
    <xf numFmtId="0" fontId="27" fillId="0" borderId="0" xfId="0" applyFont="1" applyFill="1" applyBorder="1" applyAlignment="1">
      <alignment/>
    </xf>
    <xf numFmtId="4" fontId="27" fillId="0" borderId="0" xfId="0" applyNumberFormat="1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>
      <alignment/>
    </xf>
    <xf numFmtId="4" fontId="27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center"/>
    </xf>
    <xf numFmtId="4" fontId="28" fillId="0" borderId="0" xfId="0" applyNumberFormat="1" applyFont="1" applyFill="1" applyAlignment="1" applyProtection="1">
      <alignment vertical="center"/>
      <protection/>
    </xf>
    <xf numFmtId="4" fontId="32" fillId="0" borderId="16" xfId="95" applyNumberFormat="1" applyFont="1" applyFill="1" applyBorder="1" applyAlignment="1">
      <alignment vertical="center"/>
      <protection/>
    </xf>
    <xf numFmtId="4" fontId="31" fillId="0" borderId="16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200" fontId="30" fillId="0" borderId="0" xfId="0" applyNumberFormat="1" applyFont="1" applyFill="1" applyBorder="1" applyAlignment="1">
      <alignment vertical="justify"/>
    </xf>
    <xf numFmtId="4" fontId="31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vertical="center" wrapText="1"/>
    </xf>
    <xf numFmtId="4" fontId="27" fillId="0" borderId="18" xfId="95" applyNumberFormat="1" applyFont="1" applyFill="1" applyBorder="1" applyAlignment="1">
      <alignment horizontal="right" vertical="center"/>
      <protection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4" fontId="36" fillId="0" borderId="18" xfId="95" applyNumberFormat="1" applyFont="1" applyFill="1" applyBorder="1" applyAlignment="1">
      <alignment horizontal="right" vertical="center"/>
      <protection/>
    </xf>
    <xf numFmtId="49" fontId="36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49" fontId="37" fillId="0" borderId="0" xfId="0" applyNumberFormat="1" applyFont="1" applyFill="1" applyAlignment="1" applyProtection="1">
      <alignment vertical="center"/>
      <protection/>
    </xf>
    <xf numFmtId="49" fontId="37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0" fontId="36" fillId="0" borderId="21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/>
    </xf>
    <xf numFmtId="0" fontId="36" fillId="0" borderId="16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 wrapText="1"/>
    </xf>
    <xf numFmtId="4" fontId="27" fillId="0" borderId="18" xfId="95" applyNumberFormat="1" applyFont="1" applyFill="1" applyBorder="1" applyAlignment="1">
      <alignment vertical="center"/>
      <protection/>
    </xf>
    <xf numFmtId="49" fontId="27" fillId="0" borderId="2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NumberFormat="1" applyFont="1" applyFill="1" applyAlignment="1" applyProtection="1">
      <alignment/>
      <protection/>
    </xf>
    <xf numFmtId="49" fontId="36" fillId="0" borderId="18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49" fontId="36" fillId="0" borderId="16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0" fontId="37" fillId="0" borderId="0" xfId="0" applyNumberFormat="1" applyFont="1" applyFill="1" applyBorder="1" applyAlignment="1" applyProtection="1">
      <alignment/>
      <protection/>
    </xf>
    <xf numFmtId="4" fontId="36" fillId="0" borderId="16" xfId="95" applyNumberFormat="1" applyFont="1" applyFill="1" applyBorder="1" applyAlignment="1">
      <alignment horizontal="right" vertical="center"/>
      <protection/>
    </xf>
    <xf numFmtId="4" fontId="36" fillId="0" borderId="16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 applyProtection="1">
      <alignment vertical="center"/>
      <protection/>
    </xf>
    <xf numFmtId="4" fontId="31" fillId="0" borderId="17" xfId="0" applyNumberFormat="1" applyFont="1" applyFill="1" applyBorder="1" applyAlignment="1" applyProtection="1">
      <alignment horizontal="center" vertical="center"/>
      <protection/>
    </xf>
    <xf numFmtId="4" fontId="32" fillId="0" borderId="16" xfId="0" applyNumberFormat="1" applyFont="1" applyFill="1" applyBorder="1" applyAlignment="1" applyProtection="1">
      <alignment horizontal="center" vertical="center" wrapText="1"/>
      <protection/>
    </xf>
    <xf numFmtId="4" fontId="29" fillId="0" borderId="0" xfId="0" applyNumberFormat="1" applyFont="1" applyFill="1" applyAlignment="1" applyProtection="1">
      <alignment vertical="center"/>
      <protection/>
    </xf>
    <xf numFmtId="0" fontId="27" fillId="0" borderId="22" xfId="0" applyFont="1" applyFill="1" applyBorder="1" applyAlignment="1">
      <alignment horizontal="left" vertical="center" wrapText="1"/>
    </xf>
    <xf numFmtId="49" fontId="36" fillId="0" borderId="23" xfId="0" applyNumberFormat="1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horizontal="center" vertical="center"/>
    </xf>
    <xf numFmtId="49" fontId="36" fillId="0" borderId="18" xfId="0" applyNumberFormat="1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horizontal="center" vertical="center" textRotation="180"/>
    </xf>
    <xf numFmtId="49" fontId="27" fillId="0" borderId="2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27" fillId="0" borderId="22" xfId="0" applyNumberFormat="1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" fontId="40" fillId="0" borderId="16" xfId="95" applyNumberFormat="1" applyFont="1" applyFill="1" applyBorder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justify" vertical="top" wrapText="1"/>
    </xf>
    <xf numFmtId="49" fontId="27" fillId="0" borderId="23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 applyProtection="1">
      <alignment horizontal="left" vertical="center"/>
      <protection/>
    </xf>
    <xf numFmtId="0" fontId="0" fillId="55" borderId="0" xfId="0" applyNumberFormat="1" applyFont="1" applyFill="1" applyAlignment="1" applyProtection="1">
      <alignment/>
      <protection/>
    </xf>
    <xf numFmtId="0" fontId="27" fillId="55" borderId="0" xfId="0" applyFont="1" applyFill="1" applyBorder="1" applyAlignment="1">
      <alignment/>
    </xf>
    <xf numFmtId="0" fontId="0" fillId="55" borderId="0" xfId="0" applyFont="1" applyFill="1" applyAlignment="1">
      <alignment/>
    </xf>
    <xf numFmtId="4" fontId="71" fillId="0" borderId="16" xfId="95" applyNumberFormat="1" applyFont="1" applyFill="1" applyBorder="1" applyAlignment="1">
      <alignment vertical="center"/>
      <protection/>
    </xf>
    <xf numFmtId="0" fontId="34" fillId="0" borderId="0" xfId="0" applyFont="1" applyFill="1" applyAlignment="1">
      <alignment horizontal="left" vertical="center" wrapText="1"/>
    </xf>
    <xf numFmtId="3" fontId="30" fillId="0" borderId="0" xfId="0" applyNumberFormat="1" applyFont="1" applyFill="1" applyBorder="1" applyAlignment="1">
      <alignment vertical="center" textRotation="180"/>
    </xf>
    <xf numFmtId="3" fontId="34" fillId="0" borderId="0" xfId="0" applyNumberFormat="1" applyFont="1" applyFill="1" applyBorder="1" applyAlignment="1">
      <alignment horizontal="left" wrapText="1"/>
    </xf>
    <xf numFmtId="3" fontId="34" fillId="0" borderId="0" xfId="0" applyNumberFormat="1" applyFont="1" applyFill="1" applyBorder="1" applyAlignment="1">
      <alignment horizontal="center" wrapText="1"/>
    </xf>
    <xf numFmtId="14" fontId="45" fillId="0" borderId="0" xfId="0" applyNumberFormat="1" applyFont="1" applyAlignment="1">
      <alignment vertical="center"/>
    </xf>
    <xf numFmtId="14" fontId="33" fillId="0" borderId="0" xfId="0" applyNumberFormat="1" applyFont="1" applyAlignment="1">
      <alignment horizontal="left" vertical="center"/>
    </xf>
    <xf numFmtId="49" fontId="41" fillId="0" borderId="0" xfId="0" applyNumberFormat="1" applyFont="1" applyFill="1" applyBorder="1" applyAlignment="1">
      <alignment vertical="center" wrapText="1"/>
    </xf>
    <xf numFmtId="49" fontId="41" fillId="0" borderId="17" xfId="0" applyNumberFormat="1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horizontal="center" vertical="center" textRotation="180"/>
    </xf>
    <xf numFmtId="3" fontId="30" fillId="0" borderId="24" xfId="0" applyNumberFormat="1" applyFont="1" applyFill="1" applyBorder="1" applyAlignment="1">
      <alignment horizontal="center" vertical="center" textRotation="180"/>
    </xf>
    <xf numFmtId="0" fontId="34" fillId="0" borderId="0" xfId="0" applyFont="1" applyFill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36" fillId="0" borderId="18" xfId="0" applyNumberFormat="1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horizontal="center" vertical="center" wrapText="1"/>
    </xf>
    <xf numFmtId="49" fontId="36" fillId="0" borderId="18" xfId="0" applyNumberFormat="1" applyFont="1" applyFill="1" applyBorder="1" applyAlignment="1">
      <alignment horizontal="center" vertical="center"/>
    </xf>
    <xf numFmtId="49" fontId="36" fillId="0" borderId="23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9" fontId="36" fillId="0" borderId="18" xfId="0" applyNumberFormat="1" applyFont="1" applyFill="1" applyBorder="1" applyAlignment="1">
      <alignment horizontal="left" vertical="center" wrapText="1"/>
    </xf>
    <xf numFmtId="49" fontId="36" fillId="0" borderId="23" xfId="0" applyNumberFormat="1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49" fontId="27" fillId="0" borderId="23" xfId="0" applyNumberFormat="1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wrapText="1"/>
    </xf>
    <xf numFmtId="0" fontId="27" fillId="0" borderId="22" xfId="0" applyFont="1" applyFill="1" applyBorder="1" applyAlignment="1">
      <alignment horizontal="left" wrapText="1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36" fillId="0" borderId="18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3" fontId="33" fillId="0" borderId="0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Fill="1" applyBorder="1" applyAlignment="1">
      <alignment horizontal="center" vertical="center"/>
    </xf>
    <xf numFmtId="49" fontId="36" fillId="0" borderId="22" xfId="0" applyNumberFormat="1" applyFont="1" applyFill="1" applyBorder="1" applyAlignment="1">
      <alignment horizontal="center" vertical="center" wrapText="1"/>
    </xf>
    <xf numFmtId="49" fontId="36" fillId="0" borderId="18" xfId="0" applyNumberFormat="1" applyFont="1" applyFill="1" applyBorder="1" applyAlignment="1">
      <alignment horizontal="left" vertical="center"/>
    </xf>
    <xf numFmtId="49" fontId="36" fillId="0" borderId="23" xfId="0" applyNumberFormat="1" applyFont="1" applyFill="1" applyBorder="1" applyAlignment="1">
      <alignment horizontal="left" vertical="center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left" wrapText="1"/>
    </xf>
    <xf numFmtId="3" fontId="34" fillId="0" borderId="0" xfId="0" applyNumberFormat="1" applyFont="1" applyFill="1" applyBorder="1" applyAlignment="1">
      <alignment horizont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4"/>
  <sheetViews>
    <sheetView showZeros="0" tabSelected="1" view="pageBreakPreview" zoomScale="25" zoomScaleNormal="40" zoomScaleSheetLayoutView="25" zoomScalePageLayoutView="0" workbookViewId="0" topLeftCell="C7">
      <selection activeCell="G10" sqref="G10:I10"/>
    </sheetView>
  </sheetViews>
  <sheetFormatPr defaultColWidth="9.16015625" defaultRowHeight="12.75"/>
  <cols>
    <col min="1" max="1" width="3.83203125" style="3" hidden="1" customWidth="1"/>
    <col min="2" max="2" width="70.5" style="17" customWidth="1"/>
    <col min="3" max="3" width="46.5" style="17" customWidth="1"/>
    <col min="4" max="4" width="37.16015625" style="17" customWidth="1"/>
    <col min="5" max="5" width="210.16015625" style="16" customWidth="1"/>
    <col min="6" max="6" width="176.5" style="17" customWidth="1"/>
    <col min="7" max="7" width="70.5" style="56" customWidth="1"/>
    <col min="8" max="8" width="66.66015625" style="56" customWidth="1"/>
    <col min="9" max="9" width="68.5" style="110" customWidth="1"/>
    <col min="10" max="10" width="18" style="115" customWidth="1"/>
    <col min="11" max="11" width="63.5" style="49" customWidth="1"/>
    <col min="12" max="16384" width="9.16015625" style="2" customWidth="1"/>
  </cols>
  <sheetData>
    <row r="1" spans="2:16" ht="60" customHeight="1" hidden="1">
      <c r="B1" s="25"/>
      <c r="C1" s="25"/>
      <c r="D1" s="25"/>
      <c r="G1" s="144" t="s">
        <v>504</v>
      </c>
      <c r="H1" s="144"/>
      <c r="I1" s="144"/>
      <c r="J1" s="135"/>
      <c r="L1" s="4"/>
      <c r="M1" s="4"/>
      <c r="N1" s="4"/>
      <c r="O1" s="4"/>
      <c r="P1" s="4"/>
    </row>
    <row r="2" spans="2:16" ht="75" customHeight="1" hidden="1">
      <c r="B2" s="25"/>
      <c r="C2" s="25"/>
      <c r="D2" s="25"/>
      <c r="G2" s="144" t="s">
        <v>505</v>
      </c>
      <c r="H2" s="144"/>
      <c r="I2" s="144"/>
      <c r="J2" s="135"/>
      <c r="L2" s="4"/>
      <c r="M2" s="4"/>
      <c r="N2" s="4"/>
      <c r="O2" s="4"/>
      <c r="P2" s="4"/>
    </row>
    <row r="3" spans="2:16" ht="75" customHeight="1" hidden="1">
      <c r="B3" s="25"/>
      <c r="C3" s="25"/>
      <c r="D3" s="25"/>
      <c r="G3" s="144" t="s">
        <v>506</v>
      </c>
      <c r="H3" s="144"/>
      <c r="I3" s="144"/>
      <c r="J3" s="135"/>
      <c r="L3" s="4"/>
      <c r="M3" s="4"/>
      <c r="N3" s="4"/>
      <c r="O3" s="4"/>
      <c r="P3" s="4"/>
    </row>
    <row r="4" spans="2:16" ht="75" customHeight="1" hidden="1">
      <c r="B4" s="25"/>
      <c r="C4" s="25"/>
      <c r="D4" s="25"/>
      <c r="G4" s="144" t="s">
        <v>507</v>
      </c>
      <c r="H4" s="144"/>
      <c r="I4" s="144"/>
      <c r="J4" s="135"/>
      <c r="L4" s="4"/>
      <c r="M4" s="4"/>
      <c r="N4" s="4"/>
      <c r="O4" s="4"/>
      <c r="P4" s="4"/>
    </row>
    <row r="5" spans="2:16" ht="75" customHeight="1" hidden="1">
      <c r="B5" s="25"/>
      <c r="C5" s="25"/>
      <c r="D5" s="25"/>
      <c r="G5" s="144" t="s">
        <v>508</v>
      </c>
      <c r="H5" s="144"/>
      <c r="I5" s="144"/>
      <c r="J5" s="135"/>
      <c r="L5" s="4"/>
      <c r="M5" s="4"/>
      <c r="N5" s="4"/>
      <c r="O5" s="4"/>
      <c r="P5" s="4"/>
    </row>
    <row r="6" spans="2:16" ht="84" customHeight="1" hidden="1">
      <c r="B6" s="25"/>
      <c r="C6" s="25"/>
      <c r="D6" s="25"/>
      <c r="G6" s="144"/>
      <c r="H6" s="144"/>
      <c r="I6" s="144"/>
      <c r="J6" s="135"/>
      <c r="L6" s="4"/>
      <c r="M6" s="4"/>
      <c r="N6" s="4"/>
      <c r="O6" s="4"/>
      <c r="P6" s="4"/>
    </row>
    <row r="7" spans="2:16" ht="69" customHeight="1">
      <c r="B7" s="25"/>
      <c r="C7" s="25"/>
      <c r="D7" s="25"/>
      <c r="G7" s="144" t="s">
        <v>511</v>
      </c>
      <c r="H7" s="144"/>
      <c r="I7" s="144"/>
      <c r="J7" s="142">
        <v>49</v>
      </c>
      <c r="L7" s="4"/>
      <c r="M7" s="4"/>
      <c r="N7" s="4"/>
      <c r="O7" s="4"/>
      <c r="P7" s="4"/>
    </row>
    <row r="8" spans="2:16" ht="66.75" customHeight="1">
      <c r="B8" s="25"/>
      <c r="C8" s="25"/>
      <c r="D8" s="25"/>
      <c r="G8" s="144" t="s">
        <v>514</v>
      </c>
      <c r="H8" s="144"/>
      <c r="I8" s="144"/>
      <c r="J8" s="142"/>
      <c r="L8" s="4"/>
      <c r="M8" s="4"/>
      <c r="N8" s="4"/>
      <c r="O8" s="4"/>
      <c r="P8" s="4"/>
    </row>
    <row r="9" spans="2:16" ht="66.75" customHeight="1">
      <c r="B9" s="25"/>
      <c r="C9" s="25"/>
      <c r="D9" s="25"/>
      <c r="G9" s="144" t="s">
        <v>515</v>
      </c>
      <c r="H9" s="144"/>
      <c r="I9" s="144"/>
      <c r="J9" s="142"/>
      <c r="L9" s="4"/>
      <c r="M9" s="4"/>
      <c r="N9" s="4"/>
      <c r="O9" s="4"/>
      <c r="P9" s="4"/>
    </row>
    <row r="10" spans="2:16" ht="66.75" customHeight="1">
      <c r="B10" s="25"/>
      <c r="C10" s="25"/>
      <c r="D10" s="25"/>
      <c r="G10" s="144"/>
      <c r="H10" s="144"/>
      <c r="I10" s="144"/>
      <c r="J10" s="142"/>
      <c r="L10" s="4"/>
      <c r="M10" s="4"/>
      <c r="N10" s="4"/>
      <c r="O10" s="4"/>
      <c r="P10" s="4"/>
    </row>
    <row r="11" spans="2:16" ht="84" customHeight="1">
      <c r="B11" s="25"/>
      <c r="C11" s="25"/>
      <c r="D11" s="25"/>
      <c r="G11" s="134"/>
      <c r="H11" s="134"/>
      <c r="I11" s="134"/>
      <c r="J11" s="142"/>
      <c r="L11" s="4"/>
      <c r="M11" s="4"/>
      <c r="N11" s="4"/>
      <c r="O11" s="4"/>
      <c r="P11" s="4"/>
    </row>
    <row r="12" spans="1:15" ht="127.5" customHeight="1">
      <c r="A12" s="1"/>
      <c r="B12" s="165" t="s">
        <v>120</v>
      </c>
      <c r="C12" s="165"/>
      <c r="D12" s="165"/>
      <c r="E12" s="165"/>
      <c r="F12" s="165"/>
      <c r="G12" s="165"/>
      <c r="H12" s="165"/>
      <c r="I12" s="165"/>
      <c r="J12" s="142"/>
      <c r="K12" s="2"/>
      <c r="L12" s="46"/>
      <c r="M12" s="60"/>
      <c r="N12" s="26"/>
      <c r="O12" s="26"/>
    </row>
    <row r="13" spans="2:15" ht="46.5" customHeight="1">
      <c r="B13" s="10"/>
      <c r="C13" s="10"/>
      <c r="D13" s="10"/>
      <c r="E13" s="11"/>
      <c r="F13" s="12"/>
      <c r="G13" s="106"/>
      <c r="H13" s="107"/>
      <c r="I13" s="108" t="s">
        <v>32</v>
      </c>
      <c r="J13" s="142"/>
      <c r="K13" s="2"/>
      <c r="L13" s="46"/>
      <c r="M13" s="60"/>
      <c r="N13" s="26"/>
      <c r="O13" s="26"/>
    </row>
    <row r="14" spans="1:13" ht="286.5" customHeight="1">
      <c r="A14" s="5"/>
      <c r="B14" s="24" t="s">
        <v>54</v>
      </c>
      <c r="C14" s="24" t="s">
        <v>55</v>
      </c>
      <c r="D14" s="24" t="s">
        <v>97</v>
      </c>
      <c r="E14" s="24" t="s">
        <v>95</v>
      </c>
      <c r="F14" s="24" t="s">
        <v>96</v>
      </c>
      <c r="G14" s="109" t="s">
        <v>0</v>
      </c>
      <c r="H14" s="109" t="s">
        <v>1</v>
      </c>
      <c r="I14" s="109" t="s">
        <v>4</v>
      </c>
      <c r="J14" s="142"/>
      <c r="K14" s="2"/>
      <c r="L14" s="49"/>
      <c r="M14" s="60"/>
    </row>
    <row r="15" spans="1:11" s="45" customFormat="1" ht="93" customHeight="1">
      <c r="A15" s="43"/>
      <c r="B15" s="40"/>
      <c r="C15" s="40"/>
      <c r="D15" s="40"/>
      <c r="E15" s="41" t="s">
        <v>199</v>
      </c>
      <c r="F15" s="44"/>
      <c r="G15" s="57">
        <f>G16+G17+G18+G19+G23+G25+G27+G28+G33+G36+G39+G42+G45+G48+G52+G53+G54+G55+G57+G58+G59+G61+G62+G63+G64+G51+G32+G67+G69+G68+G65+G66</f>
        <v>76615384</v>
      </c>
      <c r="H15" s="57">
        <f>H16+H17+H18+H19+H23+H25+H27+H28+H33+H36+H39+H42+H45+H48+H52+H53+H54+H55+H57+H58+H59+H61+H62+H63+H64+H51+H32+H67+H69+H68+H65+H66</f>
        <v>46153312</v>
      </c>
      <c r="I15" s="57">
        <f>I16+I17+I18+I19+I23+I25+I27+I28+I33+I36+I39+I42+I45+I48+I52+I53+I54+I55+I57+I58+I59+I61+I62+I63+I64+I51+I32+I67+I69+I68+I65+I66</f>
        <v>122768696</v>
      </c>
      <c r="J15" s="142"/>
      <c r="K15" s="50"/>
    </row>
    <row r="16" spans="2:10" ht="108.75" customHeight="1">
      <c r="B16" s="145" t="s">
        <v>200</v>
      </c>
      <c r="C16" s="145" t="s">
        <v>121</v>
      </c>
      <c r="D16" s="145" t="s">
        <v>2</v>
      </c>
      <c r="E16" s="157" t="s">
        <v>122</v>
      </c>
      <c r="F16" s="18" t="s">
        <v>53</v>
      </c>
      <c r="G16" s="9">
        <f>805000+40000+150000+150000+265200+171000+100000</f>
        <v>1681200</v>
      </c>
      <c r="H16" s="9"/>
      <c r="I16" s="9">
        <f>G16+H16</f>
        <v>1681200</v>
      </c>
      <c r="J16" s="142"/>
    </row>
    <row r="17" spans="2:10" ht="155.25" customHeight="1">
      <c r="B17" s="146"/>
      <c r="C17" s="146"/>
      <c r="D17" s="146"/>
      <c r="E17" s="159"/>
      <c r="F17" s="18" t="s">
        <v>110</v>
      </c>
      <c r="G17" s="9">
        <f>526200-526200+190000+210000</f>
        <v>400000</v>
      </c>
      <c r="H17" s="9">
        <f>1000000-1000000</f>
        <v>0</v>
      </c>
      <c r="I17" s="9">
        <f>G17+H17</f>
        <v>400000</v>
      </c>
      <c r="J17" s="142"/>
    </row>
    <row r="18" spans="2:10" ht="200.25" customHeight="1">
      <c r="B18" s="77" t="s">
        <v>305</v>
      </c>
      <c r="C18" s="78" t="s">
        <v>31</v>
      </c>
      <c r="D18" s="94" t="s">
        <v>15</v>
      </c>
      <c r="E18" s="80" t="s">
        <v>304</v>
      </c>
      <c r="F18" s="92" t="s">
        <v>306</v>
      </c>
      <c r="G18" s="93">
        <f>100000+27500+10140+4900</f>
        <v>142540</v>
      </c>
      <c r="H18" s="93"/>
      <c r="I18" s="9">
        <f>G18+H18</f>
        <v>142540</v>
      </c>
      <c r="J18" s="142"/>
    </row>
    <row r="19" spans="1:11" s="8" customFormat="1" ht="175.5" customHeight="1">
      <c r="A19" s="1"/>
      <c r="B19" s="77" t="s">
        <v>201</v>
      </c>
      <c r="C19" s="78" t="s">
        <v>84</v>
      </c>
      <c r="D19" s="79"/>
      <c r="E19" s="80" t="s">
        <v>123</v>
      </c>
      <c r="F19" s="67"/>
      <c r="G19" s="66">
        <f>G20+G21+G22</f>
        <v>190000</v>
      </c>
      <c r="H19" s="66">
        <f>H20+H21+H22</f>
        <v>0</v>
      </c>
      <c r="I19" s="66">
        <f>I20+I21+I22</f>
        <v>190000</v>
      </c>
      <c r="J19" s="142"/>
      <c r="K19" s="49"/>
    </row>
    <row r="20" spans="1:11" s="32" customFormat="1" ht="253.5" customHeight="1">
      <c r="A20" s="29"/>
      <c r="B20" s="97" t="s">
        <v>363</v>
      </c>
      <c r="C20" s="71" t="s">
        <v>60</v>
      </c>
      <c r="D20" s="98">
        <v>1070</v>
      </c>
      <c r="E20" s="28" t="s">
        <v>52</v>
      </c>
      <c r="F20" s="84" t="s">
        <v>365</v>
      </c>
      <c r="G20" s="70">
        <f>25000+26700</f>
        <v>51700</v>
      </c>
      <c r="H20" s="70"/>
      <c r="I20" s="34">
        <f>G20+H20</f>
        <v>51700</v>
      </c>
      <c r="J20" s="142"/>
      <c r="K20" s="51"/>
    </row>
    <row r="21" spans="1:11" s="32" customFormat="1" ht="119.25" customHeight="1">
      <c r="A21" s="29"/>
      <c r="B21" s="150" t="s">
        <v>202</v>
      </c>
      <c r="C21" s="148" t="s">
        <v>124</v>
      </c>
      <c r="D21" s="148">
        <v>1070</v>
      </c>
      <c r="E21" s="166" t="s">
        <v>403</v>
      </c>
      <c r="F21" s="31" t="s">
        <v>36</v>
      </c>
      <c r="G21" s="34">
        <v>15000</v>
      </c>
      <c r="H21" s="34"/>
      <c r="I21" s="34">
        <f>G21+H21</f>
        <v>15000</v>
      </c>
      <c r="J21" s="142"/>
      <c r="K21" s="51"/>
    </row>
    <row r="22" spans="1:11" s="32" customFormat="1" ht="239.25" customHeight="1">
      <c r="A22" s="29"/>
      <c r="B22" s="151"/>
      <c r="C22" s="149"/>
      <c r="D22" s="149"/>
      <c r="E22" s="167"/>
      <c r="F22" s="84" t="s">
        <v>365</v>
      </c>
      <c r="G22" s="34">
        <f>50000+73300</f>
        <v>123300</v>
      </c>
      <c r="H22" s="34"/>
      <c r="I22" s="34">
        <f>G22+H22</f>
        <v>123300</v>
      </c>
      <c r="J22" s="142"/>
      <c r="K22" s="51"/>
    </row>
    <row r="23" spans="1:11" s="32" customFormat="1" ht="107.25" customHeight="1">
      <c r="A23" s="29"/>
      <c r="B23" s="19" t="s">
        <v>203</v>
      </c>
      <c r="C23" s="19" t="s">
        <v>125</v>
      </c>
      <c r="D23" s="19"/>
      <c r="E23" s="20" t="s">
        <v>85</v>
      </c>
      <c r="F23" s="18"/>
      <c r="G23" s="9">
        <f>G24</f>
        <v>50000</v>
      </c>
      <c r="H23" s="9">
        <f>H24</f>
        <v>0</v>
      </c>
      <c r="I23" s="9">
        <f>I24</f>
        <v>50000</v>
      </c>
      <c r="J23" s="142"/>
      <c r="K23" s="51"/>
    </row>
    <row r="24" spans="1:11" s="32" customFormat="1" ht="152.25" customHeight="1">
      <c r="A24" s="29"/>
      <c r="B24" s="30" t="s">
        <v>204</v>
      </c>
      <c r="C24" s="30" t="s">
        <v>126</v>
      </c>
      <c r="D24" s="30" t="s">
        <v>9</v>
      </c>
      <c r="E24" s="28" t="s">
        <v>127</v>
      </c>
      <c r="F24" s="31" t="s">
        <v>35</v>
      </c>
      <c r="G24" s="34">
        <f>50000</f>
        <v>50000</v>
      </c>
      <c r="H24" s="34"/>
      <c r="I24" s="9">
        <f>G24+H24</f>
        <v>50000</v>
      </c>
      <c r="J24" s="142"/>
      <c r="K24" s="51"/>
    </row>
    <row r="25" spans="1:11" s="32" customFormat="1" ht="80.25" customHeight="1">
      <c r="A25" s="29"/>
      <c r="B25" s="19" t="s">
        <v>205</v>
      </c>
      <c r="C25" s="19" t="s">
        <v>63</v>
      </c>
      <c r="D25" s="19"/>
      <c r="E25" s="20" t="s">
        <v>100</v>
      </c>
      <c r="F25" s="18"/>
      <c r="G25" s="9">
        <f>G26</f>
        <v>684600</v>
      </c>
      <c r="H25" s="9">
        <f>H26</f>
        <v>0</v>
      </c>
      <c r="I25" s="9">
        <f>I26</f>
        <v>684600</v>
      </c>
      <c r="J25" s="142"/>
      <c r="K25" s="51"/>
    </row>
    <row r="26" spans="1:11" s="32" customFormat="1" ht="155.25" customHeight="1">
      <c r="A26" s="29"/>
      <c r="B26" s="30" t="s">
        <v>206</v>
      </c>
      <c r="C26" s="30" t="s">
        <v>128</v>
      </c>
      <c r="D26" s="30" t="s">
        <v>9</v>
      </c>
      <c r="E26" s="28" t="s">
        <v>129</v>
      </c>
      <c r="F26" s="31" t="s">
        <v>36</v>
      </c>
      <c r="G26" s="34">
        <f>750000-65400</f>
        <v>684600</v>
      </c>
      <c r="H26" s="34"/>
      <c r="I26" s="34">
        <f>G26+H26</f>
        <v>684600</v>
      </c>
      <c r="J26" s="143">
        <v>50</v>
      </c>
      <c r="K26" s="51"/>
    </row>
    <row r="27" spans="1:11" s="32" customFormat="1" ht="201.75" customHeight="1">
      <c r="A27" s="29"/>
      <c r="B27" s="19" t="s">
        <v>207</v>
      </c>
      <c r="C27" s="19" t="s">
        <v>58</v>
      </c>
      <c r="D27" s="19" t="s">
        <v>9</v>
      </c>
      <c r="E27" s="20" t="s">
        <v>64</v>
      </c>
      <c r="F27" s="18" t="s">
        <v>36</v>
      </c>
      <c r="G27" s="9">
        <f>430000+1699665</f>
        <v>2129665</v>
      </c>
      <c r="H27" s="9"/>
      <c r="I27" s="9">
        <f>G27+H27</f>
        <v>2129665</v>
      </c>
      <c r="J27" s="143"/>
      <c r="K27" s="51"/>
    </row>
    <row r="28" spans="1:10" ht="86.25" customHeight="1">
      <c r="A28" s="27"/>
      <c r="B28" s="19" t="s">
        <v>373</v>
      </c>
      <c r="C28" s="19" t="s">
        <v>372</v>
      </c>
      <c r="D28" s="19"/>
      <c r="E28" s="20" t="s">
        <v>173</v>
      </c>
      <c r="F28" s="18"/>
      <c r="G28" s="9">
        <f>G29+G30+G31</f>
        <v>1054111</v>
      </c>
      <c r="H28" s="9">
        <f>H29+H30+H31</f>
        <v>0</v>
      </c>
      <c r="I28" s="9">
        <f>I29+I30+I31</f>
        <v>1054111</v>
      </c>
      <c r="J28" s="143"/>
    </row>
    <row r="29" spans="1:11" s="32" customFormat="1" ht="143.25" customHeight="1">
      <c r="A29" s="102"/>
      <c r="B29" s="30" t="s">
        <v>374</v>
      </c>
      <c r="C29" s="30" t="s">
        <v>376</v>
      </c>
      <c r="D29" s="30" t="s">
        <v>8</v>
      </c>
      <c r="E29" s="99" t="s">
        <v>377</v>
      </c>
      <c r="F29" s="31" t="s">
        <v>35</v>
      </c>
      <c r="G29" s="103">
        <f>818206+27439</f>
        <v>845645</v>
      </c>
      <c r="H29" s="104"/>
      <c r="I29" s="105">
        <f>G29+H29</f>
        <v>845645</v>
      </c>
      <c r="J29" s="143"/>
      <c r="K29" s="51"/>
    </row>
    <row r="30" spans="1:11" s="32" customFormat="1" ht="137.25" customHeight="1">
      <c r="A30" s="102"/>
      <c r="B30" s="148" t="s">
        <v>375</v>
      </c>
      <c r="C30" s="148" t="s">
        <v>378</v>
      </c>
      <c r="D30" s="148" t="s">
        <v>8</v>
      </c>
      <c r="E30" s="155" t="s">
        <v>379</v>
      </c>
      <c r="F30" s="31" t="s">
        <v>34</v>
      </c>
      <c r="G30" s="103">
        <v>155666</v>
      </c>
      <c r="H30" s="104"/>
      <c r="I30" s="105">
        <f>G30+H30</f>
        <v>155666</v>
      </c>
      <c r="J30" s="143"/>
      <c r="K30" s="51"/>
    </row>
    <row r="31" spans="1:11" s="32" customFormat="1" ht="143.25" customHeight="1">
      <c r="A31" s="102"/>
      <c r="B31" s="149"/>
      <c r="C31" s="149"/>
      <c r="D31" s="149"/>
      <c r="E31" s="156"/>
      <c r="F31" s="31" t="s">
        <v>115</v>
      </c>
      <c r="G31" s="34">
        <f>26400+26400</f>
        <v>52800</v>
      </c>
      <c r="H31" s="104"/>
      <c r="I31" s="105">
        <f>G31+H31</f>
        <v>52800</v>
      </c>
      <c r="J31" s="143"/>
      <c r="K31" s="51"/>
    </row>
    <row r="32" spans="1:11" s="8" customFormat="1" ht="143.25" customHeight="1">
      <c r="A32" s="117"/>
      <c r="B32" s="116" t="s">
        <v>429</v>
      </c>
      <c r="C32" s="116" t="s">
        <v>430</v>
      </c>
      <c r="D32" s="116" t="s">
        <v>431</v>
      </c>
      <c r="E32" s="118" t="s">
        <v>432</v>
      </c>
      <c r="F32" s="18" t="s">
        <v>36</v>
      </c>
      <c r="G32" s="9">
        <f>484400+83000+6000+198030+11100+100000+65400</f>
        <v>947930</v>
      </c>
      <c r="H32" s="119"/>
      <c r="I32" s="120">
        <f>G32+H32</f>
        <v>947930</v>
      </c>
      <c r="J32" s="143"/>
      <c r="K32" s="49"/>
    </row>
    <row r="33" spans="1:11" s="32" customFormat="1" ht="84.75" customHeight="1">
      <c r="A33" s="29"/>
      <c r="B33" s="78" t="s">
        <v>208</v>
      </c>
      <c r="C33" s="78" t="s">
        <v>130</v>
      </c>
      <c r="D33" s="78"/>
      <c r="E33" s="80" t="s">
        <v>371</v>
      </c>
      <c r="F33" s="18"/>
      <c r="G33" s="9">
        <f>G34+G35</f>
        <v>1336500</v>
      </c>
      <c r="H33" s="9">
        <f>H34+H35</f>
        <v>0</v>
      </c>
      <c r="I33" s="9">
        <f>I34+I35</f>
        <v>1336500</v>
      </c>
      <c r="J33" s="143"/>
      <c r="K33" s="51"/>
    </row>
    <row r="34" spans="1:11" s="32" customFormat="1" ht="117.75" customHeight="1">
      <c r="A34" s="29"/>
      <c r="B34" s="71" t="s">
        <v>415</v>
      </c>
      <c r="C34" s="71" t="s">
        <v>413</v>
      </c>
      <c r="D34" s="71" t="s">
        <v>11</v>
      </c>
      <c r="E34" s="84" t="s">
        <v>414</v>
      </c>
      <c r="F34" s="31" t="s">
        <v>53</v>
      </c>
      <c r="G34" s="34">
        <f>400000+400000+60000+10000</f>
        <v>870000</v>
      </c>
      <c r="H34" s="34"/>
      <c r="I34" s="34">
        <f>G34+H34</f>
        <v>870000</v>
      </c>
      <c r="J34" s="143"/>
      <c r="K34" s="51"/>
    </row>
    <row r="35" spans="1:11" s="32" customFormat="1" ht="111.75" customHeight="1">
      <c r="A35" s="29"/>
      <c r="B35" s="71" t="s">
        <v>382</v>
      </c>
      <c r="C35" s="71" t="s">
        <v>380</v>
      </c>
      <c r="D35" s="71" t="s">
        <v>11</v>
      </c>
      <c r="E35" s="114" t="s">
        <v>381</v>
      </c>
      <c r="F35" s="28" t="s">
        <v>53</v>
      </c>
      <c r="G35" s="34">
        <f>420200+66300-20000</f>
        <v>466500</v>
      </c>
      <c r="H35" s="34"/>
      <c r="I35" s="105">
        <f>G35+H35</f>
        <v>466500</v>
      </c>
      <c r="J35" s="143"/>
      <c r="K35" s="51"/>
    </row>
    <row r="36" spans="1:11" s="32" customFormat="1" ht="66" customHeight="1">
      <c r="A36" s="29"/>
      <c r="B36" s="19" t="s">
        <v>209</v>
      </c>
      <c r="C36" s="19" t="s">
        <v>87</v>
      </c>
      <c r="D36" s="19"/>
      <c r="E36" s="20" t="s">
        <v>86</v>
      </c>
      <c r="F36" s="18"/>
      <c r="G36" s="9">
        <f>G37+G38</f>
        <v>1772339</v>
      </c>
      <c r="H36" s="9">
        <f>H37+H38</f>
        <v>177000</v>
      </c>
      <c r="I36" s="9">
        <f>I37+I38</f>
        <v>1949339</v>
      </c>
      <c r="J36" s="143"/>
      <c r="K36" s="51"/>
    </row>
    <row r="37" spans="1:11" s="32" customFormat="1" ht="105.75" customHeight="1">
      <c r="A37" s="29"/>
      <c r="B37" s="30" t="s">
        <v>210</v>
      </c>
      <c r="C37" s="30" t="s">
        <v>88</v>
      </c>
      <c r="D37" s="30" t="s">
        <v>12</v>
      </c>
      <c r="E37" s="31" t="s">
        <v>65</v>
      </c>
      <c r="F37" s="31" t="s">
        <v>37</v>
      </c>
      <c r="G37" s="34">
        <f>700000+76070+35000+25000</f>
        <v>836070</v>
      </c>
      <c r="H37" s="34">
        <v>177000</v>
      </c>
      <c r="I37" s="34">
        <f>G37+H37</f>
        <v>1013070</v>
      </c>
      <c r="J37" s="143"/>
      <c r="K37" s="51"/>
    </row>
    <row r="38" spans="1:11" s="32" customFormat="1" ht="126.75" customHeight="1">
      <c r="A38" s="29"/>
      <c r="B38" s="30" t="s">
        <v>211</v>
      </c>
      <c r="C38" s="30" t="s">
        <v>89</v>
      </c>
      <c r="D38" s="30" t="s">
        <v>12</v>
      </c>
      <c r="E38" s="31" t="s">
        <v>13</v>
      </c>
      <c r="F38" s="31" t="s">
        <v>37</v>
      </c>
      <c r="G38" s="34">
        <f>700000+28000+5000+18000+60000+26000+99269</f>
        <v>936269</v>
      </c>
      <c r="H38" s="34"/>
      <c r="I38" s="34">
        <f>G38+H38</f>
        <v>936269</v>
      </c>
      <c r="J38" s="143"/>
      <c r="K38" s="51"/>
    </row>
    <row r="39" spans="1:11" s="8" customFormat="1" ht="65.25" customHeight="1">
      <c r="A39" s="1"/>
      <c r="B39" s="19" t="s">
        <v>212</v>
      </c>
      <c r="C39" s="19" t="s">
        <v>103</v>
      </c>
      <c r="D39" s="19"/>
      <c r="E39" s="20" t="s">
        <v>109</v>
      </c>
      <c r="F39" s="18"/>
      <c r="G39" s="9">
        <f>G40+G41</f>
        <v>17811534</v>
      </c>
      <c r="H39" s="9">
        <f>H40+H41</f>
        <v>355650</v>
      </c>
      <c r="I39" s="9">
        <f>I40+I41</f>
        <v>18167184</v>
      </c>
      <c r="J39" s="143"/>
      <c r="K39" s="49"/>
    </row>
    <row r="40" spans="1:11" s="32" customFormat="1" ht="120.75" customHeight="1">
      <c r="A40" s="29"/>
      <c r="B40" s="30" t="s">
        <v>213</v>
      </c>
      <c r="C40" s="30" t="s">
        <v>104</v>
      </c>
      <c r="D40" s="30" t="s">
        <v>12</v>
      </c>
      <c r="E40" s="31" t="s">
        <v>66</v>
      </c>
      <c r="F40" s="31" t="s">
        <v>37</v>
      </c>
      <c r="G40" s="34">
        <f>8719900+577000+98000+15000+100000+10000+5000+5000+109972+10000+2333+10000+20000</f>
        <v>9682205</v>
      </c>
      <c r="H40" s="34">
        <f>200000+25000+75000</f>
        <v>300000</v>
      </c>
      <c r="I40" s="34">
        <f>G40+H40</f>
        <v>9982205</v>
      </c>
      <c r="J40" s="143"/>
      <c r="K40" s="51"/>
    </row>
    <row r="41" spans="1:11" s="32" customFormat="1" ht="117.75" customHeight="1">
      <c r="A41" s="29"/>
      <c r="B41" s="30" t="s">
        <v>214</v>
      </c>
      <c r="C41" s="30" t="s">
        <v>105</v>
      </c>
      <c r="D41" s="30" t="s">
        <v>12</v>
      </c>
      <c r="E41" s="31" t="s">
        <v>67</v>
      </c>
      <c r="F41" s="31" t="s">
        <v>37</v>
      </c>
      <c r="G41" s="34">
        <f>7321800+300000+95000+301179+65000+10000+20000+20000+15000+7000+9000-34650</f>
        <v>8129329</v>
      </c>
      <c r="H41" s="34">
        <f>10000+11000+34650</f>
        <v>55650</v>
      </c>
      <c r="I41" s="34">
        <f>G41+H41</f>
        <v>8184979</v>
      </c>
      <c r="J41" s="143"/>
      <c r="K41" s="51"/>
    </row>
    <row r="42" spans="1:11" s="32" customFormat="1" ht="66.75" customHeight="1">
      <c r="A42" s="29"/>
      <c r="B42" s="19" t="s">
        <v>215</v>
      </c>
      <c r="C42" s="19" t="s">
        <v>90</v>
      </c>
      <c r="D42" s="19"/>
      <c r="E42" s="20" t="s">
        <v>101</v>
      </c>
      <c r="F42" s="18"/>
      <c r="G42" s="9">
        <f>G43+G44</f>
        <v>9650864</v>
      </c>
      <c r="H42" s="9">
        <f>H43+H44</f>
        <v>3166687</v>
      </c>
      <c r="I42" s="9">
        <f>I43+I44</f>
        <v>12817551</v>
      </c>
      <c r="J42" s="143"/>
      <c r="K42" s="51"/>
    </row>
    <row r="43" spans="1:11" s="32" customFormat="1" ht="141.75" customHeight="1">
      <c r="A43" s="29"/>
      <c r="B43" s="30" t="s">
        <v>216</v>
      </c>
      <c r="C43" s="30" t="s">
        <v>108</v>
      </c>
      <c r="D43" s="19" t="s">
        <v>12</v>
      </c>
      <c r="E43" s="31" t="s">
        <v>106</v>
      </c>
      <c r="F43" s="31" t="s">
        <v>37</v>
      </c>
      <c r="G43" s="34">
        <f>3246540+127835+6186+7000+11000+30000+350000+67943</f>
        <v>3846504</v>
      </c>
      <c r="H43" s="34">
        <f>20000+226687+2900000</f>
        <v>3146687</v>
      </c>
      <c r="I43" s="34">
        <f>G43+H43</f>
        <v>6993191</v>
      </c>
      <c r="J43" s="143"/>
      <c r="K43" s="51"/>
    </row>
    <row r="44" spans="1:11" s="32" customFormat="1" ht="165.75" customHeight="1">
      <c r="A44" s="29"/>
      <c r="B44" s="30" t="s">
        <v>217</v>
      </c>
      <c r="C44" s="30" t="s">
        <v>102</v>
      </c>
      <c r="D44" s="30" t="s">
        <v>12</v>
      </c>
      <c r="E44" s="31" t="s">
        <v>107</v>
      </c>
      <c r="F44" s="31" t="s">
        <v>37</v>
      </c>
      <c r="G44" s="34">
        <f>5143460+50000+50000+50000+300000+100000+10900+100000</f>
        <v>5804360</v>
      </c>
      <c r="H44" s="34">
        <v>20000</v>
      </c>
      <c r="I44" s="34">
        <f>G44+H44</f>
        <v>5824360</v>
      </c>
      <c r="J44" s="143">
        <v>51</v>
      </c>
      <c r="K44" s="51"/>
    </row>
    <row r="45" spans="1:11" s="8" customFormat="1" ht="105.75" customHeight="1">
      <c r="A45" s="1"/>
      <c r="B45" s="19" t="s">
        <v>218</v>
      </c>
      <c r="C45" s="19" t="s">
        <v>83</v>
      </c>
      <c r="D45" s="19"/>
      <c r="E45" s="18" t="s">
        <v>155</v>
      </c>
      <c r="F45" s="18"/>
      <c r="G45" s="9">
        <f>G46+G47</f>
        <v>7497000</v>
      </c>
      <c r="H45" s="9">
        <f>H46+H47</f>
        <v>0</v>
      </c>
      <c r="I45" s="9">
        <f>I46+I47</f>
        <v>7497000</v>
      </c>
      <c r="J45" s="143"/>
      <c r="K45" s="49"/>
    </row>
    <row r="46" spans="1:11" s="32" customFormat="1" ht="146.25" customHeight="1">
      <c r="A46" s="29"/>
      <c r="B46" s="30" t="s">
        <v>219</v>
      </c>
      <c r="C46" s="30" t="s">
        <v>154</v>
      </c>
      <c r="D46" s="30" t="s">
        <v>41</v>
      </c>
      <c r="E46" s="28" t="s">
        <v>40</v>
      </c>
      <c r="F46" s="31" t="s">
        <v>38</v>
      </c>
      <c r="G46" s="34">
        <f>3000000+2000000+627000+1870000</f>
        <v>7497000</v>
      </c>
      <c r="H46" s="34"/>
      <c r="I46" s="34">
        <f>G46+H46</f>
        <v>7497000</v>
      </c>
      <c r="J46" s="143"/>
      <c r="K46" s="51"/>
    </row>
    <row r="47" spans="1:11" s="32" customFormat="1" ht="146.25" customHeight="1" hidden="1">
      <c r="A47" s="29"/>
      <c r="B47" s="30" t="s">
        <v>220</v>
      </c>
      <c r="C47" s="30" t="s">
        <v>162</v>
      </c>
      <c r="D47" s="30" t="s">
        <v>41</v>
      </c>
      <c r="E47" s="81" t="s">
        <v>163</v>
      </c>
      <c r="F47" s="31" t="s">
        <v>38</v>
      </c>
      <c r="G47" s="34"/>
      <c r="H47" s="34"/>
      <c r="I47" s="34">
        <f>G47+H47</f>
        <v>0</v>
      </c>
      <c r="J47" s="143"/>
      <c r="K47" s="51"/>
    </row>
    <row r="48" spans="2:10" ht="97.5" customHeight="1">
      <c r="B48" s="19" t="s">
        <v>221</v>
      </c>
      <c r="C48" s="19" t="s">
        <v>156</v>
      </c>
      <c r="D48" s="19"/>
      <c r="E48" s="20" t="s">
        <v>157</v>
      </c>
      <c r="F48" s="18"/>
      <c r="G48" s="9">
        <f>G49+G50</f>
        <v>16437849</v>
      </c>
      <c r="H48" s="9">
        <f>H49+H50</f>
        <v>0</v>
      </c>
      <c r="I48" s="9">
        <f>I49+I50</f>
        <v>16437849</v>
      </c>
      <c r="J48" s="143"/>
    </row>
    <row r="49" spans="1:11" s="32" customFormat="1" ht="138" customHeight="1">
      <c r="A49" s="29"/>
      <c r="B49" s="30" t="s">
        <v>222</v>
      </c>
      <c r="C49" s="30" t="s">
        <v>158</v>
      </c>
      <c r="D49" s="30" t="s">
        <v>42</v>
      </c>
      <c r="E49" s="28" t="s">
        <v>159</v>
      </c>
      <c r="F49" s="31" t="s">
        <v>38</v>
      </c>
      <c r="G49" s="34">
        <f>6000000+4000000+976000</f>
        <v>10976000</v>
      </c>
      <c r="H49" s="34"/>
      <c r="I49" s="34">
        <f aca="true" t="shared" si="0" ref="I49:I58">G49+H49</f>
        <v>10976000</v>
      </c>
      <c r="J49" s="143"/>
      <c r="K49" s="51"/>
    </row>
    <row r="50" spans="1:11" s="32" customFormat="1" ht="169.5" customHeight="1">
      <c r="A50" s="29"/>
      <c r="B50" s="30" t="s">
        <v>223</v>
      </c>
      <c r="C50" s="30" t="s">
        <v>160</v>
      </c>
      <c r="D50" s="30" t="s">
        <v>42</v>
      </c>
      <c r="E50" s="28" t="s">
        <v>161</v>
      </c>
      <c r="F50" s="31" t="s">
        <v>38</v>
      </c>
      <c r="G50" s="34">
        <f>12858252-313616-128100-190000-4000000-2000000-723087-41600</f>
        <v>5461849</v>
      </c>
      <c r="H50" s="34">
        <f>810000+680000-1490000</f>
        <v>0</v>
      </c>
      <c r="I50" s="34">
        <f t="shared" si="0"/>
        <v>5461849</v>
      </c>
      <c r="J50" s="143"/>
      <c r="K50" s="51"/>
    </row>
    <row r="51" spans="1:11" s="32" customFormat="1" ht="169.5" customHeight="1">
      <c r="A51" s="29"/>
      <c r="B51" s="19" t="s">
        <v>398</v>
      </c>
      <c r="C51" s="19" t="s">
        <v>399</v>
      </c>
      <c r="D51" s="19" t="s">
        <v>401</v>
      </c>
      <c r="E51" s="20" t="s">
        <v>400</v>
      </c>
      <c r="F51" s="18" t="s">
        <v>38</v>
      </c>
      <c r="G51" s="9">
        <f>450000+199800</f>
        <v>649800</v>
      </c>
      <c r="H51" s="9"/>
      <c r="I51" s="9">
        <f>G51+H51</f>
        <v>649800</v>
      </c>
      <c r="J51" s="143"/>
      <c r="K51" s="51"/>
    </row>
    <row r="52" spans="1:11" s="8" customFormat="1" ht="169.5" customHeight="1">
      <c r="A52" s="1"/>
      <c r="B52" s="19" t="s">
        <v>317</v>
      </c>
      <c r="C52" s="19" t="s">
        <v>318</v>
      </c>
      <c r="D52" s="19" t="s">
        <v>319</v>
      </c>
      <c r="E52" s="20" t="s">
        <v>320</v>
      </c>
      <c r="F52" s="18" t="s">
        <v>110</v>
      </c>
      <c r="G52" s="9">
        <f>2629000+3067500+1579990+2962430-170430-92200-729000-450000</f>
        <v>8797290</v>
      </c>
      <c r="H52" s="9">
        <f>4897000+3385000-900000+729000</f>
        <v>8111000</v>
      </c>
      <c r="I52" s="9">
        <f>G52+H52</f>
        <v>16908290</v>
      </c>
      <c r="J52" s="143"/>
      <c r="K52" s="49"/>
    </row>
    <row r="53" spans="1:11" s="32" customFormat="1" ht="169.5" customHeight="1">
      <c r="A53" s="29"/>
      <c r="B53" s="19" t="s">
        <v>224</v>
      </c>
      <c r="C53" s="19" t="s">
        <v>164</v>
      </c>
      <c r="D53" s="19" t="s">
        <v>7</v>
      </c>
      <c r="E53" s="20" t="s">
        <v>68</v>
      </c>
      <c r="F53" s="18" t="s">
        <v>94</v>
      </c>
      <c r="G53" s="9">
        <v>88000</v>
      </c>
      <c r="H53" s="34">
        <v>16800</v>
      </c>
      <c r="I53" s="9">
        <f t="shared" si="0"/>
        <v>104800</v>
      </c>
      <c r="J53" s="143"/>
      <c r="K53" s="51"/>
    </row>
    <row r="54" spans="1:11" s="32" customFormat="1" ht="169.5" customHeight="1">
      <c r="A54" s="29"/>
      <c r="B54" s="78" t="s">
        <v>321</v>
      </c>
      <c r="C54" s="78" t="s">
        <v>144</v>
      </c>
      <c r="D54" s="19" t="s">
        <v>30</v>
      </c>
      <c r="E54" s="20" t="s">
        <v>76</v>
      </c>
      <c r="F54" s="18" t="s">
        <v>116</v>
      </c>
      <c r="G54" s="9">
        <f>125175-4900</f>
        <v>120275</v>
      </c>
      <c r="H54" s="34"/>
      <c r="I54" s="9">
        <f t="shared" si="0"/>
        <v>120275</v>
      </c>
      <c r="J54" s="143"/>
      <c r="K54" s="51"/>
    </row>
    <row r="55" spans="1:11" s="32" customFormat="1" ht="169.5" customHeight="1">
      <c r="A55" s="29"/>
      <c r="B55" s="145" t="s">
        <v>225</v>
      </c>
      <c r="C55" s="145" t="s">
        <v>165</v>
      </c>
      <c r="D55" s="145" t="s">
        <v>6</v>
      </c>
      <c r="E55" s="157" t="s">
        <v>69</v>
      </c>
      <c r="F55" s="18" t="s">
        <v>38</v>
      </c>
      <c r="G55" s="9"/>
      <c r="H55" s="9">
        <f>4220000+24220000+800000-380000</f>
        <v>28860000</v>
      </c>
      <c r="I55" s="9">
        <f t="shared" si="0"/>
        <v>28860000</v>
      </c>
      <c r="J55" s="143"/>
      <c r="K55" s="51"/>
    </row>
    <row r="56" spans="1:11" s="32" customFormat="1" ht="169.5" customHeight="1" hidden="1">
      <c r="A56" s="29"/>
      <c r="B56" s="146"/>
      <c r="C56" s="146"/>
      <c r="D56" s="146"/>
      <c r="E56" s="159"/>
      <c r="F56" s="18" t="s">
        <v>110</v>
      </c>
      <c r="G56" s="34"/>
      <c r="H56" s="34"/>
      <c r="I56" s="9">
        <f t="shared" si="0"/>
        <v>0</v>
      </c>
      <c r="J56" s="143"/>
      <c r="K56" s="51"/>
    </row>
    <row r="57" spans="1:11" s="32" customFormat="1" ht="163.5" customHeight="1">
      <c r="A57" s="29"/>
      <c r="B57" s="145" t="s">
        <v>309</v>
      </c>
      <c r="C57" s="145" t="s">
        <v>310</v>
      </c>
      <c r="D57" s="145" t="s">
        <v>6</v>
      </c>
      <c r="E57" s="160" t="s">
        <v>311</v>
      </c>
      <c r="F57" s="23" t="s">
        <v>370</v>
      </c>
      <c r="G57" s="9">
        <v>159333</v>
      </c>
      <c r="H57" s="9"/>
      <c r="I57" s="9">
        <f t="shared" si="0"/>
        <v>159333</v>
      </c>
      <c r="J57" s="143"/>
      <c r="K57" s="51"/>
    </row>
    <row r="58" spans="1:11" s="32" customFormat="1" ht="160.5" customHeight="1">
      <c r="A58" s="29"/>
      <c r="B58" s="146"/>
      <c r="C58" s="146"/>
      <c r="D58" s="146"/>
      <c r="E58" s="162"/>
      <c r="F58" s="18" t="s">
        <v>116</v>
      </c>
      <c r="G58" s="9">
        <v>50000</v>
      </c>
      <c r="H58" s="9"/>
      <c r="I58" s="9">
        <f t="shared" si="0"/>
        <v>50000</v>
      </c>
      <c r="J58" s="143"/>
      <c r="K58" s="51"/>
    </row>
    <row r="59" spans="2:10" ht="77.25" customHeight="1">
      <c r="B59" s="19" t="s">
        <v>226</v>
      </c>
      <c r="C59" s="19" t="s">
        <v>135</v>
      </c>
      <c r="D59" s="19"/>
      <c r="E59" s="20" t="s">
        <v>136</v>
      </c>
      <c r="F59" s="18"/>
      <c r="G59" s="9">
        <f>G60</f>
        <v>1985159</v>
      </c>
      <c r="H59" s="9">
        <f>H60</f>
        <v>0</v>
      </c>
      <c r="I59" s="9">
        <f>I60</f>
        <v>1985159</v>
      </c>
      <c r="J59" s="143"/>
    </row>
    <row r="60" spans="1:11" s="32" customFormat="1" ht="120.75" customHeight="1">
      <c r="A60" s="29"/>
      <c r="B60" s="30" t="s">
        <v>322</v>
      </c>
      <c r="C60" s="30" t="s">
        <v>323</v>
      </c>
      <c r="D60" s="30" t="s">
        <v>6</v>
      </c>
      <c r="E60" s="28" t="s">
        <v>324</v>
      </c>
      <c r="F60" s="31" t="s">
        <v>53</v>
      </c>
      <c r="G60" s="34">
        <f>1449859+262200+90000+30000+25000+128100</f>
        <v>1985159</v>
      </c>
      <c r="H60" s="34"/>
      <c r="I60" s="34">
        <f aca="true" t="shared" si="1" ref="I60:I69">G60+H60</f>
        <v>1985159</v>
      </c>
      <c r="J60" s="143"/>
      <c r="K60" s="51"/>
    </row>
    <row r="61" spans="2:10" ht="197.25" customHeight="1">
      <c r="B61" s="19" t="s">
        <v>227</v>
      </c>
      <c r="C61" s="19" t="s">
        <v>166</v>
      </c>
      <c r="D61" s="19" t="s">
        <v>167</v>
      </c>
      <c r="E61" s="20" t="s">
        <v>168</v>
      </c>
      <c r="F61" s="18" t="s">
        <v>119</v>
      </c>
      <c r="G61" s="9">
        <f>228570+180360+92500+2453-180000</f>
        <v>323883</v>
      </c>
      <c r="H61" s="9">
        <f>55900+180000</f>
        <v>235900</v>
      </c>
      <c r="I61" s="9">
        <f t="shared" si="1"/>
        <v>559783</v>
      </c>
      <c r="J61" s="143">
        <v>52</v>
      </c>
    </row>
    <row r="62" spans="2:10" ht="123" customHeight="1">
      <c r="B62" s="19" t="s">
        <v>312</v>
      </c>
      <c r="C62" s="19" t="s">
        <v>313</v>
      </c>
      <c r="D62" s="19" t="s">
        <v>314</v>
      </c>
      <c r="E62" s="89" t="s">
        <v>315</v>
      </c>
      <c r="F62" s="18" t="s">
        <v>39</v>
      </c>
      <c r="G62" s="9">
        <f>391300+290315</f>
        <v>681615</v>
      </c>
      <c r="H62" s="9"/>
      <c r="I62" s="9">
        <f t="shared" si="1"/>
        <v>681615</v>
      </c>
      <c r="J62" s="143"/>
    </row>
    <row r="63" spans="2:10" ht="155.25" customHeight="1">
      <c r="B63" s="19" t="s">
        <v>228</v>
      </c>
      <c r="C63" s="19" t="s">
        <v>133</v>
      </c>
      <c r="D63" s="19" t="s">
        <v>14</v>
      </c>
      <c r="E63" s="20" t="s">
        <v>134</v>
      </c>
      <c r="F63" s="21" t="s">
        <v>117</v>
      </c>
      <c r="G63" s="9"/>
      <c r="H63" s="9">
        <f>123500+57995</f>
        <v>181495</v>
      </c>
      <c r="I63" s="9">
        <f t="shared" si="1"/>
        <v>181495</v>
      </c>
      <c r="J63" s="143"/>
    </row>
    <row r="64" spans="2:10" ht="140.25" customHeight="1">
      <c r="B64" s="19" t="s">
        <v>367</v>
      </c>
      <c r="C64" s="19" t="s">
        <v>368</v>
      </c>
      <c r="D64" s="19" t="s">
        <v>33</v>
      </c>
      <c r="E64" s="20" t="s">
        <v>369</v>
      </c>
      <c r="F64" s="18" t="s">
        <v>53</v>
      </c>
      <c r="G64" s="9">
        <f>164000+3500+10000+20000</f>
        <v>197500</v>
      </c>
      <c r="H64" s="9"/>
      <c r="I64" s="9">
        <f t="shared" si="1"/>
        <v>197500</v>
      </c>
      <c r="J64" s="143"/>
    </row>
    <row r="65" spans="2:10" ht="140.25" customHeight="1">
      <c r="B65" s="145" t="s">
        <v>478</v>
      </c>
      <c r="C65" s="145" t="s">
        <v>131</v>
      </c>
      <c r="D65" s="145" t="s">
        <v>31</v>
      </c>
      <c r="E65" s="157" t="s">
        <v>132</v>
      </c>
      <c r="F65" s="18" t="s">
        <v>39</v>
      </c>
      <c r="G65" s="9">
        <f>116600+200000</f>
        <v>316600</v>
      </c>
      <c r="H65" s="9">
        <v>344000</v>
      </c>
      <c r="I65" s="9">
        <f t="shared" si="1"/>
        <v>660600</v>
      </c>
      <c r="J65" s="143"/>
    </row>
    <row r="66" spans="2:10" ht="149.25" customHeight="1">
      <c r="B66" s="146"/>
      <c r="C66" s="146"/>
      <c r="D66" s="146"/>
      <c r="E66" s="159"/>
      <c r="F66" s="23" t="s">
        <v>370</v>
      </c>
      <c r="G66" s="9">
        <v>50000</v>
      </c>
      <c r="H66" s="9"/>
      <c r="I66" s="9">
        <f t="shared" si="1"/>
        <v>50000</v>
      </c>
      <c r="J66" s="143"/>
    </row>
    <row r="67" spans="2:10" ht="140.25" customHeight="1">
      <c r="B67" s="145" t="s">
        <v>437</v>
      </c>
      <c r="C67" s="145" t="s">
        <v>438</v>
      </c>
      <c r="D67" s="145" t="s">
        <v>31</v>
      </c>
      <c r="E67" s="160" t="s">
        <v>439</v>
      </c>
      <c r="F67" s="18" t="s">
        <v>39</v>
      </c>
      <c r="G67" s="9">
        <f>300000+79000+153027</f>
        <v>532027</v>
      </c>
      <c r="H67" s="9">
        <v>51000</v>
      </c>
      <c r="I67" s="9">
        <f t="shared" si="1"/>
        <v>583027</v>
      </c>
      <c r="J67" s="143"/>
    </row>
    <row r="68" spans="2:10" ht="353.25" customHeight="1">
      <c r="B68" s="147"/>
      <c r="C68" s="147"/>
      <c r="D68" s="147"/>
      <c r="E68" s="161"/>
      <c r="F68" s="18" t="s">
        <v>475</v>
      </c>
      <c r="G68" s="9">
        <f>70000+400000+149370+147000</f>
        <v>766370</v>
      </c>
      <c r="H68" s="9">
        <f>418410+190000</f>
        <v>608410</v>
      </c>
      <c r="I68" s="9">
        <f t="shared" si="1"/>
        <v>1374780</v>
      </c>
      <c r="J68" s="143"/>
    </row>
    <row r="69" spans="2:10" ht="173.25" customHeight="1">
      <c r="B69" s="146"/>
      <c r="C69" s="146"/>
      <c r="D69" s="146"/>
      <c r="E69" s="162"/>
      <c r="F69" s="23" t="s">
        <v>370</v>
      </c>
      <c r="G69" s="9">
        <f>11400+100000</f>
        <v>111400</v>
      </c>
      <c r="H69" s="9">
        <f>2000000+145370+1000000+900000</f>
        <v>4045370</v>
      </c>
      <c r="I69" s="9">
        <f t="shared" si="1"/>
        <v>4156770</v>
      </c>
      <c r="J69" s="143"/>
    </row>
    <row r="70" spans="2:12" ht="71.25" customHeight="1">
      <c r="B70" s="19"/>
      <c r="C70" s="19"/>
      <c r="D70" s="19"/>
      <c r="E70" s="41" t="s">
        <v>229</v>
      </c>
      <c r="F70" s="18"/>
      <c r="G70" s="57">
        <f>G71+G72+G73+G74+G75+G76+G77+G78+G79+G80+G81+G82+G83+G84+G85+G86+G87+G91+G92+G93+G94+G99+G100+G101+G96+G102</f>
        <v>53555669.25</v>
      </c>
      <c r="H70" s="57">
        <f>H71+H72+H73+H74+H75+H76+H77+H78+H79+H80+H81+H82+H83+H84+H85+H86+H87+H91+H92+H93+H94+H99+H100+H101+H96+H102</f>
        <v>54861136.47</v>
      </c>
      <c r="I70" s="57">
        <f>I71+I72+I73+I74+I75+I76+I77+I78+I79+I80+I81+I82+I83+I84+I85+I86+I87+I91+I92+I93+I94+I99+I100+I101+I96+I102</f>
        <v>108416805.72</v>
      </c>
      <c r="J70" s="143"/>
      <c r="K70" s="52"/>
      <c r="L70" s="48"/>
    </row>
    <row r="71" spans="1:11" s="7" customFormat="1" ht="146.25" customHeight="1">
      <c r="A71" s="6"/>
      <c r="B71" s="78" t="s">
        <v>230</v>
      </c>
      <c r="C71" s="78" t="s">
        <v>121</v>
      </c>
      <c r="D71" s="78" t="s">
        <v>2</v>
      </c>
      <c r="E71" s="80" t="s">
        <v>122</v>
      </c>
      <c r="F71" s="18" t="s">
        <v>53</v>
      </c>
      <c r="G71" s="9">
        <v>30000</v>
      </c>
      <c r="H71" s="9"/>
      <c r="I71" s="9">
        <f>G71+H71</f>
        <v>30000</v>
      </c>
      <c r="J71" s="143"/>
      <c r="K71" s="53"/>
    </row>
    <row r="72" spans="2:10" ht="112.5" customHeight="1">
      <c r="B72" s="145" t="s">
        <v>231</v>
      </c>
      <c r="C72" s="145" t="s">
        <v>56</v>
      </c>
      <c r="D72" s="145" t="s">
        <v>16</v>
      </c>
      <c r="E72" s="169" t="s">
        <v>145</v>
      </c>
      <c r="F72" s="18" t="s">
        <v>34</v>
      </c>
      <c r="G72" s="9">
        <f>9682+1400+11154+3150-3150</f>
        <v>22236</v>
      </c>
      <c r="H72" s="9"/>
      <c r="I72" s="9">
        <f aca="true" t="shared" si="2" ref="I72:I93">G72+H72</f>
        <v>22236</v>
      </c>
      <c r="J72" s="143"/>
    </row>
    <row r="73" spans="2:10" ht="147" customHeight="1">
      <c r="B73" s="147"/>
      <c r="C73" s="147"/>
      <c r="D73" s="147"/>
      <c r="E73" s="170"/>
      <c r="F73" s="18" t="s">
        <v>115</v>
      </c>
      <c r="G73" s="9">
        <f>996719+45500</f>
        <v>1042219</v>
      </c>
      <c r="H73" s="9"/>
      <c r="I73" s="9">
        <f t="shared" si="2"/>
        <v>1042219</v>
      </c>
      <c r="J73" s="143"/>
    </row>
    <row r="74" spans="2:10" ht="195" customHeight="1">
      <c r="B74" s="147"/>
      <c r="C74" s="147"/>
      <c r="D74" s="147"/>
      <c r="E74" s="170"/>
      <c r="F74" s="18" t="s">
        <v>98</v>
      </c>
      <c r="G74" s="9">
        <f>7773065.35+93867+85000+20000+20145+19000+1187+5000+8901+20000</f>
        <v>8046165.35</v>
      </c>
      <c r="H74" s="9"/>
      <c r="I74" s="9">
        <f t="shared" si="2"/>
        <v>8046165.35</v>
      </c>
      <c r="J74" s="143"/>
    </row>
    <row r="75" spans="2:10" ht="174.75" customHeight="1">
      <c r="B75" s="146"/>
      <c r="C75" s="146"/>
      <c r="D75" s="146"/>
      <c r="E75" s="171"/>
      <c r="F75" s="18" t="s">
        <v>49</v>
      </c>
      <c r="G75" s="9"/>
      <c r="H75" s="9">
        <f>3500000+20000+20000+200000+52395+47874+50000+350000+15116.65+40000+15000+8000+60000+670000-1187-1099</f>
        <v>5046099.65</v>
      </c>
      <c r="I75" s="9">
        <f t="shared" si="2"/>
        <v>5046099.65</v>
      </c>
      <c r="J75" s="143">
        <v>53</v>
      </c>
    </row>
    <row r="76" spans="2:10" ht="111.75" customHeight="1">
      <c r="B76" s="145" t="s">
        <v>232</v>
      </c>
      <c r="C76" s="145" t="s">
        <v>51</v>
      </c>
      <c r="D76" s="145" t="s">
        <v>17</v>
      </c>
      <c r="E76" s="163" t="s">
        <v>146</v>
      </c>
      <c r="F76" s="18" t="s">
        <v>34</v>
      </c>
      <c r="G76" s="9">
        <f>42560+2170+25200+9100</f>
        <v>79030</v>
      </c>
      <c r="H76" s="9"/>
      <c r="I76" s="9">
        <f t="shared" si="2"/>
        <v>79030</v>
      </c>
      <c r="J76" s="143"/>
    </row>
    <row r="77" spans="2:10" ht="138.75" customHeight="1">
      <c r="B77" s="147"/>
      <c r="C77" s="147"/>
      <c r="D77" s="147"/>
      <c r="E77" s="164"/>
      <c r="F77" s="18" t="s">
        <v>115</v>
      </c>
      <c r="G77" s="9">
        <f>2563116+105000</f>
        <v>2668116</v>
      </c>
      <c r="H77" s="9"/>
      <c r="I77" s="9">
        <f t="shared" si="2"/>
        <v>2668116</v>
      </c>
      <c r="J77" s="143"/>
    </row>
    <row r="78" spans="2:10" ht="156.75" customHeight="1">
      <c r="B78" s="147"/>
      <c r="C78" s="147"/>
      <c r="D78" s="147"/>
      <c r="E78" s="164"/>
      <c r="F78" s="18" t="s">
        <v>110</v>
      </c>
      <c r="G78" s="9">
        <f>478990+10010+252570+450000</f>
        <v>1191570</v>
      </c>
      <c r="H78" s="9"/>
      <c r="I78" s="9">
        <f t="shared" si="2"/>
        <v>1191570</v>
      </c>
      <c r="J78" s="143"/>
    </row>
    <row r="79" spans="2:10" ht="141.75" customHeight="1" hidden="1">
      <c r="B79" s="147"/>
      <c r="C79" s="147"/>
      <c r="D79" s="147"/>
      <c r="E79" s="164"/>
      <c r="F79" s="18" t="s">
        <v>113</v>
      </c>
      <c r="G79" s="9"/>
      <c r="H79" s="9"/>
      <c r="I79" s="9">
        <f t="shared" si="2"/>
        <v>0</v>
      </c>
      <c r="J79" s="143"/>
    </row>
    <row r="80" spans="2:10" ht="183.75" customHeight="1">
      <c r="B80" s="147"/>
      <c r="C80" s="147"/>
      <c r="D80" s="147"/>
      <c r="E80" s="82"/>
      <c r="F80" s="18" t="s">
        <v>98</v>
      </c>
      <c r="G80" s="9">
        <f>26316356.9-48647+10000-75+19419+39000+43000+29500+21500-5000+82000+447960+3050</f>
        <v>26958063.9</v>
      </c>
      <c r="H80" s="9"/>
      <c r="I80" s="9">
        <f t="shared" si="2"/>
        <v>26958063.9</v>
      </c>
      <c r="J80" s="143"/>
    </row>
    <row r="81" spans="2:10" ht="191.25" customHeight="1">
      <c r="B81" s="146"/>
      <c r="C81" s="146"/>
      <c r="D81" s="146"/>
      <c r="E81" s="83"/>
      <c r="F81" s="18" t="s">
        <v>49</v>
      </c>
      <c r="G81" s="9"/>
      <c r="H81" s="9">
        <f>7400000+419705+50000+1905000+20000+30000+650000+3281280+2500000+80000+77000+52000+4920+535000-120139+53000-4920+33000+766542+9900+30000-61050+150000+50000-150000+41839+9975+26000-7320+94690+200000+48647+24200-31407</f>
        <v>18167862</v>
      </c>
      <c r="I81" s="9">
        <f t="shared" si="2"/>
        <v>18167862</v>
      </c>
      <c r="J81" s="143"/>
    </row>
    <row r="82" spans="1:11" s="95" customFormat="1" ht="174" customHeight="1">
      <c r="A82" s="96"/>
      <c r="B82" s="152" t="s">
        <v>233</v>
      </c>
      <c r="C82" s="152" t="s">
        <v>24</v>
      </c>
      <c r="D82" s="145" t="s">
        <v>50</v>
      </c>
      <c r="E82" s="157" t="s">
        <v>147</v>
      </c>
      <c r="F82" s="18" t="s">
        <v>115</v>
      </c>
      <c r="G82" s="9">
        <v>490</v>
      </c>
      <c r="H82" s="9"/>
      <c r="I82" s="9">
        <f t="shared" si="2"/>
        <v>490</v>
      </c>
      <c r="J82" s="143"/>
      <c r="K82" s="49"/>
    </row>
    <row r="83" spans="2:10" ht="233.25" customHeight="1">
      <c r="B83" s="154"/>
      <c r="C83" s="154"/>
      <c r="D83" s="147"/>
      <c r="E83" s="158"/>
      <c r="F83" s="18" t="s">
        <v>98</v>
      </c>
      <c r="G83" s="9">
        <v>165535</v>
      </c>
      <c r="H83" s="9"/>
      <c r="I83" s="9">
        <f t="shared" si="2"/>
        <v>165535</v>
      </c>
      <c r="J83" s="143"/>
    </row>
    <row r="84" spans="2:10" ht="186.75" customHeight="1">
      <c r="B84" s="153"/>
      <c r="C84" s="153"/>
      <c r="D84" s="146"/>
      <c r="E84" s="159"/>
      <c r="F84" s="18" t="s">
        <v>49</v>
      </c>
      <c r="G84" s="9"/>
      <c r="H84" s="9">
        <f>100000+3611</f>
        <v>103611</v>
      </c>
      <c r="I84" s="9">
        <f t="shared" si="2"/>
        <v>103611</v>
      </c>
      <c r="J84" s="143"/>
    </row>
    <row r="85" spans="2:10" ht="195.75" customHeight="1">
      <c r="B85" s="152" t="s">
        <v>234</v>
      </c>
      <c r="C85" s="152" t="s">
        <v>8</v>
      </c>
      <c r="D85" s="145" t="s">
        <v>45</v>
      </c>
      <c r="E85" s="157" t="s">
        <v>148</v>
      </c>
      <c r="F85" s="18" t="s">
        <v>98</v>
      </c>
      <c r="G85" s="9">
        <f>527579+59000</f>
        <v>586579</v>
      </c>
      <c r="H85" s="9"/>
      <c r="I85" s="9">
        <f t="shared" si="2"/>
        <v>586579</v>
      </c>
      <c r="J85" s="143"/>
    </row>
    <row r="86" spans="2:10" ht="200.25" customHeight="1">
      <c r="B86" s="153"/>
      <c r="C86" s="153"/>
      <c r="D86" s="146"/>
      <c r="E86" s="159"/>
      <c r="F86" s="18" t="s">
        <v>49</v>
      </c>
      <c r="G86" s="9"/>
      <c r="H86" s="9">
        <f>400000+30000+3709+20000-11411-59000-1623</f>
        <v>381675</v>
      </c>
      <c r="I86" s="9">
        <f t="shared" si="2"/>
        <v>381675</v>
      </c>
      <c r="J86" s="143"/>
    </row>
    <row r="87" spans="2:10" ht="68.25" customHeight="1">
      <c r="B87" s="22" t="s">
        <v>235</v>
      </c>
      <c r="C87" s="22" t="s">
        <v>149</v>
      </c>
      <c r="D87" s="19"/>
      <c r="E87" s="20" t="s">
        <v>150</v>
      </c>
      <c r="F87" s="18"/>
      <c r="G87" s="9">
        <f>G88+G89+G90</f>
        <v>826970</v>
      </c>
      <c r="H87" s="9">
        <f>H88+H89+H90</f>
        <v>317698</v>
      </c>
      <c r="I87" s="9">
        <f>I88+I89+I90</f>
        <v>1144668</v>
      </c>
      <c r="J87" s="143"/>
    </row>
    <row r="88" spans="1:11" s="32" customFormat="1" ht="237" customHeight="1">
      <c r="A88" s="29"/>
      <c r="B88" s="150" t="s">
        <v>408</v>
      </c>
      <c r="C88" s="150" t="s">
        <v>404</v>
      </c>
      <c r="D88" s="148" t="s">
        <v>18</v>
      </c>
      <c r="E88" s="166" t="s">
        <v>406</v>
      </c>
      <c r="F88" s="31" t="s">
        <v>98</v>
      </c>
      <c r="G88" s="34">
        <f>751480-310</f>
        <v>751170</v>
      </c>
      <c r="H88" s="34"/>
      <c r="I88" s="34">
        <f>G88+H88</f>
        <v>751170</v>
      </c>
      <c r="J88" s="143">
        <v>54</v>
      </c>
      <c r="K88" s="51"/>
    </row>
    <row r="89" spans="1:11" s="32" customFormat="1" ht="147" customHeight="1">
      <c r="A89" s="29"/>
      <c r="B89" s="151"/>
      <c r="C89" s="151"/>
      <c r="D89" s="149"/>
      <c r="E89" s="167"/>
      <c r="F89" s="31" t="s">
        <v>49</v>
      </c>
      <c r="G89" s="34"/>
      <c r="H89" s="34">
        <f>150000+107950+50000+9748+31663-31663</f>
        <v>317698</v>
      </c>
      <c r="I89" s="34">
        <f>G89+H89</f>
        <v>317698</v>
      </c>
      <c r="J89" s="143"/>
      <c r="K89" s="51"/>
    </row>
    <row r="90" spans="1:11" s="32" customFormat="1" ht="189" customHeight="1">
      <c r="A90" s="29"/>
      <c r="B90" s="113" t="s">
        <v>409</v>
      </c>
      <c r="C90" s="113" t="s">
        <v>405</v>
      </c>
      <c r="D90" s="112" t="s">
        <v>18</v>
      </c>
      <c r="E90" s="28" t="s">
        <v>407</v>
      </c>
      <c r="F90" s="31" t="s">
        <v>48</v>
      </c>
      <c r="G90" s="34">
        <v>75800</v>
      </c>
      <c r="H90" s="34"/>
      <c r="I90" s="34">
        <f>G90+H90</f>
        <v>75800</v>
      </c>
      <c r="J90" s="143"/>
      <c r="K90" s="51"/>
    </row>
    <row r="91" spans="2:10" ht="94.5" customHeight="1">
      <c r="B91" s="152" t="s">
        <v>236</v>
      </c>
      <c r="C91" s="152" t="s">
        <v>58</v>
      </c>
      <c r="D91" s="145" t="s">
        <v>9</v>
      </c>
      <c r="E91" s="157" t="s">
        <v>64</v>
      </c>
      <c r="F91" s="18" t="s">
        <v>36</v>
      </c>
      <c r="G91" s="9">
        <f>3245000-5430</f>
        <v>3239570</v>
      </c>
      <c r="H91" s="9"/>
      <c r="I91" s="9">
        <f t="shared" si="2"/>
        <v>3239570</v>
      </c>
      <c r="J91" s="143"/>
    </row>
    <row r="92" spans="2:10" ht="121.5" customHeight="1">
      <c r="B92" s="154"/>
      <c r="C92" s="154"/>
      <c r="D92" s="147"/>
      <c r="E92" s="158"/>
      <c r="F92" s="18" t="s">
        <v>34</v>
      </c>
      <c r="G92" s="9">
        <f>88000-20145</f>
        <v>67855</v>
      </c>
      <c r="H92" s="9"/>
      <c r="I92" s="9">
        <f t="shared" si="2"/>
        <v>67855</v>
      </c>
      <c r="J92" s="143"/>
    </row>
    <row r="93" spans="2:10" ht="142.5" customHeight="1">
      <c r="B93" s="153"/>
      <c r="C93" s="153"/>
      <c r="D93" s="146"/>
      <c r="E93" s="159"/>
      <c r="F93" s="18" t="s">
        <v>115</v>
      </c>
      <c r="G93" s="9">
        <f>3667000-302310-110190</f>
        <v>3254500</v>
      </c>
      <c r="H93" s="9"/>
      <c r="I93" s="9">
        <f t="shared" si="2"/>
        <v>3254500</v>
      </c>
      <c r="J93" s="143"/>
    </row>
    <row r="94" spans="2:10" ht="73.5" customHeight="1">
      <c r="B94" s="22" t="s">
        <v>237</v>
      </c>
      <c r="C94" s="22" t="s">
        <v>103</v>
      </c>
      <c r="D94" s="19"/>
      <c r="E94" s="20" t="s">
        <v>109</v>
      </c>
      <c r="F94" s="18"/>
      <c r="G94" s="9">
        <f>G95</f>
        <v>4500770</v>
      </c>
      <c r="H94" s="9">
        <f>H95</f>
        <v>95129</v>
      </c>
      <c r="I94" s="9">
        <f>I95</f>
        <v>4595899</v>
      </c>
      <c r="J94" s="143"/>
    </row>
    <row r="95" spans="1:11" s="32" customFormat="1" ht="114" customHeight="1">
      <c r="A95" s="29"/>
      <c r="B95" s="30" t="s">
        <v>238</v>
      </c>
      <c r="C95" s="30" t="s">
        <v>104</v>
      </c>
      <c r="D95" s="30" t="s">
        <v>12</v>
      </c>
      <c r="E95" s="28" t="s">
        <v>66</v>
      </c>
      <c r="F95" s="28" t="s">
        <v>37</v>
      </c>
      <c r="G95" s="34">
        <f>4481090+123000+11740+5000-120060</f>
        <v>4500770</v>
      </c>
      <c r="H95" s="34">
        <f>100000-4871</f>
        <v>95129</v>
      </c>
      <c r="I95" s="34">
        <f>G95+H95</f>
        <v>4595899</v>
      </c>
      <c r="J95" s="143"/>
      <c r="K95" s="51"/>
    </row>
    <row r="96" spans="1:11" s="8" customFormat="1" ht="75" customHeight="1">
      <c r="A96" s="1"/>
      <c r="B96" s="19" t="s">
        <v>441</v>
      </c>
      <c r="C96" s="19" t="s">
        <v>443</v>
      </c>
      <c r="D96" s="19"/>
      <c r="E96" s="20" t="s">
        <v>445</v>
      </c>
      <c r="F96" s="20"/>
      <c r="G96" s="9">
        <f>G97+G98</f>
        <v>0</v>
      </c>
      <c r="H96" s="9">
        <f>H97+H98</f>
        <v>15012242.82</v>
      </c>
      <c r="I96" s="9">
        <f>I97+I98</f>
        <v>15012242.82</v>
      </c>
      <c r="J96" s="143"/>
      <c r="K96" s="49"/>
    </row>
    <row r="97" spans="1:11" s="32" customFormat="1" ht="150" customHeight="1">
      <c r="A97" s="29"/>
      <c r="B97" s="148" t="s">
        <v>442</v>
      </c>
      <c r="C97" s="148" t="s">
        <v>444</v>
      </c>
      <c r="D97" s="148" t="s">
        <v>6</v>
      </c>
      <c r="E97" s="166" t="s">
        <v>446</v>
      </c>
      <c r="F97" s="31" t="s">
        <v>49</v>
      </c>
      <c r="G97" s="34"/>
      <c r="H97" s="34">
        <f>4611808.65+129060+4302000</f>
        <v>9042868.65</v>
      </c>
      <c r="I97" s="34">
        <f aca="true" t="shared" si="3" ref="I97:I102">G97+H97</f>
        <v>9042868.65</v>
      </c>
      <c r="J97" s="143"/>
      <c r="K97" s="51"/>
    </row>
    <row r="98" spans="1:11" s="32" customFormat="1" ht="132" customHeight="1">
      <c r="A98" s="29"/>
      <c r="B98" s="149"/>
      <c r="C98" s="149"/>
      <c r="D98" s="149"/>
      <c r="E98" s="167"/>
      <c r="F98" s="31" t="s">
        <v>116</v>
      </c>
      <c r="G98" s="34"/>
      <c r="H98" s="34">
        <f>21124.17+173250+5775000</f>
        <v>5969374.17</v>
      </c>
      <c r="I98" s="34">
        <f t="shared" si="3"/>
        <v>5969374.17</v>
      </c>
      <c r="J98" s="143"/>
      <c r="K98" s="51"/>
    </row>
    <row r="99" spans="1:11" s="39" customFormat="1" ht="138" customHeight="1">
      <c r="A99" s="38"/>
      <c r="B99" s="19" t="s">
        <v>239</v>
      </c>
      <c r="C99" s="19" t="s">
        <v>144</v>
      </c>
      <c r="D99" s="19" t="s">
        <v>30</v>
      </c>
      <c r="E99" s="20" t="s">
        <v>76</v>
      </c>
      <c r="F99" s="18" t="s">
        <v>116</v>
      </c>
      <c r="G99" s="9">
        <v>790500</v>
      </c>
      <c r="H99" s="9">
        <f>11768000+900000+283419+389000</f>
        <v>13340419</v>
      </c>
      <c r="I99" s="9">
        <f t="shared" si="3"/>
        <v>14130919</v>
      </c>
      <c r="J99" s="143"/>
      <c r="K99" s="54"/>
    </row>
    <row r="100" spans="2:10" ht="165" customHeight="1">
      <c r="B100" s="22" t="s">
        <v>240</v>
      </c>
      <c r="C100" s="22" t="s">
        <v>133</v>
      </c>
      <c r="D100" s="19" t="s">
        <v>14</v>
      </c>
      <c r="E100" s="20" t="s">
        <v>134</v>
      </c>
      <c r="F100" s="20" t="s">
        <v>117</v>
      </c>
      <c r="G100" s="9"/>
      <c r="H100" s="9">
        <f>385000+11400</f>
        <v>396400</v>
      </c>
      <c r="I100" s="9">
        <f t="shared" si="3"/>
        <v>396400</v>
      </c>
      <c r="J100" s="143"/>
    </row>
    <row r="101" spans="2:10" ht="159" customHeight="1">
      <c r="B101" s="145" t="s">
        <v>440</v>
      </c>
      <c r="C101" s="145" t="s">
        <v>438</v>
      </c>
      <c r="D101" s="145" t="s">
        <v>31</v>
      </c>
      <c r="E101" s="160" t="s">
        <v>439</v>
      </c>
      <c r="F101" s="18" t="s">
        <v>115</v>
      </c>
      <c r="G101" s="9">
        <v>85500</v>
      </c>
      <c r="H101" s="9"/>
      <c r="I101" s="9">
        <f t="shared" si="3"/>
        <v>85500</v>
      </c>
      <c r="J101" s="143"/>
    </row>
    <row r="102" spans="2:10" ht="159" customHeight="1">
      <c r="B102" s="146"/>
      <c r="C102" s="146"/>
      <c r="D102" s="146"/>
      <c r="E102" s="162"/>
      <c r="F102" s="23" t="s">
        <v>370</v>
      </c>
      <c r="G102" s="123"/>
      <c r="H102" s="9">
        <v>2000000</v>
      </c>
      <c r="I102" s="9">
        <f t="shared" si="3"/>
        <v>2000000</v>
      </c>
      <c r="J102" s="143"/>
    </row>
    <row r="103" spans="2:11" ht="97.5" customHeight="1">
      <c r="B103" s="19"/>
      <c r="C103" s="19"/>
      <c r="D103" s="19"/>
      <c r="E103" s="41" t="s">
        <v>241</v>
      </c>
      <c r="F103" s="20"/>
      <c r="G103" s="57">
        <f>G104+G105+G107+G108+G109+G111+G112+G113+G124+G106+G119+G122+G110+G126+G125</f>
        <v>31043090.089999996</v>
      </c>
      <c r="H103" s="57">
        <f>H104+H105+H107+H108+H109+H111+H112+H113+H124+H106+H119+H122+H110+H126+H125</f>
        <v>51330438.6</v>
      </c>
      <c r="I103" s="57">
        <f>I104+I105+I107+I108+I109+I111+I112+I113+I124+I106+I119+I122+I110+I126+I125</f>
        <v>82373528.69</v>
      </c>
      <c r="J103" s="143">
        <v>55</v>
      </c>
      <c r="K103" s="52"/>
    </row>
    <row r="104" spans="2:10" ht="144.75" customHeight="1">
      <c r="B104" s="78" t="s">
        <v>242</v>
      </c>
      <c r="C104" s="78" t="s">
        <v>121</v>
      </c>
      <c r="D104" s="78" t="s">
        <v>2</v>
      </c>
      <c r="E104" s="80" t="s">
        <v>122</v>
      </c>
      <c r="F104" s="18" t="s">
        <v>53</v>
      </c>
      <c r="G104" s="9">
        <v>5000</v>
      </c>
      <c r="H104" s="57"/>
      <c r="I104" s="9">
        <f>G104+H104</f>
        <v>5000</v>
      </c>
      <c r="J104" s="143"/>
    </row>
    <row r="105" spans="2:10" ht="246.75" customHeight="1">
      <c r="B105" s="152" t="s">
        <v>243</v>
      </c>
      <c r="C105" s="152" t="s">
        <v>57</v>
      </c>
      <c r="D105" s="145" t="s">
        <v>21</v>
      </c>
      <c r="E105" s="157" t="s">
        <v>70</v>
      </c>
      <c r="F105" s="21" t="s">
        <v>482</v>
      </c>
      <c r="G105" s="9">
        <f>900000+75790+15000+79900.13-50000</f>
        <v>1020690.1299999999</v>
      </c>
      <c r="H105" s="9">
        <f>20000000+5500000+15000+7000+160000+1302000+214800+12000+181429+15000+950000+144000+15000-95820-15000+86000+3231250+233065+104755+629000+10600</f>
        <v>32700079</v>
      </c>
      <c r="I105" s="9">
        <f aca="true" t="shared" si="4" ref="I105:I112">G105+H105</f>
        <v>33720769.13</v>
      </c>
      <c r="J105" s="143"/>
    </row>
    <row r="106" spans="2:10" ht="165.75" customHeight="1">
      <c r="B106" s="154"/>
      <c r="C106" s="154"/>
      <c r="D106" s="147"/>
      <c r="E106" s="158"/>
      <c r="F106" s="18" t="s">
        <v>110</v>
      </c>
      <c r="G106" s="9">
        <f>108000+108000</f>
        <v>216000</v>
      </c>
      <c r="H106" s="9">
        <f>350000-264000-86000</f>
        <v>0</v>
      </c>
      <c r="I106" s="9">
        <f>G106+H106</f>
        <v>216000</v>
      </c>
      <c r="J106" s="143"/>
    </row>
    <row r="107" spans="2:10" ht="141.75" customHeight="1">
      <c r="B107" s="153"/>
      <c r="C107" s="153"/>
      <c r="D107" s="146"/>
      <c r="E107" s="159"/>
      <c r="F107" s="21" t="s">
        <v>115</v>
      </c>
      <c r="G107" s="9">
        <f>392515-19200-201391</f>
        <v>171924</v>
      </c>
      <c r="H107" s="9"/>
      <c r="I107" s="9">
        <f t="shared" si="4"/>
        <v>171924</v>
      </c>
      <c r="J107" s="143"/>
    </row>
    <row r="108" spans="2:10" ht="240.75" customHeight="1" hidden="1">
      <c r="B108" s="152" t="s">
        <v>244</v>
      </c>
      <c r="C108" s="152" t="s">
        <v>137</v>
      </c>
      <c r="D108" s="145" t="s">
        <v>22</v>
      </c>
      <c r="E108" s="157" t="s">
        <v>138</v>
      </c>
      <c r="F108" s="21" t="s">
        <v>427</v>
      </c>
      <c r="G108" s="9"/>
      <c r="H108" s="9"/>
      <c r="I108" s="9">
        <f t="shared" si="4"/>
        <v>0</v>
      </c>
      <c r="J108" s="143"/>
    </row>
    <row r="109" spans="2:10" ht="153.75" customHeight="1">
      <c r="B109" s="154"/>
      <c r="C109" s="154"/>
      <c r="D109" s="147"/>
      <c r="E109" s="158"/>
      <c r="F109" s="21" t="s">
        <v>115</v>
      </c>
      <c r="G109" s="9">
        <f>5050</f>
        <v>5050</v>
      </c>
      <c r="H109" s="9"/>
      <c r="I109" s="9">
        <f t="shared" si="4"/>
        <v>5050</v>
      </c>
      <c r="J109" s="143"/>
    </row>
    <row r="110" spans="2:10" ht="234.75" customHeight="1">
      <c r="B110" s="153"/>
      <c r="C110" s="153"/>
      <c r="D110" s="146"/>
      <c r="E110" s="159"/>
      <c r="F110" s="21" t="s">
        <v>482</v>
      </c>
      <c r="G110" s="9">
        <v>80000</v>
      </c>
      <c r="H110" s="9">
        <f>15000+115000</f>
        <v>130000</v>
      </c>
      <c r="I110" s="9">
        <f t="shared" si="4"/>
        <v>210000</v>
      </c>
      <c r="J110" s="143"/>
    </row>
    <row r="111" spans="2:10" ht="231.75" customHeight="1" hidden="1">
      <c r="B111" s="152" t="s">
        <v>245</v>
      </c>
      <c r="C111" s="152" t="s">
        <v>139</v>
      </c>
      <c r="D111" s="145" t="s">
        <v>23</v>
      </c>
      <c r="E111" s="157" t="s">
        <v>140</v>
      </c>
      <c r="F111" s="21" t="s">
        <v>427</v>
      </c>
      <c r="G111" s="9"/>
      <c r="H111" s="9"/>
      <c r="I111" s="9">
        <f t="shared" si="4"/>
        <v>0</v>
      </c>
      <c r="J111" s="143"/>
    </row>
    <row r="112" spans="2:10" ht="156.75" customHeight="1">
      <c r="B112" s="153"/>
      <c r="C112" s="153"/>
      <c r="D112" s="146"/>
      <c r="E112" s="159"/>
      <c r="F112" s="21" t="s">
        <v>115</v>
      </c>
      <c r="G112" s="9">
        <f>99000-96000</f>
        <v>3000</v>
      </c>
      <c r="H112" s="9"/>
      <c r="I112" s="9">
        <f t="shared" si="4"/>
        <v>3000</v>
      </c>
      <c r="J112" s="143"/>
    </row>
    <row r="113" spans="2:10" ht="60.75" customHeight="1">
      <c r="B113" s="22" t="s">
        <v>246</v>
      </c>
      <c r="C113" s="22" t="s">
        <v>143</v>
      </c>
      <c r="D113" s="19"/>
      <c r="E113" s="20" t="s">
        <v>412</v>
      </c>
      <c r="F113" s="21"/>
      <c r="G113" s="9">
        <f>G114+G115+G117+G118+G116</f>
        <v>25539025.56</v>
      </c>
      <c r="H113" s="9">
        <f>H114+H115+H117+H118+H116</f>
        <v>59000</v>
      </c>
      <c r="I113" s="9">
        <f>I114+I115+I117+I118+I116</f>
        <v>25598025.56</v>
      </c>
      <c r="J113" s="143"/>
    </row>
    <row r="114" spans="1:11" s="32" customFormat="1" ht="231.75" customHeight="1" hidden="1">
      <c r="A114" s="29"/>
      <c r="B114" s="150" t="s">
        <v>247</v>
      </c>
      <c r="C114" s="150" t="s">
        <v>141</v>
      </c>
      <c r="D114" s="148" t="s">
        <v>418</v>
      </c>
      <c r="E114" s="166" t="s">
        <v>142</v>
      </c>
      <c r="F114" s="33" t="s">
        <v>427</v>
      </c>
      <c r="G114" s="34"/>
      <c r="H114" s="34"/>
      <c r="I114" s="34">
        <f>G114+H114</f>
        <v>0</v>
      </c>
      <c r="J114" s="143"/>
      <c r="K114" s="51"/>
    </row>
    <row r="115" spans="1:11" s="32" customFormat="1" ht="159.75" customHeight="1">
      <c r="A115" s="29"/>
      <c r="B115" s="174"/>
      <c r="C115" s="174"/>
      <c r="D115" s="175"/>
      <c r="E115" s="168"/>
      <c r="F115" s="33" t="s">
        <v>115</v>
      </c>
      <c r="G115" s="34">
        <v>65670</v>
      </c>
      <c r="H115" s="34"/>
      <c r="I115" s="34">
        <f>G115+H115</f>
        <v>65670</v>
      </c>
      <c r="J115" s="143"/>
      <c r="K115" s="51"/>
    </row>
    <row r="116" spans="1:11" s="32" customFormat="1" ht="261.75" customHeight="1">
      <c r="A116" s="29"/>
      <c r="B116" s="151"/>
      <c r="C116" s="151"/>
      <c r="D116" s="149"/>
      <c r="E116" s="167"/>
      <c r="F116" s="33" t="s">
        <v>499</v>
      </c>
      <c r="G116" s="34">
        <f>24981188+245454.84+5321.72</f>
        <v>25231964.56</v>
      </c>
      <c r="H116" s="34">
        <f>35000+34600-10600</f>
        <v>59000</v>
      </c>
      <c r="I116" s="34">
        <f>G116+H116</f>
        <v>25290964.56</v>
      </c>
      <c r="J116" s="143"/>
      <c r="K116" s="51"/>
    </row>
    <row r="117" spans="1:11" s="32" customFormat="1" ht="159.75" customHeight="1">
      <c r="A117" s="29"/>
      <c r="B117" s="150" t="s">
        <v>433</v>
      </c>
      <c r="C117" s="150" t="s">
        <v>434</v>
      </c>
      <c r="D117" s="150" t="s">
        <v>435</v>
      </c>
      <c r="E117" s="155" t="s">
        <v>436</v>
      </c>
      <c r="F117" s="33" t="s">
        <v>115</v>
      </c>
      <c r="G117" s="34">
        <v>201391</v>
      </c>
      <c r="H117" s="34"/>
      <c r="I117" s="34">
        <f>G117+H117</f>
        <v>201391</v>
      </c>
      <c r="J117" s="143"/>
      <c r="K117" s="51"/>
    </row>
    <row r="118" spans="1:11" s="32" customFormat="1" ht="253.5" customHeight="1">
      <c r="A118" s="29"/>
      <c r="B118" s="151"/>
      <c r="C118" s="151"/>
      <c r="D118" s="151"/>
      <c r="E118" s="156"/>
      <c r="F118" s="33" t="s">
        <v>482</v>
      </c>
      <c r="G118" s="34">
        <f>20000+20000</f>
        <v>40000</v>
      </c>
      <c r="H118" s="34"/>
      <c r="I118" s="34">
        <f>G118+H118</f>
        <v>40000</v>
      </c>
      <c r="J118" s="143"/>
      <c r="K118" s="51"/>
    </row>
    <row r="119" spans="1:11" s="8" customFormat="1" ht="93.75" customHeight="1">
      <c r="A119" s="1"/>
      <c r="B119" s="22" t="s">
        <v>425</v>
      </c>
      <c r="C119" s="22" t="s">
        <v>420</v>
      </c>
      <c r="D119" s="22"/>
      <c r="E119" s="89" t="s">
        <v>421</v>
      </c>
      <c r="F119" s="21"/>
      <c r="G119" s="9">
        <f>G120+G121</f>
        <v>3208704</v>
      </c>
      <c r="H119" s="9">
        <f>H120+H121</f>
        <v>3406496</v>
      </c>
      <c r="I119" s="9">
        <f>I120+I121</f>
        <v>6615200</v>
      </c>
      <c r="J119" s="143">
        <v>56</v>
      </c>
      <c r="K119" s="49"/>
    </row>
    <row r="120" spans="1:11" s="32" customFormat="1" ht="144.75" customHeight="1">
      <c r="A120" s="29"/>
      <c r="B120" s="150" t="s">
        <v>426</v>
      </c>
      <c r="C120" s="150" t="s">
        <v>422</v>
      </c>
      <c r="D120" s="150" t="s">
        <v>423</v>
      </c>
      <c r="E120" s="176" t="s">
        <v>424</v>
      </c>
      <c r="F120" s="33" t="s">
        <v>115</v>
      </c>
      <c r="G120" s="34">
        <v>115200</v>
      </c>
      <c r="H120" s="34"/>
      <c r="I120" s="34">
        <f>G120+H120</f>
        <v>115200</v>
      </c>
      <c r="J120" s="143"/>
      <c r="K120" s="51"/>
    </row>
    <row r="121" spans="1:11" s="32" customFormat="1" ht="234" customHeight="1">
      <c r="A121" s="29"/>
      <c r="B121" s="151"/>
      <c r="C121" s="151"/>
      <c r="D121" s="151"/>
      <c r="E121" s="177"/>
      <c r="F121" s="33" t="s">
        <v>482</v>
      </c>
      <c r="G121" s="34">
        <v>3093504</v>
      </c>
      <c r="H121" s="34">
        <v>3406496</v>
      </c>
      <c r="I121" s="34">
        <f>G121+H121</f>
        <v>6500000</v>
      </c>
      <c r="J121" s="143"/>
      <c r="K121" s="51"/>
    </row>
    <row r="122" spans="1:11" s="8" customFormat="1" ht="90.75" customHeight="1">
      <c r="A122" s="1"/>
      <c r="B122" s="19" t="s">
        <v>447</v>
      </c>
      <c r="C122" s="19" t="s">
        <v>443</v>
      </c>
      <c r="D122" s="19"/>
      <c r="E122" s="20" t="s">
        <v>445</v>
      </c>
      <c r="F122" s="20"/>
      <c r="G122" s="9">
        <f>G123</f>
        <v>0</v>
      </c>
      <c r="H122" s="9">
        <f>H123</f>
        <v>4665863.6</v>
      </c>
      <c r="I122" s="9">
        <f>I123</f>
        <v>4665863.6</v>
      </c>
      <c r="J122" s="143"/>
      <c r="K122" s="49"/>
    </row>
    <row r="123" spans="1:11" s="32" customFormat="1" ht="231.75" customHeight="1">
      <c r="A123" s="29"/>
      <c r="B123" s="30" t="s">
        <v>448</v>
      </c>
      <c r="C123" s="30" t="s">
        <v>444</v>
      </c>
      <c r="D123" s="30" t="s">
        <v>6</v>
      </c>
      <c r="E123" s="28" t="s">
        <v>446</v>
      </c>
      <c r="F123" s="21" t="s">
        <v>427</v>
      </c>
      <c r="G123" s="34"/>
      <c r="H123" s="34">
        <f>40078.94+1335964.66+95820+3194000</f>
        <v>4665863.6</v>
      </c>
      <c r="I123" s="34">
        <f>G123+H123</f>
        <v>4665863.6</v>
      </c>
      <c r="J123" s="143"/>
      <c r="K123" s="51"/>
    </row>
    <row r="124" spans="2:10" ht="135.75" customHeight="1">
      <c r="B124" s="19" t="s">
        <v>248</v>
      </c>
      <c r="C124" s="19" t="s">
        <v>144</v>
      </c>
      <c r="D124" s="19" t="s">
        <v>30</v>
      </c>
      <c r="E124" s="20" t="s">
        <v>76</v>
      </c>
      <c r="F124" s="18" t="s">
        <v>116</v>
      </c>
      <c r="G124" s="9">
        <f>420000+48000+300000+12000+12000+5000+22367.2-45670.8</f>
        <v>773696.3999999999</v>
      </c>
      <c r="H124" s="9">
        <f>6847000+3000000</f>
        <v>9847000</v>
      </c>
      <c r="I124" s="9">
        <f>G124+H124</f>
        <v>10620696.4</v>
      </c>
      <c r="J124" s="143"/>
    </row>
    <row r="125" spans="1:11" s="132" customFormat="1" ht="135.75" customHeight="1">
      <c r="A125" s="130"/>
      <c r="B125" s="19" t="s">
        <v>509</v>
      </c>
      <c r="C125" s="19" t="s">
        <v>133</v>
      </c>
      <c r="D125" s="19" t="s">
        <v>14</v>
      </c>
      <c r="E125" s="20" t="s">
        <v>134</v>
      </c>
      <c r="F125" s="21" t="s">
        <v>117</v>
      </c>
      <c r="G125" s="133"/>
      <c r="H125" s="9">
        <v>22000</v>
      </c>
      <c r="I125" s="9">
        <f>G125+H125</f>
        <v>22000</v>
      </c>
      <c r="J125" s="143"/>
      <c r="K125" s="131"/>
    </row>
    <row r="126" spans="2:10" ht="144" customHeight="1">
      <c r="B126" s="19" t="s">
        <v>492</v>
      </c>
      <c r="C126" s="19" t="s">
        <v>131</v>
      </c>
      <c r="D126" s="19" t="s">
        <v>493</v>
      </c>
      <c r="E126" s="126" t="s">
        <v>132</v>
      </c>
      <c r="F126" s="23" t="s">
        <v>370</v>
      </c>
      <c r="G126" s="9">
        <v>20000</v>
      </c>
      <c r="H126" s="9">
        <v>500000</v>
      </c>
      <c r="I126" s="9">
        <f>G126+H126</f>
        <v>520000</v>
      </c>
      <c r="J126" s="143"/>
    </row>
    <row r="127" spans="2:11" ht="114" customHeight="1">
      <c r="B127" s="19"/>
      <c r="C127" s="19"/>
      <c r="D127" s="19"/>
      <c r="E127" s="41" t="s">
        <v>249</v>
      </c>
      <c r="F127" s="18"/>
      <c r="G127" s="57">
        <f>G128+G129+G135+G136+G138+G139+G140+G144+G145+G146+G149+G150+G151</f>
        <v>99509051.7</v>
      </c>
      <c r="H127" s="57">
        <f>H128+H129+H135+H136+H138+H139+H140+H144+H145+H146+H149+H150+H151</f>
        <v>320910</v>
      </c>
      <c r="I127" s="57">
        <f>I128+I129+I135+I136+I138+I139+I140+I144+I145+I146+I149+I150+I151</f>
        <v>99829961.7</v>
      </c>
      <c r="J127" s="143"/>
      <c r="K127" s="52"/>
    </row>
    <row r="128" spans="1:10" ht="143.25" customHeight="1">
      <c r="A128" s="72"/>
      <c r="B128" s="78" t="s">
        <v>250</v>
      </c>
      <c r="C128" s="78" t="s">
        <v>121</v>
      </c>
      <c r="D128" s="67" t="s">
        <v>2</v>
      </c>
      <c r="E128" s="80" t="s">
        <v>122</v>
      </c>
      <c r="F128" s="20" t="s">
        <v>53</v>
      </c>
      <c r="G128" s="9">
        <v>50000</v>
      </c>
      <c r="H128" s="9"/>
      <c r="I128" s="9">
        <f>G128+H128</f>
        <v>50000</v>
      </c>
      <c r="J128" s="143"/>
    </row>
    <row r="129" spans="1:10" ht="184.5" customHeight="1">
      <c r="A129" s="72"/>
      <c r="B129" s="78" t="s">
        <v>251</v>
      </c>
      <c r="C129" s="78" t="s">
        <v>84</v>
      </c>
      <c r="D129" s="86"/>
      <c r="E129" s="80" t="s">
        <v>123</v>
      </c>
      <c r="F129" s="68"/>
      <c r="G129" s="66">
        <f>G130+G131+G132+G133+G134</f>
        <v>56589926</v>
      </c>
      <c r="H129" s="66">
        <f>H130+H131+H132+H133+H134</f>
        <v>245910</v>
      </c>
      <c r="I129" s="66">
        <f>I130+I131+I132+I133+I134</f>
        <v>56835836</v>
      </c>
      <c r="J129" s="143"/>
    </row>
    <row r="130" spans="1:11" s="37" customFormat="1" ht="115.5" customHeight="1">
      <c r="A130" s="73"/>
      <c r="B130" s="71" t="s">
        <v>252</v>
      </c>
      <c r="C130" s="71" t="s">
        <v>59</v>
      </c>
      <c r="D130" s="87">
        <v>1030</v>
      </c>
      <c r="E130" s="84" t="s">
        <v>169</v>
      </c>
      <c r="F130" s="69" t="s">
        <v>34</v>
      </c>
      <c r="G130" s="70">
        <f>371502+100000</f>
        <v>471502</v>
      </c>
      <c r="H130" s="70">
        <f>214000+31910</f>
        <v>245910</v>
      </c>
      <c r="I130" s="70">
        <f aca="true" t="shared" si="5" ref="I130:I135">G130+H130</f>
        <v>717412</v>
      </c>
      <c r="J130" s="143"/>
      <c r="K130" s="55"/>
    </row>
    <row r="131" spans="1:11" s="32" customFormat="1" ht="102.75" customHeight="1">
      <c r="A131" s="74"/>
      <c r="B131" s="30" t="s">
        <v>253</v>
      </c>
      <c r="C131" s="30" t="s">
        <v>170</v>
      </c>
      <c r="D131" s="88">
        <v>1070</v>
      </c>
      <c r="E131" s="28" t="s">
        <v>72</v>
      </c>
      <c r="F131" s="28" t="s">
        <v>34</v>
      </c>
      <c r="G131" s="34">
        <v>1541402</v>
      </c>
      <c r="H131" s="34"/>
      <c r="I131" s="70">
        <f t="shared" si="5"/>
        <v>1541402</v>
      </c>
      <c r="J131" s="143"/>
      <c r="K131" s="51"/>
    </row>
    <row r="132" spans="1:11" s="32" customFormat="1" ht="147.75" customHeight="1">
      <c r="A132" s="74"/>
      <c r="B132" s="30" t="s">
        <v>254</v>
      </c>
      <c r="C132" s="30" t="s">
        <v>60</v>
      </c>
      <c r="D132" s="30" t="s">
        <v>24</v>
      </c>
      <c r="E132" s="28" t="s">
        <v>52</v>
      </c>
      <c r="F132" s="28" t="s">
        <v>34</v>
      </c>
      <c r="G132" s="34">
        <f>9466596+4000000+3429000</f>
        <v>16895596</v>
      </c>
      <c r="H132" s="34"/>
      <c r="I132" s="70">
        <f t="shared" si="5"/>
        <v>16895596</v>
      </c>
      <c r="J132" s="143"/>
      <c r="K132" s="51"/>
    </row>
    <row r="133" spans="1:11" s="32" customFormat="1" ht="108.75" customHeight="1">
      <c r="A133" s="74"/>
      <c r="B133" s="30" t="s">
        <v>255</v>
      </c>
      <c r="C133" s="30" t="s">
        <v>91</v>
      </c>
      <c r="D133" s="30" t="s">
        <v>24</v>
      </c>
      <c r="E133" s="28" t="s">
        <v>112</v>
      </c>
      <c r="F133" s="28" t="s">
        <v>34</v>
      </c>
      <c r="G133" s="34">
        <f>1000000+1000000+1000000</f>
        <v>3000000</v>
      </c>
      <c r="H133" s="34"/>
      <c r="I133" s="70">
        <f t="shared" si="5"/>
        <v>3000000</v>
      </c>
      <c r="J133" s="143"/>
      <c r="K133" s="51"/>
    </row>
    <row r="134" spans="1:11" s="32" customFormat="1" ht="129.75" customHeight="1">
      <c r="A134" s="74"/>
      <c r="B134" s="30" t="s">
        <v>256</v>
      </c>
      <c r="C134" s="30" t="s">
        <v>124</v>
      </c>
      <c r="D134" s="30" t="s">
        <v>24</v>
      </c>
      <c r="E134" s="28" t="s">
        <v>27</v>
      </c>
      <c r="F134" s="28" t="s">
        <v>34</v>
      </c>
      <c r="G134" s="34">
        <f>27193426+6000000+1488000</f>
        <v>34681426</v>
      </c>
      <c r="H134" s="34"/>
      <c r="I134" s="70">
        <f t="shared" si="5"/>
        <v>34681426</v>
      </c>
      <c r="J134" s="143">
        <v>57</v>
      </c>
      <c r="K134" s="51"/>
    </row>
    <row r="135" spans="1:10" ht="94.5" customHeight="1" hidden="1">
      <c r="A135" s="72"/>
      <c r="B135" s="19" t="s">
        <v>257</v>
      </c>
      <c r="C135" s="85">
        <v>3050</v>
      </c>
      <c r="D135" s="85">
        <v>1070</v>
      </c>
      <c r="E135" s="20" t="s">
        <v>71</v>
      </c>
      <c r="F135" s="20" t="s">
        <v>34</v>
      </c>
      <c r="G135" s="9">
        <f>578335-578335</f>
        <v>0</v>
      </c>
      <c r="H135" s="9"/>
      <c r="I135" s="9">
        <f t="shared" si="5"/>
        <v>0</v>
      </c>
      <c r="J135" s="143"/>
    </row>
    <row r="136" spans="1:10" ht="169.5" customHeight="1">
      <c r="A136" s="72"/>
      <c r="B136" s="19" t="s">
        <v>258</v>
      </c>
      <c r="C136" s="85">
        <v>3100</v>
      </c>
      <c r="D136" s="85"/>
      <c r="E136" s="20" t="s">
        <v>388</v>
      </c>
      <c r="F136" s="20"/>
      <c r="G136" s="9">
        <f>G137</f>
        <v>232000</v>
      </c>
      <c r="H136" s="9">
        <f>H137</f>
        <v>0</v>
      </c>
      <c r="I136" s="9">
        <f>I137</f>
        <v>232000</v>
      </c>
      <c r="J136" s="143"/>
    </row>
    <row r="137" spans="1:10" ht="177" customHeight="1">
      <c r="A137" s="72"/>
      <c r="B137" s="30" t="s">
        <v>259</v>
      </c>
      <c r="C137" s="30" t="s">
        <v>61</v>
      </c>
      <c r="D137" s="30" t="s">
        <v>51</v>
      </c>
      <c r="E137" s="28" t="s">
        <v>74</v>
      </c>
      <c r="F137" s="28" t="s">
        <v>34</v>
      </c>
      <c r="G137" s="34">
        <f>197132+1216+26752+6900</f>
        <v>232000</v>
      </c>
      <c r="H137" s="34"/>
      <c r="I137" s="34">
        <f>G137+H137</f>
        <v>232000</v>
      </c>
      <c r="J137" s="143"/>
    </row>
    <row r="138" spans="1:10" ht="130.5" customHeight="1">
      <c r="A138" s="72"/>
      <c r="B138" s="145" t="s">
        <v>260</v>
      </c>
      <c r="C138" s="145" t="s">
        <v>171</v>
      </c>
      <c r="D138" s="145" t="s">
        <v>5</v>
      </c>
      <c r="E138" s="157" t="s">
        <v>411</v>
      </c>
      <c r="F138" s="20" t="s">
        <v>34</v>
      </c>
      <c r="G138" s="9">
        <f>1135400+160171</f>
        <v>1295571</v>
      </c>
      <c r="H138" s="9"/>
      <c r="I138" s="9">
        <f>G138+H138</f>
        <v>1295571</v>
      </c>
      <c r="J138" s="143"/>
    </row>
    <row r="139" spans="1:10" ht="142.5" customHeight="1">
      <c r="A139" s="72"/>
      <c r="B139" s="146"/>
      <c r="C139" s="146"/>
      <c r="D139" s="146"/>
      <c r="E139" s="159"/>
      <c r="F139" s="20" t="s">
        <v>115</v>
      </c>
      <c r="G139" s="9">
        <f>107091+39900+6563</f>
        <v>153554</v>
      </c>
      <c r="H139" s="9"/>
      <c r="I139" s="9">
        <f>G139+H139</f>
        <v>153554</v>
      </c>
      <c r="J139" s="143"/>
    </row>
    <row r="140" spans="1:10" ht="73.5" customHeight="1">
      <c r="A140" s="72"/>
      <c r="B140" s="19" t="s">
        <v>261</v>
      </c>
      <c r="C140" s="19" t="s">
        <v>62</v>
      </c>
      <c r="D140" s="19"/>
      <c r="E140" s="20" t="s">
        <v>93</v>
      </c>
      <c r="F140" s="20"/>
      <c r="G140" s="9">
        <f>G141+G142+G143</f>
        <v>3165620</v>
      </c>
      <c r="H140" s="9">
        <f>H141+H142+H143</f>
        <v>0</v>
      </c>
      <c r="I140" s="9">
        <f>I141+I142+I143</f>
        <v>3165620</v>
      </c>
      <c r="J140" s="143"/>
    </row>
    <row r="141" spans="1:11" s="32" customFormat="1" ht="109.5" customHeight="1">
      <c r="A141" s="74"/>
      <c r="B141" s="148" t="s">
        <v>389</v>
      </c>
      <c r="C141" s="148" t="s">
        <v>419</v>
      </c>
      <c r="D141" s="148" t="s">
        <v>26</v>
      </c>
      <c r="E141" s="166" t="s">
        <v>25</v>
      </c>
      <c r="F141" s="28" t="s">
        <v>34</v>
      </c>
      <c r="G141" s="34">
        <f>799636-10378+22407+188780-109293</f>
        <v>891152</v>
      </c>
      <c r="H141" s="34"/>
      <c r="I141" s="34">
        <f aca="true" t="shared" si="6" ref="I141:I151">G141+H141</f>
        <v>891152</v>
      </c>
      <c r="J141" s="143"/>
      <c r="K141" s="51"/>
    </row>
    <row r="142" spans="1:11" s="32" customFormat="1" ht="151.5" customHeight="1">
      <c r="A142" s="74"/>
      <c r="B142" s="149"/>
      <c r="C142" s="149"/>
      <c r="D142" s="149"/>
      <c r="E142" s="167"/>
      <c r="F142" s="28" t="s">
        <v>115</v>
      </c>
      <c r="G142" s="34">
        <f>936669+65000-2196</f>
        <v>999473</v>
      </c>
      <c r="H142" s="34"/>
      <c r="I142" s="34">
        <f t="shared" si="6"/>
        <v>999473</v>
      </c>
      <c r="J142" s="143"/>
      <c r="K142" s="51"/>
    </row>
    <row r="143" spans="1:11" s="32" customFormat="1" ht="151.5" customHeight="1">
      <c r="A143" s="74"/>
      <c r="B143" s="30" t="s">
        <v>390</v>
      </c>
      <c r="C143" s="30" t="s">
        <v>392</v>
      </c>
      <c r="D143" s="30" t="s">
        <v>26</v>
      </c>
      <c r="E143" s="28" t="s">
        <v>391</v>
      </c>
      <c r="F143" s="28" t="s">
        <v>34</v>
      </c>
      <c r="G143" s="34">
        <f>1192100+80000+2895</f>
        <v>1274995</v>
      </c>
      <c r="H143" s="34"/>
      <c r="I143" s="34">
        <f t="shared" si="6"/>
        <v>1274995</v>
      </c>
      <c r="J143" s="143"/>
      <c r="K143" s="51"/>
    </row>
    <row r="144" spans="1:11" s="32" customFormat="1" ht="172.5" customHeight="1">
      <c r="A144" s="74"/>
      <c r="B144" s="19" t="s">
        <v>262</v>
      </c>
      <c r="C144" s="19" t="s">
        <v>92</v>
      </c>
      <c r="D144" s="19" t="s">
        <v>8</v>
      </c>
      <c r="E144" s="20" t="s">
        <v>172</v>
      </c>
      <c r="F144" s="20" t="s">
        <v>34</v>
      </c>
      <c r="G144" s="9">
        <v>75000</v>
      </c>
      <c r="H144" s="9"/>
      <c r="I144" s="9">
        <f t="shared" si="6"/>
        <v>75000</v>
      </c>
      <c r="J144" s="143"/>
      <c r="K144" s="51"/>
    </row>
    <row r="145" spans="1:11" s="32" customFormat="1" ht="115.5" customHeight="1">
      <c r="A145" s="74"/>
      <c r="B145" s="19" t="s">
        <v>393</v>
      </c>
      <c r="C145" s="19" t="s">
        <v>394</v>
      </c>
      <c r="D145" s="19" t="s">
        <v>43</v>
      </c>
      <c r="E145" s="20" t="s">
        <v>73</v>
      </c>
      <c r="F145" s="20" t="s">
        <v>417</v>
      </c>
      <c r="G145" s="9">
        <f>300000+30000</f>
        <v>330000</v>
      </c>
      <c r="H145" s="9"/>
      <c r="I145" s="9">
        <f t="shared" si="6"/>
        <v>330000</v>
      </c>
      <c r="J145" s="143"/>
      <c r="K145" s="51"/>
    </row>
    <row r="146" spans="1:11" s="8" customFormat="1" ht="85.5" customHeight="1">
      <c r="A146" s="75"/>
      <c r="B146" s="78" t="s">
        <v>395</v>
      </c>
      <c r="C146" s="78" t="s">
        <v>372</v>
      </c>
      <c r="D146" s="78" t="s">
        <v>8</v>
      </c>
      <c r="E146" s="80" t="s">
        <v>173</v>
      </c>
      <c r="F146" s="20"/>
      <c r="G146" s="9">
        <f>G147+G148</f>
        <v>36577380.7</v>
      </c>
      <c r="H146" s="9">
        <f>H147+H148</f>
        <v>75000</v>
      </c>
      <c r="I146" s="9">
        <f>I147+I148</f>
        <v>36652380.7</v>
      </c>
      <c r="J146" s="143"/>
      <c r="K146" s="49"/>
    </row>
    <row r="147" spans="1:11" s="101" customFormat="1" ht="129.75" customHeight="1">
      <c r="A147" s="100"/>
      <c r="B147" s="148" t="s">
        <v>396</v>
      </c>
      <c r="C147" s="150" t="s">
        <v>378</v>
      </c>
      <c r="D147" s="150" t="s">
        <v>8</v>
      </c>
      <c r="E147" s="166" t="s">
        <v>379</v>
      </c>
      <c r="F147" s="28" t="s">
        <v>34</v>
      </c>
      <c r="G147" s="34">
        <f>4247964-4024-26631+175000+353011+150000+274200+23310+76000+319750+10000+1301500+100000+95863+578335+190000+514525.7+22000+5000+10000+5000+10000+5000+5000+280903+200000+40555+1100000+171900+20000+290000+47000+11000+20000+20000+153270+172755+195000-50878+17000+42781</f>
        <v>11172089.7</v>
      </c>
      <c r="H147" s="34">
        <v>75000</v>
      </c>
      <c r="I147" s="34">
        <f>G147+H147</f>
        <v>11247089.7</v>
      </c>
      <c r="J147" s="143"/>
      <c r="K147" s="54"/>
    </row>
    <row r="148" spans="1:11" s="101" customFormat="1" ht="144.75" customHeight="1">
      <c r="A148" s="100"/>
      <c r="B148" s="149"/>
      <c r="C148" s="151"/>
      <c r="D148" s="151"/>
      <c r="E148" s="167"/>
      <c r="F148" s="28" t="s">
        <v>115</v>
      </c>
      <c r="G148" s="34">
        <f>7520066+16000000+249592+6237+70000+473763+1155000-71563+2196</f>
        <v>25405291</v>
      </c>
      <c r="H148" s="34"/>
      <c r="I148" s="34">
        <f>G148+H148</f>
        <v>25405291</v>
      </c>
      <c r="J148" s="143"/>
      <c r="K148" s="54"/>
    </row>
    <row r="149" spans="1:11" s="32" customFormat="1" ht="156.75" customHeight="1">
      <c r="A149" s="74"/>
      <c r="B149" s="19" t="s">
        <v>263</v>
      </c>
      <c r="C149" s="19" t="s">
        <v>144</v>
      </c>
      <c r="D149" s="19" t="s">
        <v>30</v>
      </c>
      <c r="E149" s="20" t="s">
        <v>76</v>
      </c>
      <c r="F149" s="18" t="s">
        <v>116</v>
      </c>
      <c r="G149" s="9">
        <v>29000</v>
      </c>
      <c r="H149" s="34"/>
      <c r="I149" s="9">
        <f t="shared" si="6"/>
        <v>29000</v>
      </c>
      <c r="J149" s="143"/>
      <c r="K149" s="51"/>
    </row>
    <row r="150" spans="1:11" s="8" customFormat="1" ht="138.75" customHeight="1">
      <c r="A150" s="75"/>
      <c r="B150" s="145" t="s">
        <v>264</v>
      </c>
      <c r="C150" s="145" t="s">
        <v>131</v>
      </c>
      <c r="D150" s="145" t="s">
        <v>31</v>
      </c>
      <c r="E150" s="157" t="s">
        <v>132</v>
      </c>
      <c r="F150" s="20" t="s">
        <v>34</v>
      </c>
      <c r="G150" s="9">
        <f>137160-72540+3348</f>
        <v>67968</v>
      </c>
      <c r="H150" s="9"/>
      <c r="I150" s="9">
        <f t="shared" si="6"/>
        <v>67968</v>
      </c>
      <c r="J150" s="143">
        <v>58</v>
      </c>
      <c r="K150" s="49"/>
    </row>
    <row r="151" spans="1:11" s="8" customFormat="1" ht="138.75" customHeight="1">
      <c r="A151" s="75"/>
      <c r="B151" s="146"/>
      <c r="C151" s="146"/>
      <c r="D151" s="146"/>
      <c r="E151" s="159"/>
      <c r="F151" s="20" t="s">
        <v>115</v>
      </c>
      <c r="G151" s="9">
        <f>473840+72540+396652</f>
        <v>943032</v>
      </c>
      <c r="H151" s="9"/>
      <c r="I151" s="9">
        <f t="shared" si="6"/>
        <v>943032</v>
      </c>
      <c r="J151" s="143"/>
      <c r="K151" s="49"/>
    </row>
    <row r="152" spans="1:10" ht="93" customHeight="1">
      <c r="A152" s="72"/>
      <c r="B152" s="19"/>
      <c r="C152" s="19"/>
      <c r="D152" s="19"/>
      <c r="E152" s="41" t="s">
        <v>265</v>
      </c>
      <c r="F152" s="18"/>
      <c r="G152" s="57">
        <f aca="true" t="shared" si="7" ref="G152:I153">G153</f>
        <v>80000</v>
      </c>
      <c r="H152" s="57">
        <f t="shared" si="7"/>
        <v>0</v>
      </c>
      <c r="I152" s="57">
        <f t="shared" si="7"/>
        <v>80000</v>
      </c>
      <c r="J152" s="143"/>
    </row>
    <row r="153" spans="1:10" ht="98.25" customHeight="1">
      <c r="A153" s="72"/>
      <c r="B153" s="19" t="s">
        <v>266</v>
      </c>
      <c r="C153" s="19" t="s">
        <v>78</v>
      </c>
      <c r="D153" s="85"/>
      <c r="E153" s="20" t="s">
        <v>77</v>
      </c>
      <c r="F153" s="18"/>
      <c r="G153" s="9">
        <f t="shared" si="7"/>
        <v>80000</v>
      </c>
      <c r="H153" s="9">
        <f t="shared" si="7"/>
        <v>0</v>
      </c>
      <c r="I153" s="9">
        <f t="shared" si="7"/>
        <v>80000</v>
      </c>
      <c r="J153" s="143"/>
    </row>
    <row r="154" spans="1:11" s="32" customFormat="1" ht="150" customHeight="1">
      <c r="A154" s="74"/>
      <c r="B154" s="30" t="s">
        <v>267</v>
      </c>
      <c r="C154" s="30" t="s">
        <v>79</v>
      </c>
      <c r="D154" s="30" t="s">
        <v>9</v>
      </c>
      <c r="E154" s="28" t="s">
        <v>75</v>
      </c>
      <c r="F154" s="31" t="s">
        <v>111</v>
      </c>
      <c r="G154" s="34">
        <v>80000</v>
      </c>
      <c r="H154" s="34"/>
      <c r="I154" s="34">
        <f>G154+H154</f>
        <v>80000</v>
      </c>
      <c r="J154" s="143"/>
      <c r="K154" s="51"/>
    </row>
    <row r="155" spans="1:10" ht="114.75" customHeight="1">
      <c r="A155" s="72"/>
      <c r="B155" s="19"/>
      <c r="C155" s="19"/>
      <c r="D155" s="19"/>
      <c r="E155" s="41" t="s">
        <v>268</v>
      </c>
      <c r="F155" s="18"/>
      <c r="G155" s="57">
        <f>G156+G157+G158+G159+G165+G163</f>
        <v>3805498</v>
      </c>
      <c r="H155" s="57">
        <f>H156+H157+H158+H159+H165+H163</f>
        <v>3526400</v>
      </c>
      <c r="I155" s="57">
        <f>I156+I157+I158+I159+I165+I163</f>
        <v>7331898</v>
      </c>
      <c r="J155" s="143"/>
    </row>
    <row r="156" spans="1:10" ht="168.75" customHeight="1">
      <c r="A156" s="72"/>
      <c r="B156" s="78" t="s">
        <v>269</v>
      </c>
      <c r="C156" s="78" t="s">
        <v>121</v>
      </c>
      <c r="D156" s="67" t="s">
        <v>2</v>
      </c>
      <c r="E156" s="80" t="s">
        <v>122</v>
      </c>
      <c r="F156" s="18" t="s">
        <v>53</v>
      </c>
      <c r="G156" s="9">
        <v>30000</v>
      </c>
      <c r="H156" s="57"/>
      <c r="I156" s="9">
        <f>G156+H156</f>
        <v>30000</v>
      </c>
      <c r="J156" s="143"/>
    </row>
    <row r="157" spans="1:10" ht="228.75" customHeight="1">
      <c r="A157" s="72"/>
      <c r="B157" s="19" t="s">
        <v>270</v>
      </c>
      <c r="C157" s="19" t="s">
        <v>152</v>
      </c>
      <c r="D157" s="19" t="s">
        <v>45</v>
      </c>
      <c r="E157" s="20" t="s">
        <v>153</v>
      </c>
      <c r="F157" s="18" t="s">
        <v>47</v>
      </c>
      <c r="G157" s="9">
        <f>10000+92000+5000+15000-5000+10000</f>
        <v>127000</v>
      </c>
      <c r="H157" s="9">
        <f>200000+12300-15000</f>
        <v>197300</v>
      </c>
      <c r="I157" s="9">
        <f>G157+H157</f>
        <v>324300</v>
      </c>
      <c r="J157" s="143"/>
    </row>
    <row r="158" spans="1:10" ht="222.75" customHeight="1">
      <c r="A158" s="72"/>
      <c r="B158" s="19" t="s">
        <v>271</v>
      </c>
      <c r="C158" s="19" t="s">
        <v>80</v>
      </c>
      <c r="D158" s="19" t="s">
        <v>44</v>
      </c>
      <c r="E158" s="20" t="s">
        <v>151</v>
      </c>
      <c r="F158" s="18" t="s">
        <v>47</v>
      </c>
      <c r="G158" s="9">
        <f>190000+338000+1000+96400+54700+4500+9000+20000+7013+15000+5333+20000+12000+15000+10000+6000+32100</f>
        <v>836046</v>
      </c>
      <c r="H158" s="9">
        <f>300000+766000+23000+7000+6000+10000+5000+9000+10000+23100-23000+10000+20000</f>
        <v>1166100</v>
      </c>
      <c r="I158" s="9">
        <f>G158+H158</f>
        <v>2002146</v>
      </c>
      <c r="J158" s="143"/>
    </row>
    <row r="159" spans="1:10" ht="66.75" customHeight="1">
      <c r="A159" s="72"/>
      <c r="B159" s="19" t="s">
        <v>383</v>
      </c>
      <c r="C159" s="19" t="s">
        <v>130</v>
      </c>
      <c r="D159" s="19"/>
      <c r="E159" s="20" t="s">
        <v>371</v>
      </c>
      <c r="F159" s="18"/>
      <c r="G159" s="9">
        <f>G160+G161+G162</f>
        <v>2752452</v>
      </c>
      <c r="H159" s="9">
        <f>H160+H161+H162</f>
        <v>0</v>
      </c>
      <c r="I159" s="9">
        <f>I160+I161+I162</f>
        <v>2752452</v>
      </c>
      <c r="J159" s="143"/>
    </row>
    <row r="160" spans="1:11" s="32" customFormat="1" ht="201" customHeight="1">
      <c r="A160" s="74"/>
      <c r="B160" s="30" t="s">
        <v>483</v>
      </c>
      <c r="C160" s="30" t="s">
        <v>413</v>
      </c>
      <c r="D160" s="30" t="s">
        <v>11</v>
      </c>
      <c r="E160" s="28" t="s">
        <v>414</v>
      </c>
      <c r="F160" s="31" t="s">
        <v>484</v>
      </c>
      <c r="G160" s="34">
        <v>20000</v>
      </c>
      <c r="H160" s="34"/>
      <c r="I160" s="34">
        <f>G160+H160</f>
        <v>20000</v>
      </c>
      <c r="J160" s="143"/>
      <c r="K160" s="51"/>
    </row>
    <row r="161" spans="1:11" s="32" customFormat="1" ht="165.75" customHeight="1">
      <c r="A161" s="74"/>
      <c r="B161" s="148" t="s">
        <v>384</v>
      </c>
      <c r="C161" s="148" t="s">
        <v>380</v>
      </c>
      <c r="D161" s="148" t="s">
        <v>11</v>
      </c>
      <c r="E161" s="166" t="s">
        <v>381</v>
      </c>
      <c r="F161" s="31" t="s">
        <v>46</v>
      </c>
      <c r="G161" s="34">
        <f>1900000+193952+186000+50000+70000+5000+10000+210000+100000</f>
        <v>2724952</v>
      </c>
      <c r="H161" s="34"/>
      <c r="I161" s="34">
        <f>G161+H161</f>
        <v>2724952</v>
      </c>
      <c r="J161" s="143"/>
      <c r="K161" s="51"/>
    </row>
    <row r="162" spans="1:11" s="32" customFormat="1" ht="243" customHeight="1">
      <c r="A162" s="74"/>
      <c r="B162" s="149"/>
      <c r="C162" s="149"/>
      <c r="D162" s="149"/>
      <c r="E162" s="167"/>
      <c r="F162" s="31" t="s">
        <v>485</v>
      </c>
      <c r="G162" s="34">
        <f>7500</f>
        <v>7500</v>
      </c>
      <c r="H162" s="34"/>
      <c r="I162" s="34">
        <f>G162+H162</f>
        <v>7500</v>
      </c>
      <c r="J162" s="143"/>
      <c r="K162" s="51"/>
    </row>
    <row r="163" spans="1:11" s="8" customFormat="1" ht="67.5" customHeight="1">
      <c r="A163" s="75"/>
      <c r="B163" s="128" t="s">
        <v>497</v>
      </c>
      <c r="C163" s="128" t="s">
        <v>443</v>
      </c>
      <c r="D163" s="128"/>
      <c r="E163" s="20" t="s">
        <v>445</v>
      </c>
      <c r="F163" s="18"/>
      <c r="G163" s="9">
        <f>G164</f>
        <v>0</v>
      </c>
      <c r="H163" s="9">
        <f>H164</f>
        <v>515000</v>
      </c>
      <c r="I163" s="9">
        <f>I164</f>
        <v>515000</v>
      </c>
      <c r="J163" s="143">
        <v>59</v>
      </c>
      <c r="K163" s="49"/>
    </row>
    <row r="164" spans="1:11" s="32" customFormat="1" ht="222" customHeight="1">
      <c r="A164" s="74"/>
      <c r="B164" s="112" t="s">
        <v>498</v>
      </c>
      <c r="C164" s="112" t="s">
        <v>444</v>
      </c>
      <c r="D164" s="112" t="s">
        <v>6</v>
      </c>
      <c r="E164" s="28" t="s">
        <v>446</v>
      </c>
      <c r="F164" s="18" t="s">
        <v>47</v>
      </c>
      <c r="G164" s="34"/>
      <c r="H164" s="34">
        <f>15000+500000</f>
        <v>515000</v>
      </c>
      <c r="I164" s="34">
        <f>G164+H164</f>
        <v>515000</v>
      </c>
      <c r="J164" s="143"/>
      <c r="K164" s="51"/>
    </row>
    <row r="165" spans="1:10" ht="159.75" customHeight="1">
      <c r="A165" s="72"/>
      <c r="B165" s="19" t="s">
        <v>272</v>
      </c>
      <c r="C165" s="19" t="s">
        <v>144</v>
      </c>
      <c r="D165" s="19" t="s">
        <v>30</v>
      </c>
      <c r="E165" s="20" t="s">
        <v>76</v>
      </c>
      <c r="F165" s="18" t="s">
        <v>116</v>
      </c>
      <c r="G165" s="9">
        <v>60000</v>
      </c>
      <c r="H165" s="9">
        <v>1648000</v>
      </c>
      <c r="I165" s="9">
        <f>G165+H165</f>
        <v>1708000</v>
      </c>
      <c r="J165" s="143"/>
    </row>
    <row r="166" spans="1:11" ht="117" customHeight="1">
      <c r="A166" s="72"/>
      <c r="B166" s="19"/>
      <c r="C166" s="19"/>
      <c r="D166" s="19"/>
      <c r="E166" s="41" t="s">
        <v>273</v>
      </c>
      <c r="F166" s="18"/>
      <c r="G166" s="57">
        <f>G167+G168+G169+G170+G176+G177+G178+G179+G180+G181+G182+G183+G184+G185+G186+G190+G191+G193+G194+G195+G197</f>
        <v>90253647.1</v>
      </c>
      <c r="H166" s="57">
        <f>H167+H168+H169+H170+H176+H177+H178+H179+H180+H181+H182+H183+H184+H185+H186+H190+H191+H193+H194+H195+H197</f>
        <v>158004371.1</v>
      </c>
      <c r="I166" s="57">
        <f>I167+I168+I169+I170+I176+I177+I178+I179+I180+I181+I182+I183+I184+I185+I186+I190+I191+I193+I194+I195+I197</f>
        <v>248258018.20000002</v>
      </c>
      <c r="J166" s="143"/>
      <c r="K166" s="47"/>
    </row>
    <row r="167" spans="1:10" ht="138.75" customHeight="1">
      <c r="A167" s="72"/>
      <c r="B167" s="78" t="s">
        <v>274</v>
      </c>
      <c r="C167" s="78" t="s">
        <v>121</v>
      </c>
      <c r="D167" s="67" t="s">
        <v>2</v>
      </c>
      <c r="E167" s="80" t="s">
        <v>122</v>
      </c>
      <c r="F167" s="18" t="s">
        <v>53</v>
      </c>
      <c r="G167" s="9">
        <f>40000</f>
        <v>40000</v>
      </c>
      <c r="H167" s="9"/>
      <c r="I167" s="9">
        <f>G167+H167</f>
        <v>40000</v>
      </c>
      <c r="J167" s="143"/>
    </row>
    <row r="168" spans="1:10" ht="144" customHeight="1">
      <c r="A168" s="72"/>
      <c r="B168" s="145" t="s">
        <v>397</v>
      </c>
      <c r="C168" s="145" t="s">
        <v>394</v>
      </c>
      <c r="D168" s="145" t="s">
        <v>43</v>
      </c>
      <c r="E168" s="157" t="s">
        <v>73</v>
      </c>
      <c r="F168" s="20" t="s">
        <v>325</v>
      </c>
      <c r="G168" s="9">
        <v>550000</v>
      </c>
      <c r="H168" s="9"/>
      <c r="I168" s="9">
        <f>G168+H168</f>
        <v>550000</v>
      </c>
      <c r="J168" s="143"/>
    </row>
    <row r="169" spans="1:10" ht="111" customHeight="1">
      <c r="A169" s="72"/>
      <c r="B169" s="146"/>
      <c r="C169" s="146"/>
      <c r="D169" s="146"/>
      <c r="E169" s="159"/>
      <c r="F169" s="20" t="s">
        <v>417</v>
      </c>
      <c r="G169" s="9">
        <v>15000</v>
      </c>
      <c r="H169" s="9"/>
      <c r="I169" s="9">
        <f>G169+H169</f>
        <v>15000</v>
      </c>
      <c r="J169" s="143"/>
    </row>
    <row r="170" spans="1:10" ht="114" customHeight="1">
      <c r="A170" s="72"/>
      <c r="B170" s="19" t="s">
        <v>275</v>
      </c>
      <c r="C170" s="19" t="s">
        <v>81</v>
      </c>
      <c r="D170" s="19"/>
      <c r="E170" s="20" t="s">
        <v>189</v>
      </c>
      <c r="F170" s="20"/>
      <c r="G170" s="9">
        <f>G171+G172+G173+G174+G175</f>
        <v>16556652</v>
      </c>
      <c r="H170" s="9">
        <f>H171+H172+H173+H174+H175</f>
        <v>66660581.6</v>
      </c>
      <c r="I170" s="9">
        <f>I171+I172+I173+I174+I175</f>
        <v>83217233.6</v>
      </c>
      <c r="J170" s="143"/>
    </row>
    <row r="171" spans="1:11" s="32" customFormat="1" ht="159" customHeight="1">
      <c r="A171" s="74"/>
      <c r="B171" s="71" t="s">
        <v>276</v>
      </c>
      <c r="C171" s="71" t="s">
        <v>190</v>
      </c>
      <c r="D171" s="71" t="s">
        <v>10</v>
      </c>
      <c r="E171" s="84" t="s">
        <v>191</v>
      </c>
      <c r="F171" s="28" t="s">
        <v>325</v>
      </c>
      <c r="G171" s="34"/>
      <c r="H171" s="34">
        <f>20000000+15000000-150000-4100000+20000+350000+92000+2000+2000+35000+83268+60000+25000+70000+1480000-38060+73000-8470+5000+45000+100000+972000</f>
        <v>34117738</v>
      </c>
      <c r="I171" s="34">
        <f aca="true" t="shared" si="8" ref="I171:I176">G171+H171</f>
        <v>34117738</v>
      </c>
      <c r="J171" s="143"/>
      <c r="K171" s="51"/>
    </row>
    <row r="172" spans="1:11" s="32" customFormat="1" ht="159" customHeight="1">
      <c r="A172" s="74"/>
      <c r="B172" s="35" t="s">
        <v>277</v>
      </c>
      <c r="C172" s="35" t="s">
        <v>194</v>
      </c>
      <c r="D172" s="30" t="s">
        <v>10</v>
      </c>
      <c r="E172" s="28" t="s">
        <v>195</v>
      </c>
      <c r="F172" s="28" t="s">
        <v>325</v>
      </c>
      <c r="G172" s="34">
        <f>3296000+3850142+550000+662656+1337344+60000+3000000+1000000+2090000</f>
        <v>15846142</v>
      </c>
      <c r="H172" s="34">
        <f>222622+320000-163158.4</f>
        <v>379463.6</v>
      </c>
      <c r="I172" s="34">
        <f t="shared" si="8"/>
        <v>16225605.6</v>
      </c>
      <c r="J172" s="143"/>
      <c r="K172" s="51"/>
    </row>
    <row r="173" spans="1:11" s="32" customFormat="1" ht="159" customHeight="1">
      <c r="A173" s="74"/>
      <c r="B173" s="35" t="s">
        <v>326</v>
      </c>
      <c r="C173" s="35" t="s">
        <v>327</v>
      </c>
      <c r="D173" s="30" t="s">
        <v>10</v>
      </c>
      <c r="E173" s="28" t="s">
        <v>328</v>
      </c>
      <c r="F173" s="33" t="s">
        <v>114</v>
      </c>
      <c r="G173" s="34">
        <f>350000+153000+3000+4520</f>
        <v>510520</v>
      </c>
      <c r="H173" s="34">
        <f>20000000+10000000-35000-7600</f>
        <v>29957400</v>
      </c>
      <c r="I173" s="34">
        <f t="shared" si="8"/>
        <v>30467920</v>
      </c>
      <c r="J173" s="143"/>
      <c r="K173" s="51"/>
    </row>
    <row r="174" spans="1:11" s="32" customFormat="1" ht="159" customHeight="1">
      <c r="A174" s="74"/>
      <c r="B174" s="97" t="s">
        <v>449</v>
      </c>
      <c r="C174" s="97" t="s">
        <v>450</v>
      </c>
      <c r="D174" s="30" t="s">
        <v>10</v>
      </c>
      <c r="E174" s="28" t="s">
        <v>451</v>
      </c>
      <c r="F174" s="28" t="s">
        <v>325</v>
      </c>
      <c r="G174" s="34"/>
      <c r="H174" s="34">
        <f>2178000+27980</f>
        <v>2205980</v>
      </c>
      <c r="I174" s="34">
        <f t="shared" si="8"/>
        <v>2205980</v>
      </c>
      <c r="J174" s="143"/>
      <c r="K174" s="51"/>
    </row>
    <row r="175" spans="1:11" s="32" customFormat="1" ht="153" customHeight="1">
      <c r="A175" s="74"/>
      <c r="B175" s="71" t="s">
        <v>278</v>
      </c>
      <c r="C175" s="71" t="s">
        <v>192</v>
      </c>
      <c r="D175" s="71" t="s">
        <v>10</v>
      </c>
      <c r="E175" s="84" t="s">
        <v>193</v>
      </c>
      <c r="F175" s="28" t="s">
        <v>325</v>
      </c>
      <c r="G175" s="34">
        <f>1000000-595300-204710</f>
        <v>199990</v>
      </c>
      <c r="H175" s="34"/>
      <c r="I175" s="34">
        <f t="shared" si="8"/>
        <v>199990</v>
      </c>
      <c r="J175" s="143"/>
      <c r="K175" s="51"/>
    </row>
    <row r="176" spans="1:11" s="32" customFormat="1" ht="150" customHeight="1">
      <c r="A176" s="74"/>
      <c r="B176" s="22" t="s">
        <v>279</v>
      </c>
      <c r="C176" s="22" t="s">
        <v>82</v>
      </c>
      <c r="D176" s="19" t="s">
        <v>10</v>
      </c>
      <c r="E176" s="89" t="s">
        <v>196</v>
      </c>
      <c r="F176" s="20" t="s">
        <v>325</v>
      </c>
      <c r="G176" s="9">
        <f>300000+6102960.7+20000+500000-496200</f>
        <v>6426760.7</v>
      </c>
      <c r="H176" s="9"/>
      <c r="I176" s="9">
        <f t="shared" si="8"/>
        <v>6426760.7</v>
      </c>
      <c r="J176" s="143"/>
      <c r="K176" s="51"/>
    </row>
    <row r="177" spans="1:10" ht="163.5" customHeight="1">
      <c r="A177" s="72"/>
      <c r="B177" s="152" t="s">
        <v>280</v>
      </c>
      <c r="C177" s="152" t="s">
        <v>176</v>
      </c>
      <c r="D177" s="145" t="s">
        <v>10</v>
      </c>
      <c r="E177" s="160" t="s">
        <v>177</v>
      </c>
      <c r="F177" s="20" t="s">
        <v>325</v>
      </c>
      <c r="G177" s="9">
        <f>50918600+4128000+3150000+2000000-428011-345568+1076474.45-757130-547750-10000-1567100+2800000-247489+500000-1440655.7-102277-5000-10000-5000-164200-5000-5000-321786.35-150000+500000-412000-2000-10000+500000-11000-25000-20000+200000-5000+101300+59000-60000+272435+55000+459000+190000+45000+50000-8000-380000+496200-23050</f>
        <v>60432992.4</v>
      </c>
      <c r="H177" s="9">
        <f>36288104+9000000+9000000+3150000-1000000-312300+497824+499005+500000-8558834-150000-56000-137000-434845-198030-185395-186000-488774-4920-175600-15116.65-75000-297115-46555-824004-130000-77000-500000-559000-1480000-99475-494000-116000+494000-37410-283300-59000-48000-8470-627609-55000-175720-969382-480154-20000-17000-285832+124000-89000</f>
        <v>39796092.35</v>
      </c>
      <c r="I177" s="9">
        <f aca="true" t="shared" si="9" ref="I177:I185">G177+H177</f>
        <v>100229084.75</v>
      </c>
      <c r="J177" s="143"/>
    </row>
    <row r="178" spans="1:10" ht="163.5" customHeight="1">
      <c r="A178" s="72"/>
      <c r="B178" s="153"/>
      <c r="C178" s="153"/>
      <c r="D178" s="146"/>
      <c r="E178" s="162"/>
      <c r="F178" s="21" t="s">
        <v>117</v>
      </c>
      <c r="G178" s="9">
        <f>319610</f>
        <v>319610</v>
      </c>
      <c r="H178" s="9">
        <v>900000</v>
      </c>
      <c r="I178" s="9">
        <f t="shared" si="9"/>
        <v>1219610</v>
      </c>
      <c r="J178" s="143">
        <v>60</v>
      </c>
    </row>
    <row r="179" spans="1:10" ht="163.5" customHeight="1">
      <c r="A179" s="72"/>
      <c r="B179" s="152" t="s">
        <v>307</v>
      </c>
      <c r="C179" s="152" t="s">
        <v>308</v>
      </c>
      <c r="D179" s="145" t="s">
        <v>330</v>
      </c>
      <c r="E179" s="160" t="s">
        <v>329</v>
      </c>
      <c r="F179" s="20" t="s">
        <v>325</v>
      </c>
      <c r="G179" s="9">
        <f>1450191+670875+879982-89982+150000+33880</f>
        <v>3094946</v>
      </c>
      <c r="H179" s="9"/>
      <c r="I179" s="9">
        <f t="shared" si="9"/>
        <v>3094946</v>
      </c>
      <c r="J179" s="143"/>
    </row>
    <row r="180" spans="1:10" ht="178.5" customHeight="1">
      <c r="A180" s="72"/>
      <c r="B180" s="153"/>
      <c r="C180" s="153"/>
      <c r="D180" s="146"/>
      <c r="E180" s="162"/>
      <c r="F180" s="20" t="s">
        <v>364</v>
      </c>
      <c r="G180" s="9">
        <f>391104+89982</f>
        <v>481086</v>
      </c>
      <c r="H180" s="9"/>
      <c r="I180" s="9">
        <f t="shared" si="9"/>
        <v>481086</v>
      </c>
      <c r="J180" s="143"/>
    </row>
    <row r="181" spans="1:10" ht="166.5" customHeight="1" hidden="1">
      <c r="A181" s="72"/>
      <c r="B181" s="122" t="s">
        <v>476</v>
      </c>
      <c r="C181" s="122" t="s">
        <v>174</v>
      </c>
      <c r="D181" s="116" t="s">
        <v>29</v>
      </c>
      <c r="E181" s="118" t="s">
        <v>477</v>
      </c>
      <c r="F181" s="20" t="s">
        <v>325</v>
      </c>
      <c r="G181" s="9">
        <f>490670-490670</f>
        <v>0</v>
      </c>
      <c r="H181" s="9"/>
      <c r="I181" s="9">
        <f t="shared" si="9"/>
        <v>0</v>
      </c>
      <c r="J181" s="143"/>
    </row>
    <row r="182" spans="1:10" ht="163.5" customHeight="1">
      <c r="A182" s="72"/>
      <c r="B182" s="145" t="s">
        <v>331</v>
      </c>
      <c r="C182" s="145" t="s">
        <v>332</v>
      </c>
      <c r="D182" s="145" t="s">
        <v>99</v>
      </c>
      <c r="E182" s="157" t="s">
        <v>333</v>
      </c>
      <c r="F182" s="20" t="s">
        <v>325</v>
      </c>
      <c r="G182" s="9"/>
      <c r="H182" s="9">
        <f>5317344+1595000-1500000+269000+1980000+20000+600000+200000-1337344-21000-1519000-8470+476594+21000+1519000+1000000-500000-1544656-147000-348557+156000+100000</f>
        <v>6327911</v>
      </c>
      <c r="I182" s="9">
        <f t="shared" si="9"/>
        <v>6327911</v>
      </c>
      <c r="J182" s="143"/>
    </row>
    <row r="183" spans="1:10" ht="163.5" customHeight="1">
      <c r="A183" s="72"/>
      <c r="B183" s="146"/>
      <c r="C183" s="146"/>
      <c r="D183" s="146"/>
      <c r="E183" s="159"/>
      <c r="F183" s="21" t="s">
        <v>117</v>
      </c>
      <c r="G183" s="9"/>
      <c r="H183" s="9">
        <f>17907850.13+1520000-21000-1519000-100000</f>
        <v>17787850.13</v>
      </c>
      <c r="I183" s="9">
        <f t="shared" si="9"/>
        <v>17787850.13</v>
      </c>
      <c r="J183" s="143"/>
    </row>
    <row r="184" spans="1:10" ht="163.5" customHeight="1">
      <c r="A184" s="72"/>
      <c r="B184" s="19" t="s">
        <v>334</v>
      </c>
      <c r="C184" s="19" t="s">
        <v>335</v>
      </c>
      <c r="D184" s="19" t="s">
        <v>99</v>
      </c>
      <c r="E184" s="20" t="s">
        <v>336</v>
      </c>
      <c r="F184" s="20" t="s">
        <v>325</v>
      </c>
      <c r="G184" s="9"/>
      <c r="H184" s="9">
        <f>1000000+4100000+250000+376800+700000-885000+20000+94000+30000-8470+200000+1403000-782015</f>
        <v>6498315</v>
      </c>
      <c r="I184" s="9">
        <f t="shared" si="9"/>
        <v>6498315</v>
      </c>
      <c r="J184" s="143"/>
    </row>
    <row r="185" spans="1:10" ht="163.5" customHeight="1">
      <c r="A185" s="72"/>
      <c r="B185" s="19" t="s">
        <v>281</v>
      </c>
      <c r="C185" s="19" t="s">
        <v>178</v>
      </c>
      <c r="D185" s="19" t="s">
        <v>99</v>
      </c>
      <c r="E185" s="20" t="s">
        <v>179</v>
      </c>
      <c r="F185" s="20" t="s">
        <v>325</v>
      </c>
      <c r="G185" s="9"/>
      <c r="H185" s="9">
        <f>1200000+2000000+1000000-1000000-946198</f>
        <v>2253802</v>
      </c>
      <c r="I185" s="9">
        <f t="shared" si="9"/>
        <v>2253802</v>
      </c>
      <c r="J185" s="143"/>
    </row>
    <row r="186" spans="1:11" s="8" customFormat="1" ht="82.5" customHeight="1">
      <c r="A186" s="75"/>
      <c r="B186" s="19" t="s">
        <v>452</v>
      </c>
      <c r="C186" s="19" t="s">
        <v>443</v>
      </c>
      <c r="D186" s="19"/>
      <c r="E186" s="20" t="s">
        <v>445</v>
      </c>
      <c r="F186" s="20"/>
      <c r="G186" s="9">
        <f>G187+G188</f>
        <v>0</v>
      </c>
      <c r="H186" s="9">
        <f>H187+H188+H189</f>
        <v>11512962.46</v>
      </c>
      <c r="I186" s="9">
        <f>I187+I188+I189</f>
        <v>11512962.46</v>
      </c>
      <c r="J186" s="143"/>
      <c r="K186" s="49"/>
    </row>
    <row r="187" spans="1:10" ht="178.5" customHeight="1">
      <c r="A187" s="72"/>
      <c r="B187" s="30" t="s">
        <v>469</v>
      </c>
      <c r="C187" s="30" t="s">
        <v>470</v>
      </c>
      <c r="D187" s="30" t="s">
        <v>6</v>
      </c>
      <c r="E187" s="28" t="s">
        <v>471</v>
      </c>
      <c r="F187" s="28" t="s">
        <v>325</v>
      </c>
      <c r="G187" s="34"/>
      <c r="H187" s="34">
        <v>426739</v>
      </c>
      <c r="I187" s="34">
        <f>G187+H187</f>
        <v>426739</v>
      </c>
      <c r="J187" s="143"/>
    </row>
    <row r="188" spans="1:11" s="32" customFormat="1" ht="163.5" customHeight="1">
      <c r="A188" s="74"/>
      <c r="B188" s="148" t="s">
        <v>453</v>
      </c>
      <c r="C188" s="148" t="s">
        <v>444</v>
      </c>
      <c r="D188" s="148" t="s">
        <v>6</v>
      </c>
      <c r="E188" s="166" t="s">
        <v>446</v>
      </c>
      <c r="F188" s="28" t="s">
        <v>325</v>
      </c>
      <c r="G188" s="34"/>
      <c r="H188" s="34">
        <f>3646223.46+200000</f>
        <v>3846223.46</v>
      </c>
      <c r="I188" s="34">
        <f>G188+H188</f>
        <v>3846223.46</v>
      </c>
      <c r="J188" s="143"/>
      <c r="K188" s="51"/>
    </row>
    <row r="189" spans="1:11" s="32" customFormat="1" ht="163.5" customHeight="1">
      <c r="A189" s="74"/>
      <c r="B189" s="149"/>
      <c r="C189" s="149"/>
      <c r="D189" s="149"/>
      <c r="E189" s="167"/>
      <c r="F189" s="33" t="s">
        <v>117</v>
      </c>
      <c r="G189" s="34"/>
      <c r="H189" s="34">
        <v>7240000</v>
      </c>
      <c r="I189" s="34">
        <f>G189+H189</f>
        <v>7240000</v>
      </c>
      <c r="J189" s="143"/>
      <c r="K189" s="51"/>
    </row>
    <row r="190" spans="1:11" s="32" customFormat="1" ht="165" customHeight="1">
      <c r="A190" s="74"/>
      <c r="B190" s="19" t="s">
        <v>282</v>
      </c>
      <c r="C190" s="19" t="s">
        <v>144</v>
      </c>
      <c r="D190" s="19" t="s">
        <v>30</v>
      </c>
      <c r="E190" s="20" t="s">
        <v>76</v>
      </c>
      <c r="F190" s="20" t="s">
        <v>325</v>
      </c>
      <c r="G190" s="9">
        <v>1500000</v>
      </c>
      <c r="H190" s="9">
        <f>2000000-2000000</f>
        <v>0</v>
      </c>
      <c r="I190" s="9">
        <f>G190+H190</f>
        <v>1500000</v>
      </c>
      <c r="J190" s="143"/>
      <c r="K190" s="51"/>
    </row>
    <row r="191" spans="1:10" ht="87" customHeight="1">
      <c r="A191" s="72"/>
      <c r="B191" s="19" t="s">
        <v>288</v>
      </c>
      <c r="C191" s="19" t="s">
        <v>135</v>
      </c>
      <c r="D191" s="19"/>
      <c r="E191" s="90" t="s">
        <v>136</v>
      </c>
      <c r="F191" s="18"/>
      <c r="G191" s="9">
        <f>G192</f>
        <v>0</v>
      </c>
      <c r="H191" s="9">
        <f>H192</f>
        <v>938334.69</v>
      </c>
      <c r="I191" s="9">
        <f>I192</f>
        <v>938334.69</v>
      </c>
      <c r="J191" s="143"/>
    </row>
    <row r="192" spans="1:10" ht="345" customHeight="1">
      <c r="A192" s="72"/>
      <c r="B192" s="30" t="s">
        <v>385</v>
      </c>
      <c r="C192" s="30" t="s">
        <v>386</v>
      </c>
      <c r="D192" s="30" t="s">
        <v>6</v>
      </c>
      <c r="E192" s="28" t="s">
        <v>410</v>
      </c>
      <c r="F192" s="28" t="s">
        <v>325</v>
      </c>
      <c r="G192" s="34"/>
      <c r="H192" s="34">
        <f>880000+58334.69</f>
        <v>938334.69</v>
      </c>
      <c r="I192" s="34">
        <f>G192+H192</f>
        <v>938334.69</v>
      </c>
      <c r="J192" s="143">
        <v>61</v>
      </c>
    </row>
    <row r="193" spans="1:10" ht="163.5" customHeight="1">
      <c r="A193" s="72"/>
      <c r="B193" s="19" t="s">
        <v>283</v>
      </c>
      <c r="C193" s="19" t="s">
        <v>197</v>
      </c>
      <c r="D193" s="19" t="s">
        <v>20</v>
      </c>
      <c r="E193" s="20" t="s">
        <v>19</v>
      </c>
      <c r="F193" s="21" t="s">
        <v>117</v>
      </c>
      <c r="G193" s="9">
        <v>76600</v>
      </c>
      <c r="H193" s="9"/>
      <c r="I193" s="9">
        <f>G193+H193</f>
        <v>76600</v>
      </c>
      <c r="J193" s="143"/>
    </row>
    <row r="194" spans="1:10" ht="141" customHeight="1">
      <c r="A194" s="72"/>
      <c r="B194" s="19" t="s">
        <v>285</v>
      </c>
      <c r="C194" s="19" t="s">
        <v>133</v>
      </c>
      <c r="D194" s="19" t="s">
        <v>14</v>
      </c>
      <c r="E194" s="20" t="s">
        <v>134</v>
      </c>
      <c r="F194" s="21" t="s">
        <v>117</v>
      </c>
      <c r="G194" s="9"/>
      <c r="H194" s="9">
        <f>3251500-1000000+1000000+2158113.87+778000-5000</f>
        <v>6182613.87</v>
      </c>
      <c r="I194" s="9">
        <f>G194+H194</f>
        <v>6182613.87</v>
      </c>
      <c r="J194" s="143"/>
    </row>
    <row r="195" spans="1:10" ht="108.75" customHeight="1">
      <c r="A195" s="72"/>
      <c r="B195" s="19" t="s">
        <v>286</v>
      </c>
      <c r="C195" s="19" t="s">
        <v>180</v>
      </c>
      <c r="D195" s="19"/>
      <c r="E195" s="20" t="s">
        <v>182</v>
      </c>
      <c r="F195" s="21"/>
      <c r="G195" s="9">
        <f>G196</f>
        <v>0</v>
      </c>
      <c r="H195" s="9">
        <f>H196</f>
        <v>-2074092</v>
      </c>
      <c r="I195" s="9">
        <f>I196</f>
        <v>-2074092</v>
      </c>
      <c r="J195" s="143"/>
    </row>
    <row r="196" spans="1:11" s="32" customFormat="1" ht="159" customHeight="1">
      <c r="A196" s="74"/>
      <c r="B196" s="30" t="s">
        <v>287</v>
      </c>
      <c r="C196" s="30" t="s">
        <v>181</v>
      </c>
      <c r="D196" s="30" t="s">
        <v>6</v>
      </c>
      <c r="E196" s="91" t="s">
        <v>198</v>
      </c>
      <c r="F196" s="28" t="s">
        <v>325</v>
      </c>
      <c r="G196" s="34"/>
      <c r="H196" s="34">
        <v>-2074092</v>
      </c>
      <c r="I196" s="34">
        <f>G196+H196</f>
        <v>-2074092</v>
      </c>
      <c r="J196" s="143"/>
      <c r="K196" s="51"/>
    </row>
    <row r="197" spans="1:11" s="32" customFormat="1" ht="174" customHeight="1">
      <c r="A197" s="74"/>
      <c r="B197" s="22" t="s">
        <v>284</v>
      </c>
      <c r="C197" s="22" t="s">
        <v>131</v>
      </c>
      <c r="D197" s="19" t="s">
        <v>31</v>
      </c>
      <c r="E197" s="20" t="s">
        <v>132</v>
      </c>
      <c r="F197" s="20" t="s">
        <v>325</v>
      </c>
      <c r="G197" s="9">
        <v>760000</v>
      </c>
      <c r="H197" s="9">
        <v>1220000</v>
      </c>
      <c r="I197" s="9">
        <f>G197+H197</f>
        <v>1980000</v>
      </c>
      <c r="J197" s="143"/>
      <c r="K197" s="51"/>
    </row>
    <row r="198" spans="1:11" s="32" customFormat="1" ht="126" customHeight="1" hidden="1">
      <c r="A198" s="74"/>
      <c r="B198" s="40"/>
      <c r="C198" s="40"/>
      <c r="D198" s="40"/>
      <c r="E198" s="41" t="s">
        <v>301</v>
      </c>
      <c r="F198" s="42"/>
      <c r="G198" s="57">
        <f>G199</f>
        <v>0</v>
      </c>
      <c r="H198" s="57">
        <f>H199</f>
        <v>0</v>
      </c>
      <c r="I198" s="57">
        <f>I199</f>
        <v>0</v>
      </c>
      <c r="J198" s="143"/>
      <c r="K198" s="51"/>
    </row>
    <row r="199" spans="1:11" s="32" customFormat="1" ht="132" customHeight="1" hidden="1">
      <c r="A199" s="74"/>
      <c r="B199" s="19" t="s">
        <v>337</v>
      </c>
      <c r="C199" s="19" t="s">
        <v>308</v>
      </c>
      <c r="D199" s="19" t="s">
        <v>330</v>
      </c>
      <c r="E199" s="23" t="s">
        <v>329</v>
      </c>
      <c r="F199" s="23" t="s">
        <v>338</v>
      </c>
      <c r="G199" s="9">
        <f>540000-50000-140000-256112-93888</f>
        <v>0</v>
      </c>
      <c r="H199" s="9"/>
      <c r="I199" s="9">
        <f>G199+H199</f>
        <v>0</v>
      </c>
      <c r="J199" s="143"/>
      <c r="K199" s="51"/>
    </row>
    <row r="200" spans="1:11" s="7" customFormat="1" ht="111.75" customHeight="1">
      <c r="A200" s="76"/>
      <c r="B200" s="40"/>
      <c r="C200" s="40"/>
      <c r="D200" s="40"/>
      <c r="E200" s="41" t="s">
        <v>292</v>
      </c>
      <c r="F200" s="42"/>
      <c r="G200" s="57">
        <f>G201+G202+G203+G207+G208+G213+G214+G215+G218+G220+G222+G223</f>
        <v>108029155</v>
      </c>
      <c r="H200" s="57">
        <f>H201+H202+H203+H207+H208+H213+H214+H215+H218+H220+H222+H223</f>
        <v>228086260.23</v>
      </c>
      <c r="I200" s="57">
        <f>I201+I202+I203+I207+I208+I213+I214+I215+I218+I220+I222+I223</f>
        <v>336115415.22999996</v>
      </c>
      <c r="J200" s="143"/>
      <c r="K200" s="53"/>
    </row>
    <row r="201" spans="1:10" ht="156" customHeight="1">
      <c r="A201" s="72"/>
      <c r="B201" s="77" t="s">
        <v>293</v>
      </c>
      <c r="C201" s="77" t="s">
        <v>121</v>
      </c>
      <c r="D201" s="67" t="s">
        <v>2</v>
      </c>
      <c r="E201" s="80" t="s">
        <v>122</v>
      </c>
      <c r="F201" s="18" t="s">
        <v>53</v>
      </c>
      <c r="G201" s="9"/>
      <c r="H201" s="9">
        <v>10000</v>
      </c>
      <c r="I201" s="9">
        <f>G201+H201</f>
        <v>10000</v>
      </c>
      <c r="J201" s="143"/>
    </row>
    <row r="202" spans="1:10" ht="180" customHeight="1">
      <c r="A202" s="72"/>
      <c r="B202" s="19" t="s">
        <v>294</v>
      </c>
      <c r="C202" s="19" t="s">
        <v>176</v>
      </c>
      <c r="D202" s="19" t="s">
        <v>10</v>
      </c>
      <c r="E202" s="20" t="s">
        <v>177</v>
      </c>
      <c r="F202" s="20" t="s">
        <v>325</v>
      </c>
      <c r="G202" s="9">
        <f>40000000+20000000-2000000+20000000+15000000+13000000-10000000+3000000+4969382+2030618</f>
        <v>106000000</v>
      </c>
      <c r="H202" s="9">
        <f>60000000+30000000-3248000+263500+1000000+7000000+2000000-2030618</f>
        <v>94984882</v>
      </c>
      <c r="I202" s="9">
        <f>G202+H202</f>
        <v>200984882</v>
      </c>
      <c r="J202" s="143"/>
    </row>
    <row r="203" spans="1:10" ht="147" customHeight="1">
      <c r="A203" s="72"/>
      <c r="B203" s="19" t="s">
        <v>295</v>
      </c>
      <c r="C203" s="19" t="s">
        <v>187</v>
      </c>
      <c r="D203" s="19"/>
      <c r="E203" s="20" t="s">
        <v>188</v>
      </c>
      <c r="F203" s="23"/>
      <c r="G203" s="9">
        <f>G204+G206+G205</f>
        <v>84912.35</v>
      </c>
      <c r="H203" s="9">
        <f>H204+H206+H205</f>
        <v>757740.69</v>
      </c>
      <c r="I203" s="9">
        <f>I204+I206+I205</f>
        <v>842653.04</v>
      </c>
      <c r="J203" s="143"/>
    </row>
    <row r="204" spans="1:11" s="32" customFormat="1" ht="168" customHeight="1">
      <c r="A204" s="74"/>
      <c r="B204" s="30" t="s">
        <v>472</v>
      </c>
      <c r="C204" s="30" t="s">
        <v>473</v>
      </c>
      <c r="D204" s="30" t="s">
        <v>28</v>
      </c>
      <c r="E204" s="28" t="s">
        <v>474</v>
      </c>
      <c r="F204" s="36" t="s">
        <v>370</v>
      </c>
      <c r="G204" s="34"/>
      <c r="H204" s="34">
        <f>250000+250000</f>
        <v>500000</v>
      </c>
      <c r="I204" s="34">
        <f>G204+H204</f>
        <v>500000</v>
      </c>
      <c r="J204" s="143"/>
      <c r="K204" s="51"/>
    </row>
    <row r="205" spans="1:11" s="32" customFormat="1" ht="222" customHeight="1">
      <c r="A205" s="74"/>
      <c r="B205" s="30" t="s">
        <v>500</v>
      </c>
      <c r="C205" s="30" t="s">
        <v>501</v>
      </c>
      <c r="D205" s="30" t="s">
        <v>28</v>
      </c>
      <c r="E205" s="28" t="s">
        <v>502</v>
      </c>
      <c r="F205" s="36" t="s">
        <v>370</v>
      </c>
      <c r="G205" s="34"/>
      <c r="H205" s="34">
        <v>200000</v>
      </c>
      <c r="I205" s="34">
        <f>G205+H205</f>
        <v>200000</v>
      </c>
      <c r="J205" s="143"/>
      <c r="K205" s="51"/>
    </row>
    <row r="206" spans="1:10" ht="202.5" customHeight="1">
      <c r="A206" s="72"/>
      <c r="B206" s="30" t="s">
        <v>296</v>
      </c>
      <c r="C206" s="30" t="s">
        <v>185</v>
      </c>
      <c r="D206" s="30" t="s">
        <v>28</v>
      </c>
      <c r="E206" s="28" t="s">
        <v>186</v>
      </c>
      <c r="F206" s="36" t="s">
        <v>339</v>
      </c>
      <c r="G206" s="34">
        <f>84906+6.35</f>
        <v>84912.35</v>
      </c>
      <c r="H206" s="34">
        <f>39048+18692.69</f>
        <v>57740.69</v>
      </c>
      <c r="I206" s="34">
        <f>G206+H206</f>
        <v>142653.04</v>
      </c>
      <c r="J206" s="143">
        <v>62</v>
      </c>
    </row>
    <row r="207" spans="1:10" ht="174" customHeight="1">
      <c r="A207" s="72"/>
      <c r="B207" s="19" t="s">
        <v>340</v>
      </c>
      <c r="C207" s="19" t="s">
        <v>332</v>
      </c>
      <c r="D207" s="19" t="s">
        <v>99</v>
      </c>
      <c r="E207" s="20" t="s">
        <v>333</v>
      </c>
      <c r="F207" s="23" t="s">
        <v>370</v>
      </c>
      <c r="G207" s="9"/>
      <c r="H207" s="9">
        <f>9900000+42500+8500+50000-400000-100000+2000000-2000000-38200+65065+122500</f>
        <v>9650365</v>
      </c>
      <c r="I207" s="9">
        <f>G207+H207</f>
        <v>9650365</v>
      </c>
      <c r="J207" s="143"/>
    </row>
    <row r="208" spans="1:10" ht="96" customHeight="1">
      <c r="A208" s="72"/>
      <c r="B208" s="19" t="s">
        <v>341</v>
      </c>
      <c r="C208" s="19" t="s">
        <v>342</v>
      </c>
      <c r="D208" s="19"/>
      <c r="E208" s="20" t="s">
        <v>343</v>
      </c>
      <c r="F208" s="23"/>
      <c r="G208" s="9">
        <f>G209+G210+G211+G212</f>
        <v>0</v>
      </c>
      <c r="H208" s="9">
        <f>H209+H210+H211+H212</f>
        <v>17099932</v>
      </c>
      <c r="I208" s="9">
        <f>I209+I210+I211+I212</f>
        <v>17099932</v>
      </c>
      <c r="J208" s="143"/>
    </row>
    <row r="209" spans="1:10" ht="153" customHeight="1">
      <c r="A209" s="72"/>
      <c r="B209" s="148" t="s">
        <v>344</v>
      </c>
      <c r="C209" s="148" t="s">
        <v>345</v>
      </c>
      <c r="D209" s="148" t="s">
        <v>99</v>
      </c>
      <c r="E209" s="166" t="s">
        <v>346</v>
      </c>
      <c r="F209" s="36" t="s">
        <v>370</v>
      </c>
      <c r="G209" s="34"/>
      <c r="H209" s="34">
        <f>3741000+7000000+221500+603037+318-653355-125500+251000+500000+100000-50000+400000-3000000-60600-3500000+30000+490000+500000-487000+70000-12823+1379000-391000</f>
        <v>7005577</v>
      </c>
      <c r="I209" s="34">
        <f aca="true" t="shared" si="10" ref="I209:I214">G209+H209</f>
        <v>7005577</v>
      </c>
      <c r="J209" s="143"/>
    </row>
    <row r="210" spans="1:11" s="32" customFormat="1" ht="147" customHeight="1">
      <c r="A210" s="74"/>
      <c r="B210" s="149"/>
      <c r="C210" s="149"/>
      <c r="D210" s="149"/>
      <c r="E210" s="167"/>
      <c r="F210" s="31" t="s">
        <v>116</v>
      </c>
      <c r="G210" s="34"/>
      <c r="H210" s="34">
        <v>653355</v>
      </c>
      <c r="I210" s="34">
        <f t="shared" si="10"/>
        <v>653355</v>
      </c>
      <c r="J210" s="143"/>
      <c r="K210" s="51"/>
    </row>
    <row r="211" spans="1:10" ht="132" customHeight="1">
      <c r="A211" s="72"/>
      <c r="B211" s="30" t="s">
        <v>347</v>
      </c>
      <c r="C211" s="30" t="s">
        <v>348</v>
      </c>
      <c r="D211" s="30" t="s">
        <v>99</v>
      </c>
      <c r="E211" s="28" t="s">
        <v>349</v>
      </c>
      <c r="F211" s="36" t="s">
        <v>370</v>
      </c>
      <c r="G211" s="34"/>
      <c r="H211" s="34">
        <f>5500000+259000-150000-37000-12000-480000-100000+100000-700000</f>
        <v>4380000</v>
      </c>
      <c r="I211" s="34">
        <f t="shared" si="10"/>
        <v>4380000</v>
      </c>
      <c r="J211" s="143"/>
    </row>
    <row r="212" spans="1:10" ht="135" customHeight="1">
      <c r="A212" s="72"/>
      <c r="B212" s="30" t="s">
        <v>350</v>
      </c>
      <c r="C212" s="30" t="s">
        <v>351</v>
      </c>
      <c r="D212" s="30" t="s">
        <v>99</v>
      </c>
      <c r="E212" s="28" t="s">
        <v>352</v>
      </c>
      <c r="F212" s="36" t="s">
        <v>370</v>
      </c>
      <c r="G212" s="34"/>
      <c r="H212" s="34">
        <f>8500000-125000-580000-234000+100000-2900000+300000</f>
        <v>5061000</v>
      </c>
      <c r="I212" s="34">
        <f t="shared" si="10"/>
        <v>5061000</v>
      </c>
      <c r="J212" s="143"/>
    </row>
    <row r="213" spans="1:10" ht="147" customHeight="1">
      <c r="A213" s="72"/>
      <c r="B213" s="19" t="s">
        <v>353</v>
      </c>
      <c r="C213" s="19" t="s">
        <v>335</v>
      </c>
      <c r="D213" s="19" t="s">
        <v>99</v>
      </c>
      <c r="E213" s="20" t="s">
        <v>336</v>
      </c>
      <c r="F213" s="23" t="s">
        <v>370</v>
      </c>
      <c r="G213" s="9"/>
      <c r="H213" s="9">
        <f>30359000+870000-1111500+240000+300000+998900+425207+489680+498116+409160+482174+998774+468130+100000+1000+8500-448500+100000+234845+600000+1000000+215000+1741000+127400-800000-33200+255800-500000+4000000+75000+200000+75000-29000+275000-9000-2570000+2460000+100000+48000-513000+235500-14042+50000-750000+433000+100000-122500</f>
        <v>42073444</v>
      </c>
      <c r="I213" s="9">
        <f t="shared" si="10"/>
        <v>42073444</v>
      </c>
      <c r="J213" s="143"/>
    </row>
    <row r="214" spans="1:10" ht="138" customHeight="1">
      <c r="A214" s="72"/>
      <c r="B214" s="19" t="s">
        <v>428</v>
      </c>
      <c r="C214" s="19" t="s">
        <v>178</v>
      </c>
      <c r="D214" s="19" t="s">
        <v>99</v>
      </c>
      <c r="E214" s="20" t="s">
        <v>179</v>
      </c>
      <c r="F214" s="23" t="s">
        <v>370</v>
      </c>
      <c r="G214" s="9"/>
      <c r="H214" s="9">
        <f>650000-150000+500000+1200000</f>
        <v>2200000</v>
      </c>
      <c r="I214" s="9">
        <f t="shared" si="10"/>
        <v>2200000</v>
      </c>
      <c r="J214" s="143"/>
    </row>
    <row r="215" spans="1:11" s="8" customFormat="1" ht="57" customHeight="1">
      <c r="A215" s="75"/>
      <c r="B215" s="19" t="s">
        <v>466</v>
      </c>
      <c r="C215" s="19" t="s">
        <v>443</v>
      </c>
      <c r="D215" s="19"/>
      <c r="E215" s="20" t="s">
        <v>445</v>
      </c>
      <c r="F215" s="20"/>
      <c r="G215" s="9">
        <f>G217</f>
        <v>0</v>
      </c>
      <c r="H215" s="9">
        <f>H217+H216</f>
        <v>1137993</v>
      </c>
      <c r="I215" s="9">
        <f>I217+I216</f>
        <v>1137993</v>
      </c>
      <c r="J215" s="143"/>
      <c r="K215" s="49"/>
    </row>
    <row r="216" spans="1:11" s="8" customFormat="1" ht="135" customHeight="1">
      <c r="A216" s="75"/>
      <c r="B216" s="30" t="s">
        <v>503</v>
      </c>
      <c r="C216" s="30" t="s">
        <v>470</v>
      </c>
      <c r="D216" s="19" t="s">
        <v>6</v>
      </c>
      <c r="E216" s="20" t="s">
        <v>471</v>
      </c>
      <c r="F216" s="36" t="s">
        <v>370</v>
      </c>
      <c r="G216" s="9"/>
      <c r="H216" s="9">
        <v>504600</v>
      </c>
      <c r="I216" s="34">
        <f>G216+H216</f>
        <v>504600</v>
      </c>
      <c r="J216" s="143"/>
      <c r="K216" s="49"/>
    </row>
    <row r="217" spans="1:11" s="32" customFormat="1" ht="180" customHeight="1">
      <c r="A217" s="74"/>
      <c r="B217" s="30" t="s">
        <v>467</v>
      </c>
      <c r="C217" s="30" t="s">
        <v>444</v>
      </c>
      <c r="D217" s="30" t="s">
        <v>6</v>
      </c>
      <c r="E217" s="28" t="s">
        <v>446</v>
      </c>
      <c r="F217" s="36" t="s">
        <v>370</v>
      </c>
      <c r="G217" s="34"/>
      <c r="H217" s="34">
        <f>289447+34946+9000+300000</f>
        <v>633393</v>
      </c>
      <c r="I217" s="34">
        <f>G217+H217</f>
        <v>633393</v>
      </c>
      <c r="J217" s="143"/>
      <c r="K217" s="51"/>
    </row>
    <row r="218" spans="1:11" s="32" customFormat="1" ht="66" customHeight="1">
      <c r="A218" s="74"/>
      <c r="B218" s="19">
        <v>1517440</v>
      </c>
      <c r="C218" s="19" t="s">
        <v>456</v>
      </c>
      <c r="D218" s="19"/>
      <c r="E218" s="20" t="s">
        <v>458</v>
      </c>
      <c r="F218" s="18"/>
      <c r="G218" s="9">
        <f>G219</f>
        <v>0</v>
      </c>
      <c r="H218" s="9">
        <f>H219</f>
        <v>73389.14</v>
      </c>
      <c r="I218" s="9">
        <f>I219</f>
        <v>73389.14</v>
      </c>
      <c r="J218" s="143"/>
      <c r="K218" s="51"/>
    </row>
    <row r="219" spans="1:11" s="32" customFormat="1" ht="159" customHeight="1">
      <c r="A219" s="74"/>
      <c r="B219" s="30" t="s">
        <v>455</v>
      </c>
      <c r="C219" s="30" t="s">
        <v>457</v>
      </c>
      <c r="D219" s="30" t="s">
        <v>401</v>
      </c>
      <c r="E219" s="28" t="s">
        <v>459</v>
      </c>
      <c r="F219" s="20" t="s">
        <v>325</v>
      </c>
      <c r="G219" s="34"/>
      <c r="H219" s="34">
        <v>73389.14</v>
      </c>
      <c r="I219" s="34">
        <f>G219+H219</f>
        <v>73389.14</v>
      </c>
      <c r="J219" s="143"/>
      <c r="K219" s="51"/>
    </row>
    <row r="220" spans="1:11" s="8" customFormat="1" ht="159" customHeight="1">
      <c r="A220" s="75"/>
      <c r="B220" s="19" t="s">
        <v>486</v>
      </c>
      <c r="C220" s="19" t="s">
        <v>487</v>
      </c>
      <c r="D220" s="19"/>
      <c r="E220" s="124" t="s">
        <v>488</v>
      </c>
      <c r="F220" s="20"/>
      <c r="G220" s="9">
        <f>G221</f>
        <v>0</v>
      </c>
      <c r="H220" s="9">
        <f>H221</f>
        <v>41900000</v>
      </c>
      <c r="I220" s="9">
        <f>I221</f>
        <v>41900000</v>
      </c>
      <c r="J220" s="143"/>
      <c r="K220" s="49"/>
    </row>
    <row r="221" spans="1:11" s="32" customFormat="1" ht="159" customHeight="1">
      <c r="A221" s="74"/>
      <c r="B221" s="30" t="s">
        <v>489</v>
      </c>
      <c r="C221" s="30" t="s">
        <v>490</v>
      </c>
      <c r="D221" s="30" t="s">
        <v>401</v>
      </c>
      <c r="E221" s="125" t="s">
        <v>491</v>
      </c>
      <c r="F221" s="36" t="s">
        <v>370</v>
      </c>
      <c r="G221" s="34"/>
      <c r="H221" s="34">
        <f>45900000-4000000</f>
        <v>41900000</v>
      </c>
      <c r="I221" s="34">
        <f>G221+H221</f>
        <v>41900000</v>
      </c>
      <c r="J221" s="143"/>
      <c r="K221" s="51"/>
    </row>
    <row r="222" spans="1:10" ht="121.5" customHeight="1">
      <c r="A222" s="72"/>
      <c r="B222" s="19" t="s">
        <v>297</v>
      </c>
      <c r="C222" s="19" t="s">
        <v>144</v>
      </c>
      <c r="D222" s="19" t="s">
        <v>30</v>
      </c>
      <c r="E222" s="20" t="s">
        <v>76</v>
      </c>
      <c r="F222" s="18" t="s">
        <v>116</v>
      </c>
      <c r="G222" s="9">
        <f>529155+160000-160000</f>
        <v>529155</v>
      </c>
      <c r="H222" s="9">
        <f>18557000+529155-160000+160000-551000-629000</f>
        <v>17906155</v>
      </c>
      <c r="I222" s="9">
        <f>G222+H222</f>
        <v>18435310</v>
      </c>
      <c r="J222" s="143">
        <v>63</v>
      </c>
    </row>
    <row r="223" spans="1:11" s="8" customFormat="1" ht="141.75" customHeight="1">
      <c r="A223" s="75"/>
      <c r="B223" s="19" t="s">
        <v>468</v>
      </c>
      <c r="C223" s="19" t="s">
        <v>464</v>
      </c>
      <c r="D223" s="19"/>
      <c r="E223" s="20" t="s">
        <v>465</v>
      </c>
      <c r="F223" s="23"/>
      <c r="G223" s="9">
        <f>G224+G225</f>
        <v>1415087.65</v>
      </c>
      <c r="H223" s="9">
        <f>H224+H225</f>
        <v>292359.4</v>
      </c>
      <c r="I223" s="9">
        <f>I224+I225</f>
        <v>1707447.0499999998</v>
      </c>
      <c r="J223" s="143"/>
      <c r="K223" s="49"/>
    </row>
    <row r="224" spans="1:11" s="32" customFormat="1" ht="92.25" customHeight="1">
      <c r="A224" s="74"/>
      <c r="B224" s="30" t="s">
        <v>462</v>
      </c>
      <c r="C224" s="30" t="s">
        <v>460</v>
      </c>
      <c r="D224" s="30" t="s">
        <v>5</v>
      </c>
      <c r="E224" s="28" t="s">
        <v>183</v>
      </c>
      <c r="F224" s="36" t="s">
        <v>339</v>
      </c>
      <c r="G224" s="34">
        <f>1415094-6.35</f>
        <v>1415087.65</v>
      </c>
      <c r="H224" s="34">
        <f>650810+311549.4</f>
        <v>962359.4</v>
      </c>
      <c r="I224" s="34">
        <f>G224+H224</f>
        <v>2377447.05</v>
      </c>
      <c r="J224" s="143"/>
      <c r="K224" s="51"/>
    </row>
    <row r="225" spans="1:11" s="32" customFormat="1" ht="116.25" customHeight="1">
      <c r="A225" s="74"/>
      <c r="B225" s="30" t="s">
        <v>463</v>
      </c>
      <c r="C225" s="30" t="s">
        <v>461</v>
      </c>
      <c r="D225" s="30" t="s">
        <v>5</v>
      </c>
      <c r="E225" s="28" t="s">
        <v>184</v>
      </c>
      <c r="F225" s="36" t="s">
        <v>339</v>
      </c>
      <c r="G225" s="9"/>
      <c r="H225" s="34">
        <f>-670000</f>
        <v>-670000</v>
      </c>
      <c r="I225" s="34">
        <f>G225+H225</f>
        <v>-670000</v>
      </c>
      <c r="J225" s="143"/>
      <c r="K225" s="51"/>
    </row>
    <row r="226" spans="1:10" ht="108" customHeight="1">
      <c r="A226" s="72"/>
      <c r="B226" s="19"/>
      <c r="C226" s="19"/>
      <c r="D226" s="19"/>
      <c r="E226" s="41" t="s">
        <v>298</v>
      </c>
      <c r="F226" s="23"/>
      <c r="G226" s="57">
        <f>G227+G228+G229+G230</f>
        <v>250000</v>
      </c>
      <c r="H226" s="57">
        <f>H227+H228+H229+H230</f>
        <v>813000</v>
      </c>
      <c r="I226" s="57">
        <f>I227+I228+I229+I230</f>
        <v>1063000</v>
      </c>
      <c r="J226" s="143"/>
    </row>
    <row r="227" spans="1:10" ht="144" customHeight="1">
      <c r="A227" s="72"/>
      <c r="B227" s="19" t="s">
        <v>299</v>
      </c>
      <c r="C227" s="19" t="s">
        <v>121</v>
      </c>
      <c r="D227" s="19" t="s">
        <v>2</v>
      </c>
      <c r="E227" s="20" t="s">
        <v>122</v>
      </c>
      <c r="F227" s="18" t="s">
        <v>53</v>
      </c>
      <c r="G227" s="9">
        <v>50000</v>
      </c>
      <c r="H227" s="57"/>
      <c r="I227" s="9">
        <f>G227+H227</f>
        <v>50000</v>
      </c>
      <c r="J227" s="143"/>
    </row>
    <row r="228" spans="1:10" ht="177" customHeight="1">
      <c r="A228" s="72"/>
      <c r="B228" s="19" t="s">
        <v>402</v>
      </c>
      <c r="C228" s="19" t="s">
        <v>308</v>
      </c>
      <c r="D228" s="19" t="s">
        <v>330</v>
      </c>
      <c r="E228" s="111" t="s">
        <v>329</v>
      </c>
      <c r="F228" s="20" t="s">
        <v>325</v>
      </c>
      <c r="G228" s="9">
        <f>150000+50000</f>
        <v>200000</v>
      </c>
      <c r="H228" s="57"/>
      <c r="I228" s="9">
        <f>G228+H228</f>
        <v>200000</v>
      </c>
      <c r="J228" s="143"/>
    </row>
    <row r="229" spans="1:10" ht="139.5" customHeight="1">
      <c r="A229" s="72"/>
      <c r="B229" s="78" t="s">
        <v>479</v>
      </c>
      <c r="C229" s="78" t="s">
        <v>480</v>
      </c>
      <c r="D229" s="78" t="s">
        <v>99</v>
      </c>
      <c r="E229" s="20" t="s">
        <v>481</v>
      </c>
      <c r="F229" s="23" t="s">
        <v>510</v>
      </c>
      <c r="G229" s="9"/>
      <c r="H229" s="9">
        <v>140000</v>
      </c>
      <c r="I229" s="9">
        <f>G229+H229</f>
        <v>140000</v>
      </c>
      <c r="J229" s="143"/>
    </row>
    <row r="230" spans="1:11" s="8" customFormat="1" ht="102" customHeight="1">
      <c r="A230" s="75"/>
      <c r="B230" s="77" t="s">
        <v>300</v>
      </c>
      <c r="C230" s="77" t="s">
        <v>135</v>
      </c>
      <c r="D230" s="78"/>
      <c r="E230" s="92" t="s">
        <v>136</v>
      </c>
      <c r="F230" s="18"/>
      <c r="G230" s="9">
        <f>G231</f>
        <v>0</v>
      </c>
      <c r="H230" s="9">
        <f>H231+H234</f>
        <v>673000</v>
      </c>
      <c r="I230" s="9">
        <f>I231+I234</f>
        <v>673000</v>
      </c>
      <c r="J230" s="143"/>
      <c r="K230" s="49"/>
    </row>
    <row r="231" spans="1:11" s="32" customFormat="1" ht="162" customHeight="1">
      <c r="A231" s="74"/>
      <c r="B231" s="148" t="s">
        <v>387</v>
      </c>
      <c r="C231" s="148" t="s">
        <v>386</v>
      </c>
      <c r="D231" s="148" t="s">
        <v>6</v>
      </c>
      <c r="E231" s="166" t="s">
        <v>410</v>
      </c>
      <c r="F231" s="28" t="s">
        <v>325</v>
      </c>
      <c r="G231" s="34"/>
      <c r="H231" s="34">
        <f>341539-18539</f>
        <v>323000</v>
      </c>
      <c r="I231" s="34">
        <f>G231+H231</f>
        <v>323000</v>
      </c>
      <c r="J231" s="143"/>
      <c r="K231" s="51"/>
    </row>
    <row r="232" spans="1:11" s="32" customFormat="1" ht="111" customHeight="1" hidden="1">
      <c r="A232" s="74"/>
      <c r="B232" s="175"/>
      <c r="C232" s="175"/>
      <c r="D232" s="175"/>
      <c r="E232" s="168"/>
      <c r="F232" s="18"/>
      <c r="G232" s="57">
        <f>G233</f>
        <v>0</v>
      </c>
      <c r="H232" s="57">
        <f>H233</f>
        <v>0</v>
      </c>
      <c r="I232" s="34">
        <f>G232+H232</f>
        <v>0</v>
      </c>
      <c r="J232" s="143"/>
      <c r="K232" s="51"/>
    </row>
    <row r="233" spans="1:11" s="32" customFormat="1" ht="177" customHeight="1" hidden="1">
      <c r="A233" s="74"/>
      <c r="B233" s="175"/>
      <c r="C233" s="175"/>
      <c r="D233" s="175"/>
      <c r="E233" s="168"/>
      <c r="F233" s="18" t="s">
        <v>110</v>
      </c>
      <c r="G233" s="9"/>
      <c r="H233" s="9"/>
      <c r="I233" s="34">
        <f>G233+H233</f>
        <v>0</v>
      </c>
      <c r="J233" s="143"/>
      <c r="K233" s="51"/>
    </row>
    <row r="234" spans="1:11" s="32" customFormat="1" ht="177" customHeight="1">
      <c r="A234" s="74"/>
      <c r="B234" s="149"/>
      <c r="C234" s="149"/>
      <c r="D234" s="149"/>
      <c r="E234" s="167"/>
      <c r="F234" s="36" t="s">
        <v>510</v>
      </c>
      <c r="G234" s="9"/>
      <c r="H234" s="9">
        <v>350000</v>
      </c>
      <c r="I234" s="34">
        <f>G234+H234</f>
        <v>350000</v>
      </c>
      <c r="J234" s="143"/>
      <c r="K234" s="51"/>
    </row>
    <row r="235" spans="1:10" ht="97.5" customHeight="1">
      <c r="A235" s="72"/>
      <c r="B235" s="40"/>
      <c r="C235" s="40"/>
      <c r="D235" s="40"/>
      <c r="E235" s="41" t="s">
        <v>289</v>
      </c>
      <c r="F235" s="42"/>
      <c r="G235" s="57">
        <f>G237+G238+G239+G240+G241+G243</f>
        <v>1523906</v>
      </c>
      <c r="H235" s="57">
        <f>H237+H238+H239+H240+H241+H243</f>
        <v>268343.33</v>
      </c>
      <c r="I235" s="57">
        <f>I237+I238+I239+I240+I241+I243</f>
        <v>1792249.33</v>
      </c>
      <c r="J235" s="143"/>
    </row>
    <row r="236" spans="1:10" ht="172.5" customHeight="1" hidden="1">
      <c r="A236" s="72"/>
      <c r="B236" s="19" t="s">
        <v>316</v>
      </c>
      <c r="C236" s="19" t="s">
        <v>121</v>
      </c>
      <c r="D236" s="19" t="s">
        <v>2</v>
      </c>
      <c r="E236" s="20" t="s">
        <v>122</v>
      </c>
      <c r="F236" s="18" t="s">
        <v>110</v>
      </c>
      <c r="G236" s="9"/>
      <c r="H236" s="9"/>
      <c r="I236" s="9">
        <f>G236+H236</f>
        <v>0</v>
      </c>
      <c r="J236" s="143"/>
    </row>
    <row r="237" spans="1:10" ht="235.5" customHeight="1">
      <c r="A237" s="72"/>
      <c r="B237" s="19" t="s">
        <v>290</v>
      </c>
      <c r="C237" s="19" t="s">
        <v>174</v>
      </c>
      <c r="D237" s="19" t="s">
        <v>29</v>
      </c>
      <c r="E237" s="20" t="s">
        <v>175</v>
      </c>
      <c r="F237" s="21" t="s">
        <v>118</v>
      </c>
      <c r="G237" s="9">
        <f>550000+50000+50000-130000+490670-490670</f>
        <v>520000</v>
      </c>
      <c r="H237" s="9">
        <v>14343.33</v>
      </c>
      <c r="I237" s="9">
        <f>G237+H237</f>
        <v>534343.33</v>
      </c>
      <c r="J237" s="143"/>
    </row>
    <row r="238" spans="1:10" ht="163.5" customHeight="1">
      <c r="A238" s="72"/>
      <c r="B238" s="19" t="s">
        <v>291</v>
      </c>
      <c r="C238" s="19" t="s">
        <v>164</v>
      </c>
      <c r="D238" s="19" t="s">
        <v>7</v>
      </c>
      <c r="E238" s="20" t="s">
        <v>68</v>
      </c>
      <c r="F238" s="18" t="s">
        <v>94</v>
      </c>
      <c r="G238" s="9">
        <f>1085000+67000-900000</f>
        <v>252000</v>
      </c>
      <c r="H238" s="9"/>
      <c r="I238" s="9">
        <f>G238+H238</f>
        <v>252000</v>
      </c>
      <c r="J238" s="143"/>
    </row>
    <row r="239" spans="1:10" ht="229.5" customHeight="1">
      <c r="A239" s="72"/>
      <c r="B239" s="19" t="s">
        <v>355</v>
      </c>
      <c r="C239" s="19" t="s">
        <v>354</v>
      </c>
      <c r="D239" s="19" t="s">
        <v>6</v>
      </c>
      <c r="E239" s="20" t="s">
        <v>356</v>
      </c>
      <c r="F239" s="21" t="s">
        <v>118</v>
      </c>
      <c r="G239" s="9"/>
      <c r="H239" s="9">
        <f>25000+25000</f>
        <v>50000</v>
      </c>
      <c r="I239" s="9">
        <f>G239+H239</f>
        <v>50000</v>
      </c>
      <c r="J239" s="143"/>
    </row>
    <row r="240" spans="1:10" ht="247.5" customHeight="1">
      <c r="A240" s="72"/>
      <c r="B240" s="19" t="s">
        <v>359</v>
      </c>
      <c r="C240" s="19" t="s">
        <v>360</v>
      </c>
      <c r="D240" s="19" t="s">
        <v>6</v>
      </c>
      <c r="E240" s="20" t="s">
        <v>361</v>
      </c>
      <c r="F240" s="21" t="s">
        <v>118</v>
      </c>
      <c r="G240" s="9"/>
      <c r="H240" s="9">
        <v>25000</v>
      </c>
      <c r="I240" s="9">
        <f>G240+H240</f>
        <v>25000</v>
      </c>
      <c r="J240" s="142">
        <v>64</v>
      </c>
    </row>
    <row r="241" spans="1:10" ht="79.5" customHeight="1">
      <c r="A241" s="72"/>
      <c r="B241" s="19" t="s">
        <v>357</v>
      </c>
      <c r="C241" s="19" t="s">
        <v>135</v>
      </c>
      <c r="D241" s="19"/>
      <c r="E241" s="20" t="s">
        <v>136</v>
      </c>
      <c r="F241" s="21"/>
      <c r="G241" s="9">
        <f>G242</f>
        <v>731906</v>
      </c>
      <c r="H241" s="9">
        <f>H242</f>
        <v>0</v>
      </c>
      <c r="I241" s="9">
        <f>I242</f>
        <v>731906</v>
      </c>
      <c r="J241" s="142"/>
    </row>
    <row r="242" spans="1:11" s="32" customFormat="1" ht="235.5" customHeight="1">
      <c r="A242" s="74"/>
      <c r="B242" s="30" t="s">
        <v>358</v>
      </c>
      <c r="C242" s="30" t="s">
        <v>323</v>
      </c>
      <c r="D242" s="30" t="s">
        <v>6</v>
      </c>
      <c r="E242" s="28" t="s">
        <v>324</v>
      </c>
      <c r="F242" s="33" t="s">
        <v>118</v>
      </c>
      <c r="G242" s="34">
        <f>642000+89906</f>
        <v>731906</v>
      </c>
      <c r="H242" s="34"/>
      <c r="I242" s="34">
        <f>G242+H242</f>
        <v>731906</v>
      </c>
      <c r="J242" s="142"/>
      <c r="K242" s="51"/>
    </row>
    <row r="243" spans="1:10" ht="160.5" customHeight="1">
      <c r="A243" s="72"/>
      <c r="B243" s="19" t="s">
        <v>454</v>
      </c>
      <c r="C243" s="19" t="s">
        <v>438</v>
      </c>
      <c r="D243" s="19" t="s">
        <v>31</v>
      </c>
      <c r="E243" s="89" t="s">
        <v>439</v>
      </c>
      <c r="F243" s="18" t="s">
        <v>94</v>
      </c>
      <c r="G243" s="9">
        <v>20000</v>
      </c>
      <c r="H243" s="9">
        <v>179000</v>
      </c>
      <c r="I243" s="9">
        <f>G243+H243</f>
        <v>199000</v>
      </c>
      <c r="J243" s="142"/>
    </row>
    <row r="244" spans="1:11" s="7" customFormat="1" ht="111.75" customHeight="1">
      <c r="A244" s="76"/>
      <c r="B244" s="19"/>
      <c r="C244" s="19"/>
      <c r="D244" s="19"/>
      <c r="E244" s="41" t="s">
        <v>302</v>
      </c>
      <c r="F244" s="23"/>
      <c r="G244" s="57">
        <f>G246+G247+G248+G249</f>
        <v>91900</v>
      </c>
      <c r="H244" s="57">
        <f>H246+H247+H248+H249</f>
        <v>4577800</v>
      </c>
      <c r="I244" s="57">
        <f>I246+I247+I248+I249</f>
        <v>4669700</v>
      </c>
      <c r="J244" s="142"/>
      <c r="K244" s="53"/>
    </row>
    <row r="245" spans="1:11" s="7" customFormat="1" ht="186.75" customHeight="1" hidden="1">
      <c r="A245" s="76"/>
      <c r="B245" s="19" t="s">
        <v>366</v>
      </c>
      <c r="C245" s="19" t="s">
        <v>121</v>
      </c>
      <c r="D245" s="19" t="s">
        <v>2</v>
      </c>
      <c r="E245" s="20" t="s">
        <v>122</v>
      </c>
      <c r="F245" s="18" t="s">
        <v>110</v>
      </c>
      <c r="G245" s="9"/>
      <c r="H245" s="9"/>
      <c r="I245" s="9">
        <f>G245+H245</f>
        <v>0</v>
      </c>
      <c r="J245" s="142"/>
      <c r="K245" s="53"/>
    </row>
    <row r="246" spans="1:11" s="7" customFormat="1" ht="117.75" customHeight="1">
      <c r="A246" s="76"/>
      <c r="B246" s="19" t="s">
        <v>362</v>
      </c>
      <c r="C246" s="19" t="s">
        <v>144</v>
      </c>
      <c r="D246" s="19" t="s">
        <v>30</v>
      </c>
      <c r="E246" s="20" t="s">
        <v>76</v>
      </c>
      <c r="F246" s="18" t="s">
        <v>116</v>
      </c>
      <c r="G246" s="9">
        <v>75000</v>
      </c>
      <c r="H246" s="9"/>
      <c r="I246" s="9">
        <f>G246+H246</f>
        <v>75000</v>
      </c>
      <c r="J246" s="142"/>
      <c r="K246" s="53"/>
    </row>
    <row r="247" spans="1:10" ht="171.75" customHeight="1">
      <c r="A247" s="72"/>
      <c r="B247" s="19" t="s">
        <v>303</v>
      </c>
      <c r="C247" s="19" t="s">
        <v>133</v>
      </c>
      <c r="D247" s="19" t="s">
        <v>14</v>
      </c>
      <c r="E247" s="20" t="s">
        <v>134</v>
      </c>
      <c r="F247" s="21" t="s">
        <v>117</v>
      </c>
      <c r="G247" s="9"/>
      <c r="H247" s="9">
        <f>20000+5000</f>
        <v>25000</v>
      </c>
      <c r="I247" s="9">
        <f>G247+H247</f>
        <v>25000</v>
      </c>
      <c r="J247" s="142"/>
    </row>
    <row r="248" spans="1:10" ht="294" customHeight="1">
      <c r="A248" s="72"/>
      <c r="B248" s="19" t="s">
        <v>494</v>
      </c>
      <c r="C248" s="19" t="s">
        <v>495</v>
      </c>
      <c r="D248" s="19" t="s">
        <v>31</v>
      </c>
      <c r="E248" s="127" t="s">
        <v>496</v>
      </c>
      <c r="F248" s="23" t="s">
        <v>370</v>
      </c>
      <c r="G248" s="9"/>
      <c r="H248" s="9">
        <v>4000000</v>
      </c>
      <c r="I248" s="9">
        <f>G248+H248</f>
        <v>4000000</v>
      </c>
      <c r="J248" s="142"/>
    </row>
    <row r="249" spans="1:10" ht="171.75" customHeight="1">
      <c r="A249" s="72"/>
      <c r="B249" s="19" t="s">
        <v>416</v>
      </c>
      <c r="C249" s="19" t="s">
        <v>131</v>
      </c>
      <c r="D249" s="19" t="s">
        <v>31</v>
      </c>
      <c r="E249" s="20" t="s">
        <v>132</v>
      </c>
      <c r="F249" s="23" t="s">
        <v>370</v>
      </c>
      <c r="G249" s="9">
        <f>4900+12000</f>
        <v>16900</v>
      </c>
      <c r="H249" s="9">
        <f>500000+14800+38000</f>
        <v>552800</v>
      </c>
      <c r="I249" s="9">
        <f>G249+H249</f>
        <v>569700</v>
      </c>
      <c r="J249" s="142"/>
    </row>
    <row r="250" spans="1:11" ht="54.75" customHeight="1">
      <c r="A250" s="72"/>
      <c r="B250" s="13"/>
      <c r="C250" s="178" t="s">
        <v>3</v>
      </c>
      <c r="D250" s="179"/>
      <c r="E250" s="179"/>
      <c r="F250" s="180"/>
      <c r="G250" s="58">
        <f>G15+G70+G103+G127+G152+G155+G166+G198+G200+G226+G232+G235+G244</f>
        <v>464757301.14</v>
      </c>
      <c r="H250" s="58">
        <f>H15+H70+H103+H127+H152+H155+H166+H198+H200+H226+H232+H235+H244</f>
        <v>547941971.73</v>
      </c>
      <c r="I250" s="58">
        <f>I15+I70+I103+I127+I152+I155+I166+I198+I200+I226+I232+I235+I244</f>
        <v>1012699272.87</v>
      </c>
      <c r="J250" s="142"/>
      <c r="K250" s="47">
        <f>I250-H250-G250</f>
        <v>0</v>
      </c>
    </row>
    <row r="251" spans="1:11" ht="241.5" customHeight="1">
      <c r="A251" s="72"/>
      <c r="B251" s="15"/>
      <c r="C251" s="14"/>
      <c r="D251" s="15"/>
      <c r="E251" s="61"/>
      <c r="F251" s="62"/>
      <c r="G251" s="63"/>
      <c r="H251" s="63"/>
      <c r="I251" s="63"/>
      <c r="J251" s="142"/>
      <c r="K251" s="47"/>
    </row>
    <row r="252" spans="2:11" ht="72.75" customHeight="1">
      <c r="B252" s="181" t="s">
        <v>512</v>
      </c>
      <c r="C252" s="181"/>
      <c r="D252" s="181"/>
      <c r="E252" s="181"/>
      <c r="F252" s="181"/>
      <c r="G252" s="182" t="s">
        <v>513</v>
      </c>
      <c r="H252" s="182"/>
      <c r="I252" s="182"/>
      <c r="J252" s="142"/>
      <c r="K252" s="47"/>
    </row>
    <row r="253" spans="2:11" ht="72.75" customHeight="1">
      <c r="B253" s="136"/>
      <c r="C253" s="136"/>
      <c r="D253" s="136"/>
      <c r="E253" s="136"/>
      <c r="F253" s="136"/>
      <c r="G253" s="137"/>
      <c r="H253" s="137"/>
      <c r="I253" s="137"/>
      <c r="K253" s="47"/>
    </row>
    <row r="254" spans="2:11" ht="72.75" customHeight="1">
      <c r="B254" s="139"/>
      <c r="C254" s="138"/>
      <c r="D254" s="129"/>
      <c r="E254" s="62"/>
      <c r="F254" s="63"/>
      <c r="G254" s="63"/>
      <c r="H254" s="63"/>
      <c r="I254" s="63"/>
      <c r="J254" s="135"/>
      <c r="K254" s="47"/>
    </row>
    <row r="255" spans="2:11" ht="75.75" customHeight="1">
      <c r="B255" s="141"/>
      <c r="C255" s="140"/>
      <c r="D255" s="140"/>
      <c r="E255" s="64"/>
      <c r="F255" s="62"/>
      <c r="G255" s="63"/>
      <c r="H255" s="63"/>
      <c r="I255" s="63"/>
      <c r="J255" s="135"/>
      <c r="K255" s="47"/>
    </row>
    <row r="256" spans="2:10" ht="45.75" customHeight="1">
      <c r="B256" s="65"/>
      <c r="C256" s="65"/>
      <c r="D256" s="65"/>
      <c r="E256" s="65"/>
      <c r="F256" s="62"/>
      <c r="G256" s="63"/>
      <c r="H256" s="63"/>
      <c r="I256" s="59"/>
      <c r="J256" s="135"/>
    </row>
    <row r="257" spans="2:10" ht="91.5" customHeight="1">
      <c r="B257" s="172"/>
      <c r="C257" s="172"/>
      <c r="D257" s="172"/>
      <c r="E257" s="65"/>
      <c r="F257" s="65"/>
      <c r="G257" s="173">
        <f>G250+H250-I250</f>
        <v>0</v>
      </c>
      <c r="H257" s="173"/>
      <c r="I257" s="173"/>
      <c r="J257" s="135"/>
    </row>
    <row r="258" ht="44.25">
      <c r="J258" s="135"/>
    </row>
    <row r="259" ht="44.25">
      <c r="J259" s="135"/>
    </row>
    <row r="260" spans="7:10" ht="95.25" customHeight="1">
      <c r="G260" s="121">
        <f>G250-G16-G17-G18-G20-G21-G22-G24-G26-G27-G29-G30-G31-G32-G34-G35-G37-G38-G40-G41-G43-G44-G46-G49-G50-G51-G52-G53-G54-G55-G57-G58-G60-G61-G62-G63-G64-G65-G66-G67-G68-G69-G71-G72-G73-G74-G75-G76-G77-G78-G80-G81-G82-G83-G84-G85-G86-G88-G89-G90-G91-G92-G93-G95-G97-G98-G99-G100-G101-G102-G104-G105-G106-G107-G109-G110-G112-G115-G116-G117-G118-G120-G121-G123-G124-G125-G126-G128-G130-G131-G132-G133-G134-G137-G138-G139-G141-G142-G143-G144-G145-G147-G148-G149-G150-G151-G154-G156-G157-G158-G160-G161-G162-G164-G165-G167-G168-G169-G171-G172-G173-G174-G175-G176-G177-G178-G179-G180-G182-G183-G184-G185-G187-G188-G189-G190-G192-G193-G194-G196-G197-G201-G202-G204-G205-G206-G207-G209-G210-G211-G212-G213-G214-G216-G217-G219-G221-G222-G224-G225-G227-G228-G229-G231-G234-G237-G238-G239-G240-G242-G243-G246-G247-G248-G249</f>
        <v>2.9802322387695312E-08</v>
      </c>
      <c r="H260" s="121">
        <f>H250-H16-H17-H18-H20-H21-H22-H24-H26-H27-H29-H30-H31-H32-H34-H35-H37-H38-H40-H41-H43-H44-H46-H49-H50-H51-H52-H53-H54-H55-H57-H58-H60-H61-H62-H63-H64-H65-H66-H67-H68-H69-H71-H72-H73-H74-H75-H76-H77-H78-H80-H81-H82-H83-H84-H85-H86-H88-H89-H90-H91-H92-H93-H95-H97-H98-H99-H100-H101-H102-H104-H105-H106-H107-H109-H110-H112-H115-H116-H117-H118-H120-H121-H123-H124-H125-H126-H128-H130-H131-H132-H133-H134-H137-H138-H139-H141-H142-H143-H144-H145-H147-H148-H149-H150-H151-H154-H156-H157-H158-H160-H161-H162-H164-H165-H167-H168-H169-H171-H172-H173-H174-H175-H176-H177-H178-H179-H180-H182-H183-H184-H185-H187-H188-H189-H190-H192-H193-H194-H196-H197-H201-H202-H204-H205-H206-H207-H209-H210-H211-H212-H213-H214-H216-H217-H219-H221-H222-H224-H225-H227-H228-H229-H231-H234-H237-H238-H239-H240-H242-H243-H246-H247-H248-H249</f>
        <v>-2.60770320892334E-08</v>
      </c>
      <c r="I260" s="121">
        <f>I250-I16-I17-I18-I20-I21-I22-I24-I26-I27-I29-I30-I31-I32-I34-I35-I37-I38-I40-I41-I43-I44-I46-I49-I50-I51-I52-I53-I54-I55-I57-I58-I60-I61-I62-I63-I64-I65-I66-I67-I68-I69-I71-I72-I73-I74-I75-I76-I77-I78-I80-I81-I82-I83-I84-I85-I86-I88-I89-I90-I91-I92-I93-I95-I97-I98-I99-I100-I101-I102-I104-I105-I106-I107-I109-I110-I112-I115-I116-I117-I118-I120-I121-I123-I124-I125-I126-I128-I130-I131-I132-I133-I134-I137-I138-I139-I141-I142-I143-I144-I145-I147-I148-I149-I150-I151-I154-I156-I157-I158-I160-I161-I162-I164-I165-I167-I168-I169-I171-I172-I173-I174-I175-I176-I177-I178-I179-I180-I182-I183-I184-I185-I187-I188-I189-I190-I192-I193-I194-I196-I197-I201-I202-I204-I205-I206-I207-I209-I210-I211-I212-I213-I214-I216-I217-I219-I221-I222-I224-I225-I227-I228-I229-I231-I234-I237-I238-I239-I240-I242-I243-I246-I247-I248-I249</f>
        <v>1.2945383787155151E-07</v>
      </c>
      <c r="J260" s="135"/>
    </row>
    <row r="261" ht="44.25">
      <c r="J261" s="135"/>
    </row>
    <row r="262" ht="44.25">
      <c r="J262" s="135"/>
    </row>
    <row r="263" ht="44.25">
      <c r="J263" s="135"/>
    </row>
    <row r="264" ht="44.25">
      <c r="J264" s="135"/>
    </row>
    <row r="265" ht="44.25">
      <c r="J265" s="135"/>
    </row>
    <row r="266" ht="44.25">
      <c r="J266" s="135"/>
    </row>
    <row r="267" ht="44.25">
      <c r="J267" s="135"/>
    </row>
    <row r="268" ht="44.25">
      <c r="J268" s="135"/>
    </row>
    <row r="269" ht="44.25">
      <c r="J269" s="135"/>
    </row>
    <row r="270" ht="44.25">
      <c r="J270" s="135"/>
    </row>
    <row r="271" ht="44.25">
      <c r="J271" s="135"/>
    </row>
    <row r="272" ht="44.25">
      <c r="J272" s="135"/>
    </row>
    <row r="273" ht="44.25">
      <c r="J273" s="135"/>
    </row>
    <row r="274" ht="44.25">
      <c r="J274" s="135"/>
    </row>
  </sheetData>
  <sheetProtection/>
  <mergeCells count="164">
    <mergeCell ref="C250:F250"/>
    <mergeCell ref="J240:J252"/>
    <mergeCell ref="B252:F252"/>
    <mergeCell ref="G252:I252"/>
    <mergeCell ref="J178:J191"/>
    <mergeCell ref="J192:J205"/>
    <mergeCell ref="J206:J221"/>
    <mergeCell ref="B231:B234"/>
    <mergeCell ref="C231:C234"/>
    <mergeCell ref="D231:D234"/>
    <mergeCell ref="E231:E234"/>
    <mergeCell ref="J222:J239"/>
    <mergeCell ref="J44:J60"/>
    <mergeCell ref="J61:J74"/>
    <mergeCell ref="J75:J87"/>
    <mergeCell ref="J88:J102"/>
    <mergeCell ref="J103:J118"/>
    <mergeCell ref="J163:J177"/>
    <mergeCell ref="E209:E210"/>
    <mergeCell ref="E188:E189"/>
    <mergeCell ref="D111:D112"/>
    <mergeCell ref="D101:D102"/>
    <mergeCell ref="D182:D183"/>
    <mergeCell ref="E182:E183"/>
    <mergeCell ref="E117:E118"/>
    <mergeCell ref="E120:E121"/>
    <mergeCell ref="E161:E162"/>
    <mergeCell ref="E150:E151"/>
    <mergeCell ref="D120:D121"/>
    <mergeCell ref="E177:E178"/>
    <mergeCell ref="B91:B93"/>
    <mergeCell ref="B114:B116"/>
    <mergeCell ref="C85:C86"/>
    <mergeCell ref="D97:D98"/>
    <mergeCell ref="E147:E148"/>
    <mergeCell ref="E91:E93"/>
    <mergeCell ref="D105:D107"/>
    <mergeCell ref="C101:C102"/>
    <mergeCell ref="C108:C110"/>
    <mergeCell ref="E105:E107"/>
    <mergeCell ref="C91:C93"/>
    <mergeCell ref="E179:E180"/>
    <mergeCell ref="C182:C183"/>
    <mergeCell ref="D141:D142"/>
    <mergeCell ref="C105:C107"/>
    <mergeCell ref="E111:E112"/>
    <mergeCell ref="C111:C112"/>
    <mergeCell ref="C141:C142"/>
    <mergeCell ref="C168:C169"/>
    <mergeCell ref="C179:C180"/>
    <mergeCell ref="E168:E169"/>
    <mergeCell ref="C150:C151"/>
    <mergeCell ref="D177:D178"/>
    <mergeCell ref="C209:C210"/>
    <mergeCell ref="D209:D210"/>
    <mergeCell ref="D179:D180"/>
    <mergeCell ref="C188:C189"/>
    <mergeCell ref="C161:C162"/>
    <mergeCell ref="C138:C139"/>
    <mergeCell ref="C120:C121"/>
    <mergeCell ref="B138:B139"/>
    <mergeCell ref="D161:D162"/>
    <mergeCell ref="C117:C118"/>
    <mergeCell ref="C147:C148"/>
    <mergeCell ref="D147:D148"/>
    <mergeCell ref="B147:B148"/>
    <mergeCell ref="B105:B107"/>
    <mergeCell ref="C97:C98"/>
    <mergeCell ref="B97:B98"/>
    <mergeCell ref="B101:B102"/>
    <mergeCell ref="D117:D118"/>
    <mergeCell ref="D108:D110"/>
    <mergeCell ref="B117:B118"/>
    <mergeCell ref="C114:C116"/>
    <mergeCell ref="B111:B112"/>
    <mergeCell ref="D114:D116"/>
    <mergeCell ref="G257:I257"/>
    <mergeCell ref="B179:B180"/>
    <mergeCell ref="D150:D151"/>
    <mergeCell ref="E141:E142"/>
    <mergeCell ref="D138:D139"/>
    <mergeCell ref="B188:B189"/>
    <mergeCell ref="B168:B169"/>
    <mergeCell ref="B161:B162"/>
    <mergeCell ref="C177:C178"/>
    <mergeCell ref="B150:B151"/>
    <mergeCell ref="G2:I2"/>
    <mergeCell ref="E55:E56"/>
    <mergeCell ref="E72:E75"/>
    <mergeCell ref="G6:I6"/>
    <mergeCell ref="G5:I5"/>
    <mergeCell ref="B257:D257"/>
    <mergeCell ref="E138:E139"/>
    <mergeCell ref="B177:B178"/>
    <mergeCell ref="B182:B183"/>
    <mergeCell ref="D168:D169"/>
    <mergeCell ref="B209:B210"/>
    <mergeCell ref="B16:B17"/>
    <mergeCell ref="D72:D75"/>
    <mergeCell ref="D57:D58"/>
    <mergeCell ref="E108:E110"/>
    <mergeCell ref="B120:B121"/>
    <mergeCell ref="D188:D189"/>
    <mergeCell ref="B141:B142"/>
    <mergeCell ref="E114:E116"/>
    <mergeCell ref="D21:D22"/>
    <mergeCell ref="E21:E22"/>
    <mergeCell ref="E101:E102"/>
    <mergeCell ref="D76:D81"/>
    <mergeCell ref="E97:E98"/>
    <mergeCell ref="D85:D86"/>
    <mergeCell ref="D55:D56"/>
    <mergeCell ref="D65:D66"/>
    <mergeCell ref="E85:E86"/>
    <mergeCell ref="E88:E89"/>
    <mergeCell ref="D67:D69"/>
    <mergeCell ref="G1:I1"/>
    <mergeCell ref="C16:C17"/>
    <mergeCell ref="E76:E79"/>
    <mergeCell ref="E65:E66"/>
    <mergeCell ref="G3:I3"/>
    <mergeCell ref="G4:I4"/>
    <mergeCell ref="E16:E17"/>
    <mergeCell ref="D16:D17"/>
    <mergeCell ref="B12:I12"/>
    <mergeCell ref="B21:B22"/>
    <mergeCell ref="D91:D93"/>
    <mergeCell ref="B108:B110"/>
    <mergeCell ref="E30:E31"/>
    <mergeCell ref="C21:C22"/>
    <mergeCell ref="B88:B89"/>
    <mergeCell ref="E82:E84"/>
    <mergeCell ref="E67:E69"/>
    <mergeCell ref="C57:C58"/>
    <mergeCell ref="E57:E58"/>
    <mergeCell ref="D30:D31"/>
    <mergeCell ref="C88:C89"/>
    <mergeCell ref="B85:B86"/>
    <mergeCell ref="D88:D89"/>
    <mergeCell ref="D82:D84"/>
    <mergeCell ref="B76:B81"/>
    <mergeCell ref="C72:C75"/>
    <mergeCell ref="B82:B84"/>
    <mergeCell ref="B72:B75"/>
    <mergeCell ref="C82:C84"/>
    <mergeCell ref="C76:C81"/>
    <mergeCell ref="C55:C56"/>
    <mergeCell ref="B65:B66"/>
    <mergeCell ref="C65:C66"/>
    <mergeCell ref="B67:B69"/>
    <mergeCell ref="C30:C31"/>
    <mergeCell ref="B55:B56"/>
    <mergeCell ref="B30:B31"/>
    <mergeCell ref="B57:B58"/>
    <mergeCell ref="C67:C69"/>
    <mergeCell ref="J7:J25"/>
    <mergeCell ref="J26:J43"/>
    <mergeCell ref="J119:J133"/>
    <mergeCell ref="J134:J149"/>
    <mergeCell ref="J150:J162"/>
    <mergeCell ref="G8:I8"/>
    <mergeCell ref="G7:I7"/>
    <mergeCell ref="G9:I9"/>
    <mergeCell ref="G10:I10"/>
  </mergeCells>
  <printOptions horizontalCentered="1"/>
  <pageMargins left="0.3937007874015748" right="0.3937007874015748" top="0.8267716535433072" bottom="0.3937007874015748" header="0" footer="0"/>
  <pageSetup firstPageNumber="1" useFirstPageNumber="1" fitToHeight="17" horizontalDpi="600" verticalDpi="600" orientation="landscape" paperSize="9" scale="20" r:id="rId1"/>
  <headerFooter scaleWithDoc="0" alignWithMargins="0">
    <oddHeader>&amp;RПродовження додатку 5</oddHeader>
  </headerFooter>
  <rowBreaks count="5" manualBreakCount="5">
    <brk id="87" max="9" man="1"/>
    <brk id="102" max="9" man="1"/>
    <brk id="149" max="9" man="1"/>
    <brk id="162" max="9" man="1"/>
    <brk id="1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2018-10-11T13:31:40Z</cp:lastPrinted>
  <dcterms:created xsi:type="dcterms:W3CDTF">2014-01-17T10:52:16Z</dcterms:created>
  <dcterms:modified xsi:type="dcterms:W3CDTF">2018-10-17T11:44:06Z</dcterms:modified>
  <cp:category/>
  <cp:version/>
  <cp:contentType/>
  <cp:contentStatus/>
</cp:coreProperties>
</file>